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CB41292F-B991-4003-B37D-E63E8FA56168}" xr6:coauthVersionLast="45" xr6:coauthVersionMax="45" xr10:uidLastSave="{00000000-0000-0000-0000-000000000000}"/>
  <bookViews>
    <workbookView xWindow="20370" yWindow="-120" windowWidth="29040" windowHeight="15840" tabRatio="708" xr2:uid="{00000000-000D-0000-FFFF-FFFF00000000}"/>
  </bookViews>
  <sheets>
    <sheet name="Instructions" sheetId="49" r:id="rId1"/>
    <sheet name="Unit Data from Audit Worksheet" sheetId="1" r:id="rId2"/>
    <sheet name="IMPORT" sheetId="28" state="hidden" r:id="rId3"/>
    <sheet name="RSS" sheetId="30" r:id="rId4"/>
    <sheet name="3-Year Analysis" sheetId="37" r:id="rId5"/>
    <sheet name="2020 Acct Changes" sheetId="46" state="hidden" r:id="rId6"/>
    <sheet name="Debt Service Funds (H)" sheetId="41" state="hidden" r:id="rId7"/>
    <sheet name="Average FBA" sheetId="47" r:id="rId8"/>
    <sheet name="sequel interface rules (H)" sheetId="45" state="hidden" r:id="rId9"/>
    <sheet name="Unit Names(H)" sheetId="29" state="hidden" r:id="rId10"/>
    <sheet name="2019 Data(H)" sheetId="42" state="hidden" r:id="rId11"/>
    <sheet name="2018 Data(H)" sheetId="36" state="hidden" r:id="rId12"/>
  </sheets>
  <externalReferences>
    <externalReference r:id="rId13"/>
  </externalReferences>
  <definedNames>
    <definedName name="Audit_Dtl">[1]Database!$AC$3:$AP$413</definedName>
    <definedName name="_xlnm.Print_Area" localSheetId="0">Instructions!$B$1:$B$39</definedName>
    <definedName name="_xlnm.Print_Area" localSheetId="1">'Unit Data from Audit Worksheet'!$A$7:$D$240</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6" i="1" l="1"/>
  <c r="F209" i="28" l="1"/>
  <c r="F202" i="28"/>
  <c r="Q210" i="28"/>
  <c r="L213" i="28"/>
  <c r="Q213" i="28" s="1"/>
  <c r="L210" i="28"/>
  <c r="E211" i="28"/>
  <c r="L211" i="28" s="1"/>
  <c r="Q211" i="28" s="1"/>
  <c r="E212" i="28"/>
  <c r="L212" i="28" s="1"/>
  <c r="Q212" i="28" s="1"/>
  <c r="E213" i="28"/>
  <c r="E214" i="28"/>
  <c r="L214" i="28" s="1"/>
  <c r="Q214" i="28" s="1"/>
  <c r="E210" i="28"/>
  <c r="A211" i="28"/>
  <c r="A212" i="28"/>
  <c r="A213" i="28"/>
  <c r="A214" i="28"/>
  <c r="A210" i="28"/>
  <c r="G251" i="1"/>
  <c r="F208" i="28" s="1"/>
  <c r="G252" i="1"/>
  <c r="G249" i="1"/>
  <c r="F206" i="28" s="1"/>
  <c r="G250" i="1"/>
  <c r="F207" i="28" s="1"/>
  <c r="G246" i="1"/>
  <c r="F203" i="28" s="1"/>
  <c r="G247" i="1"/>
  <c r="F204" i="28" s="1"/>
  <c r="G248" i="1"/>
  <c r="F205" i="28" s="1"/>
  <c r="G245" i="1"/>
  <c r="C211" i="28" l="1"/>
  <c r="C212" i="28"/>
  <c r="C213" i="28"/>
  <c r="C214" i="28"/>
  <c r="C210" i="28"/>
  <c r="G207" i="1" l="1"/>
  <c r="G105" i="1"/>
  <c r="G19" i="1"/>
  <c r="G264" i="1"/>
  <c r="F214" i="28" s="1"/>
  <c r="F264" i="1"/>
  <c r="G263" i="1"/>
  <c r="F213" i="28" s="1"/>
  <c r="F263" i="1"/>
  <c r="G262" i="1"/>
  <c r="F212" i="28" s="1"/>
  <c r="F262" i="1"/>
  <c r="G261" i="1"/>
  <c r="F211" i="28" s="1"/>
  <c r="F261" i="1"/>
  <c r="G260" i="1"/>
  <c r="F210" i="28" s="1"/>
  <c r="F260" i="1"/>
  <c r="G95" i="1" l="1"/>
  <c r="G114" i="1" l="1"/>
  <c r="G113" i="1"/>
  <c r="G112" i="1"/>
  <c r="G111" i="1"/>
  <c r="G110" i="1"/>
  <c r="G109" i="1"/>
  <c r="G103" i="1"/>
  <c r="G94" i="1"/>
  <c r="G93" i="1"/>
  <c r="G92" i="1"/>
  <c r="G91" i="1"/>
  <c r="G90" i="1"/>
  <c r="G89" i="1"/>
  <c r="Y201" i="28" l="1"/>
  <c r="D3" i="1" l="1"/>
  <c r="L192" i="28" l="1"/>
  <c r="Y192" i="28" s="1"/>
  <c r="L191" i="28"/>
  <c r="Y191" i="28" s="1"/>
  <c r="L193" i="28"/>
  <c r="Y193" i="28" s="1"/>
  <c r="E239" i="1"/>
  <c r="E238" i="1"/>
  <c r="E237" i="1"/>
  <c r="E236" i="1"/>
  <c r="E235" i="1"/>
  <c r="E234" i="1"/>
  <c r="E233" i="1"/>
  <c r="E232" i="1"/>
  <c r="E229" i="1"/>
  <c r="E227" i="1"/>
  <c r="E225" i="1"/>
  <c r="E223" i="1"/>
  <c r="E222" i="1"/>
  <c r="E221" i="1"/>
  <c r="E215" i="1"/>
  <c r="E214" i="1"/>
  <c r="E212" i="1"/>
  <c r="E211" i="1"/>
  <c r="E210" i="1"/>
  <c r="E209" i="1"/>
  <c r="E206" i="1"/>
  <c r="E204" i="1"/>
  <c r="E203" i="1"/>
  <c r="E202" i="1"/>
  <c r="E201" i="1"/>
  <c r="E199" i="1"/>
  <c r="E198" i="1"/>
  <c r="E197" i="1"/>
  <c r="E192" i="1"/>
  <c r="E191" i="1"/>
  <c r="E190" i="1"/>
  <c r="E189" i="1"/>
  <c r="E186" i="1"/>
  <c r="E185" i="1"/>
  <c r="E184" i="1"/>
  <c r="E183" i="1"/>
  <c r="E180" i="1"/>
  <c r="E179" i="1"/>
  <c r="E178" i="1"/>
  <c r="E177" i="1"/>
  <c r="E173" i="1"/>
  <c r="E172" i="1"/>
  <c r="E168" i="1"/>
  <c r="E167" i="1"/>
  <c r="E163" i="1"/>
  <c r="E159" i="1"/>
  <c r="E157" i="1"/>
  <c r="E156" i="1"/>
  <c r="E155" i="1"/>
  <c r="E153" i="1"/>
  <c r="E152" i="1"/>
  <c r="E151" i="1"/>
  <c r="E146" i="1"/>
  <c r="E145" i="1"/>
  <c r="E144" i="1"/>
  <c r="E143" i="1"/>
  <c r="E142" i="1"/>
  <c r="E141" i="1"/>
  <c r="E140" i="1"/>
  <c r="E139" i="1"/>
  <c r="E138" i="1"/>
  <c r="E137" i="1"/>
  <c r="E136" i="1"/>
  <c r="E135" i="1"/>
  <c r="E134" i="1"/>
  <c r="E132" i="1"/>
  <c r="E131" i="1"/>
  <c r="E130" i="1"/>
  <c r="E129" i="1"/>
  <c r="E128" i="1"/>
  <c r="E127" i="1"/>
  <c r="E126" i="1"/>
  <c r="E125" i="1"/>
  <c r="E124" i="1"/>
  <c r="E123" i="1"/>
  <c r="E122" i="1"/>
  <c r="E121" i="1"/>
  <c r="E120" i="1"/>
  <c r="E119" i="1"/>
  <c r="E116" i="1"/>
  <c r="E115" i="1"/>
  <c r="E114" i="1"/>
  <c r="E107" i="1"/>
  <c r="E106" i="1"/>
  <c r="E105" i="1"/>
  <c r="E102" i="1"/>
  <c r="E101" i="1"/>
  <c r="E100" i="1"/>
  <c r="E99" i="1"/>
  <c r="E97" i="1"/>
  <c r="G130" i="1" s="1"/>
  <c r="E96" i="1"/>
  <c r="E95" i="1"/>
  <c r="E94" i="1"/>
  <c r="E87" i="1"/>
  <c r="E86" i="1"/>
  <c r="E83" i="1"/>
  <c r="E82" i="1"/>
  <c r="E81" i="1"/>
  <c r="E80" i="1"/>
  <c r="E79" i="1"/>
  <c r="E75" i="1"/>
  <c r="E72" i="1"/>
  <c r="E70" i="1"/>
  <c r="E69" i="1"/>
  <c r="E68" i="1"/>
  <c r="E67" i="1"/>
  <c r="E66" i="1"/>
  <c r="E65" i="1"/>
  <c r="E64" i="1"/>
  <c r="E63" i="1"/>
  <c r="E62" i="1"/>
  <c r="E61" i="1"/>
  <c r="E60" i="1"/>
  <c r="E58" i="1"/>
  <c r="E57" i="1"/>
  <c r="E54" i="1"/>
  <c r="E53" i="1"/>
  <c r="E52" i="1"/>
  <c r="E51" i="1"/>
  <c r="E50" i="1"/>
  <c r="E49" i="1"/>
  <c r="E48" i="1"/>
  <c r="E47" i="1"/>
  <c r="E46" i="1"/>
  <c r="E45" i="1"/>
  <c r="E44" i="1"/>
  <c r="E42" i="1"/>
  <c r="E41" i="1"/>
  <c r="E39" i="1"/>
  <c r="E38" i="1"/>
  <c r="E37" i="1"/>
  <c r="E36" i="1"/>
  <c r="E35" i="1"/>
  <c r="E34" i="1"/>
  <c r="E33" i="1"/>
  <c r="E32" i="1"/>
  <c r="E31" i="1"/>
  <c r="E30" i="1"/>
  <c r="E29" i="1"/>
  <c r="E28" i="1"/>
  <c r="E26" i="1"/>
  <c r="E25" i="1"/>
  <c r="E23" i="1"/>
  <c r="E22" i="1"/>
  <c r="E21" i="1"/>
  <c r="E20" i="1"/>
  <c r="E19" i="1"/>
  <c r="E11" i="1"/>
  <c r="E10" i="1"/>
  <c r="E9" i="1"/>
  <c r="E8" i="1"/>
  <c r="E7" i="1"/>
  <c r="M290" i="36" l="1"/>
  <c r="N290" i="36"/>
  <c r="O290" i="36"/>
  <c r="P290" i="36"/>
  <c r="Q290" i="36"/>
  <c r="R290" i="36"/>
  <c r="S290" i="36"/>
  <c r="T290" i="36"/>
  <c r="U290" i="36"/>
  <c r="V290" i="36"/>
  <c r="W290" i="36"/>
  <c r="X290" i="36"/>
  <c r="Y290" i="36"/>
  <c r="Z290" i="36"/>
  <c r="AA290" i="36"/>
  <c r="AB290" i="36"/>
  <c r="AC290" i="36"/>
  <c r="AD290" i="36"/>
  <c r="AE290" i="36"/>
  <c r="AF290" i="36"/>
  <c r="AG290" i="36"/>
  <c r="AH290" i="36"/>
  <c r="AI290" i="36"/>
  <c r="AJ290" i="36"/>
  <c r="AK290" i="36"/>
  <c r="AL290" i="36"/>
  <c r="AM290" i="36"/>
  <c r="AN290" i="36"/>
  <c r="AO290" i="36"/>
  <c r="AP290" i="36"/>
  <c r="AQ290" i="36"/>
  <c r="AR290" i="36"/>
  <c r="AS290" i="36"/>
  <c r="AT290" i="36"/>
  <c r="AU290" i="36"/>
  <c r="AV290" i="36"/>
  <c r="AW290" i="36"/>
  <c r="AX290" i="36"/>
  <c r="AY290" i="36"/>
  <c r="AZ290" i="36"/>
  <c r="BA290" i="36"/>
  <c r="BB290" i="36"/>
  <c r="BC290" i="36"/>
  <c r="BD290" i="36"/>
  <c r="BE290" i="36"/>
  <c r="BF290" i="36"/>
  <c r="BG290" i="36"/>
  <c r="BH290" i="36"/>
  <c r="BI290" i="36"/>
  <c r="BJ290" i="36"/>
  <c r="BK290" i="36"/>
  <c r="BL290" i="36"/>
  <c r="BM290" i="36"/>
  <c r="BN290" i="36"/>
  <c r="BO290" i="36"/>
  <c r="BP290" i="36"/>
  <c r="BQ290" i="36"/>
  <c r="BR290" i="36"/>
  <c r="BS290" i="36"/>
  <c r="BT290" i="36"/>
  <c r="BU290" i="36"/>
  <c r="BV290" i="36"/>
  <c r="BW290" i="36"/>
  <c r="BX290" i="36"/>
  <c r="BY290" i="36"/>
  <c r="BZ290" i="36"/>
  <c r="CA290" i="36"/>
  <c r="CB290" i="36"/>
  <c r="L290" i="36"/>
  <c r="U294" i="36" l="1"/>
  <c r="M287" i="36"/>
  <c r="BT295" i="36"/>
  <c r="BU295" i="36"/>
  <c r="BV295" i="36"/>
  <c r="BW295" i="36"/>
  <c r="BX295" i="36"/>
  <c r="BY295" i="36"/>
  <c r="BY297" i="36" s="1"/>
  <c r="BZ295" i="36"/>
  <c r="CA295" i="36"/>
  <c r="CB295" i="36"/>
  <c r="BT296" i="36"/>
  <c r="BU296" i="36"/>
  <c r="BV296" i="36"/>
  <c r="BV297" i="36" s="1"/>
  <c r="BW296" i="36"/>
  <c r="BW297" i="36" s="1"/>
  <c r="BX296" i="36"/>
  <c r="BY296" i="36"/>
  <c r="BZ296" i="36"/>
  <c r="BZ297" i="36" s="1"/>
  <c r="CA296" i="36"/>
  <c r="CB296" i="36"/>
  <c r="BT299" i="36"/>
  <c r="BU299" i="36"/>
  <c r="BV299" i="36"/>
  <c r="BW299" i="36"/>
  <c r="BX299" i="36"/>
  <c r="BY299" i="36"/>
  <c r="BZ299" i="36"/>
  <c r="CA299" i="36"/>
  <c r="CB299" i="36"/>
  <c r="BT287" i="36"/>
  <c r="BU287" i="36"/>
  <c r="BV287" i="36"/>
  <c r="BW287" i="36"/>
  <c r="BW289" i="36" s="1"/>
  <c r="BX287" i="36"/>
  <c r="BY287" i="36"/>
  <c r="BZ287" i="36"/>
  <c r="CA287" i="36"/>
  <c r="CB287" i="36"/>
  <c r="BT288" i="36"/>
  <c r="BU288" i="36"/>
  <c r="BV288" i="36"/>
  <c r="BW288" i="36"/>
  <c r="BX288" i="36"/>
  <c r="BY288" i="36"/>
  <c r="BZ288" i="36"/>
  <c r="BZ289" i="36" s="1"/>
  <c r="CA288" i="36"/>
  <c r="CA289" i="36" s="1"/>
  <c r="CB288" i="36"/>
  <c r="CB289" i="36" s="1"/>
  <c r="BT291" i="36"/>
  <c r="BU291" i="36"/>
  <c r="BV291" i="36"/>
  <c r="BW291" i="36"/>
  <c r="BX291" i="36"/>
  <c r="BY291" i="36"/>
  <c r="BZ291" i="36"/>
  <c r="CA291" i="36"/>
  <c r="CB291" i="36"/>
  <c r="BT292" i="36"/>
  <c r="BU292" i="36"/>
  <c r="BV292" i="36"/>
  <c r="BW292" i="36"/>
  <c r="BX292" i="36"/>
  <c r="BY292" i="36"/>
  <c r="BZ292" i="36"/>
  <c r="CA292" i="36"/>
  <c r="CB292" i="36"/>
  <c r="BT293" i="36"/>
  <c r="BU293" i="36"/>
  <c r="BV293" i="36"/>
  <c r="BW293" i="36"/>
  <c r="BX293" i="36"/>
  <c r="BY293" i="36"/>
  <c r="BZ293" i="36"/>
  <c r="CA293" i="36"/>
  <c r="CB293" i="36"/>
  <c r="BT294" i="36"/>
  <c r="BU294" i="36"/>
  <c r="BV294" i="36"/>
  <c r="BW294" i="36"/>
  <c r="BX294" i="36"/>
  <c r="BY294" i="36"/>
  <c r="BZ294" i="36"/>
  <c r="CA294" i="36"/>
  <c r="CB294" i="36"/>
  <c r="BT290" i="42"/>
  <c r="BU290" i="42"/>
  <c r="BV290" i="42"/>
  <c r="BW290" i="42"/>
  <c r="BW292" i="42" s="1"/>
  <c r="BX290" i="42"/>
  <c r="BY290" i="42"/>
  <c r="BZ290" i="42"/>
  <c r="CA290" i="42"/>
  <c r="CB290" i="42"/>
  <c r="BT291" i="42"/>
  <c r="BU291" i="42"/>
  <c r="BV291" i="42"/>
  <c r="BV292" i="42" s="1"/>
  <c r="BW291" i="42"/>
  <c r="BX291" i="42"/>
  <c r="BX292" i="42" s="1"/>
  <c r="BY291" i="42"/>
  <c r="BZ291" i="42"/>
  <c r="BZ292" i="42" s="1"/>
  <c r="CA291" i="42"/>
  <c r="CB291" i="42"/>
  <c r="BU292" i="42"/>
  <c r="BY292" i="42"/>
  <c r="BT293" i="42"/>
  <c r="BU293" i="42"/>
  <c r="BV293" i="42"/>
  <c r="BW293" i="42"/>
  <c r="BX293" i="42"/>
  <c r="BY293" i="42"/>
  <c r="BZ293" i="42"/>
  <c r="CA293" i="42"/>
  <c r="CB293" i="42"/>
  <c r="BT294" i="42"/>
  <c r="BU294" i="42"/>
  <c r="BV294" i="42"/>
  <c r="BW294" i="42"/>
  <c r="BX294" i="42"/>
  <c r="BY294" i="42"/>
  <c r="BZ294" i="42"/>
  <c r="CA294" i="42"/>
  <c r="CB294" i="42"/>
  <c r="BT295" i="42"/>
  <c r="BU295" i="42"/>
  <c r="BV295" i="42"/>
  <c r="BW295" i="42"/>
  <c r="BX295" i="42"/>
  <c r="BY295" i="42"/>
  <c r="BZ295" i="42"/>
  <c r="CA295" i="42"/>
  <c r="CB295" i="42"/>
  <c r="BT296" i="42"/>
  <c r="BU296" i="42"/>
  <c r="BV296" i="42"/>
  <c r="BW296" i="42"/>
  <c r="BX296" i="42"/>
  <c r="BY296" i="42"/>
  <c r="BZ296" i="42"/>
  <c r="CA296" i="42"/>
  <c r="CB296" i="42"/>
  <c r="BT297" i="42"/>
  <c r="BU297" i="42"/>
  <c r="BV297" i="42"/>
  <c r="BW297" i="42"/>
  <c r="BX297" i="42"/>
  <c r="BY297" i="42"/>
  <c r="BZ297" i="42"/>
  <c r="CA297" i="42"/>
  <c r="CB297" i="42"/>
  <c r="CB292" i="42" l="1"/>
  <c r="BT292" i="42"/>
  <c r="CA292" i="42"/>
  <c r="BY289" i="36"/>
  <c r="BV289" i="36"/>
  <c r="BT289" i="36"/>
  <c r="BX297" i="36"/>
  <c r="BX289" i="36"/>
  <c r="CB297" i="36"/>
  <c r="BU297" i="36"/>
  <c r="CA297" i="36"/>
  <c r="BU289" i="36"/>
  <c r="BT297" i="36"/>
  <c r="N183" i="28" l="1"/>
  <c r="X201" i="28"/>
  <c r="W76" i="28"/>
  <c r="W77" i="28"/>
  <c r="W78" i="28"/>
  <c r="W79" i="28"/>
  <c r="W80" i="28"/>
  <c r="W81" i="28"/>
  <c r="W169" i="28"/>
  <c r="W191" i="28"/>
  <c r="W192" i="28"/>
  <c r="W193" i="28"/>
  <c r="W201" i="28"/>
  <c r="W215" i="28"/>
  <c r="W4" i="28"/>
  <c r="E179" i="28"/>
  <c r="E291" i="42" l="1"/>
  <c r="E295" i="42"/>
  <c r="E296" i="42"/>
  <c r="E297" i="42"/>
  <c r="BS299" i="36" l="1"/>
  <c r="BR299" i="36"/>
  <c r="BQ299" i="36"/>
  <c r="BP299" i="36"/>
  <c r="BO299" i="36"/>
  <c r="BN299" i="36"/>
  <c r="BM299" i="36"/>
  <c r="BL299" i="36"/>
  <c r="BK299" i="36"/>
  <c r="BJ299" i="36"/>
  <c r="BI299" i="36"/>
  <c r="BH299" i="36"/>
  <c r="BG299" i="36"/>
  <c r="BF299" i="36"/>
  <c r="BE299" i="36"/>
  <c r="BD299" i="36"/>
  <c r="BC299" i="36"/>
  <c r="BB299" i="36"/>
  <c r="BA299" i="36"/>
  <c r="AZ299" i="36"/>
  <c r="AY299" i="36"/>
  <c r="AX299" i="36"/>
  <c r="AW299" i="36"/>
  <c r="AV299" i="36"/>
  <c r="AU299" i="36"/>
  <c r="AT299" i="36"/>
  <c r="AS299" i="36"/>
  <c r="AR299" i="36"/>
  <c r="AQ299" i="36"/>
  <c r="AP299" i="36"/>
  <c r="AO299" i="36"/>
  <c r="AN299" i="36"/>
  <c r="AM299" i="36"/>
  <c r="AL299" i="36"/>
  <c r="AK299" i="36"/>
  <c r="AJ299" i="36"/>
  <c r="AI299" i="36"/>
  <c r="AH299" i="36"/>
  <c r="AG299" i="36"/>
  <c r="AF299" i="36"/>
  <c r="AE299" i="36"/>
  <c r="AD299" i="36"/>
  <c r="AC299" i="36"/>
  <c r="AB299" i="36"/>
  <c r="AA299" i="36"/>
  <c r="Z299" i="36"/>
  <c r="Y299" i="36"/>
  <c r="X299" i="36"/>
  <c r="W299" i="36"/>
  <c r="V299" i="36"/>
  <c r="U299" i="36"/>
  <c r="T299" i="36"/>
  <c r="S299" i="36"/>
  <c r="R299" i="36"/>
  <c r="Q299" i="36"/>
  <c r="P299" i="36"/>
  <c r="O299" i="36"/>
  <c r="N299" i="36"/>
  <c r="M299" i="36"/>
  <c r="L299" i="36"/>
  <c r="K299" i="36"/>
  <c r="J299" i="36"/>
  <c r="I299" i="36"/>
  <c r="H299" i="36"/>
  <c r="G299" i="36"/>
  <c r="F299" i="36"/>
  <c r="E299" i="36"/>
  <c r="BS296" i="36"/>
  <c r="BR296" i="36"/>
  <c r="BQ296" i="36"/>
  <c r="BP296" i="36"/>
  <c r="BO296" i="36"/>
  <c r="BN296" i="36"/>
  <c r="BM296" i="36"/>
  <c r="BL296" i="36"/>
  <c r="BK296" i="36"/>
  <c r="BJ296" i="36"/>
  <c r="BI296" i="36"/>
  <c r="BH296" i="36"/>
  <c r="BG296" i="36"/>
  <c r="BF296" i="36"/>
  <c r="BE296" i="36"/>
  <c r="BD296" i="36"/>
  <c r="BC296" i="36"/>
  <c r="BB296" i="36"/>
  <c r="BA296" i="36"/>
  <c r="AZ296" i="36"/>
  <c r="AY296" i="36"/>
  <c r="AX296" i="36"/>
  <c r="AW296" i="36"/>
  <c r="AV296" i="36"/>
  <c r="AU296" i="36"/>
  <c r="AT296" i="36"/>
  <c r="AS296" i="36"/>
  <c r="AR296" i="36"/>
  <c r="AQ296" i="36"/>
  <c r="AP296" i="36"/>
  <c r="AO296" i="36"/>
  <c r="AN296" i="36"/>
  <c r="AM296" i="36"/>
  <c r="AL296" i="36"/>
  <c r="AK296" i="36"/>
  <c r="AJ296" i="36"/>
  <c r="AI296" i="36"/>
  <c r="AH296" i="36"/>
  <c r="AG296" i="36"/>
  <c r="AF296" i="36"/>
  <c r="AE296" i="36"/>
  <c r="AD296" i="36"/>
  <c r="AC296" i="36"/>
  <c r="AB296" i="36"/>
  <c r="AA296" i="36"/>
  <c r="Z296" i="36"/>
  <c r="Y296" i="36"/>
  <c r="X296" i="36"/>
  <c r="W296" i="36"/>
  <c r="V296" i="36"/>
  <c r="U296" i="36"/>
  <c r="T296" i="36"/>
  <c r="S296" i="36"/>
  <c r="R296" i="36"/>
  <c r="Q296" i="36"/>
  <c r="P296" i="36"/>
  <c r="O296" i="36"/>
  <c r="N296" i="36"/>
  <c r="M296" i="36"/>
  <c r="L296" i="36"/>
  <c r="K296" i="36"/>
  <c r="J296" i="36"/>
  <c r="I296" i="36"/>
  <c r="H296" i="36"/>
  <c r="G296" i="36"/>
  <c r="F296" i="36"/>
  <c r="E296" i="36"/>
  <c r="BS295" i="36"/>
  <c r="BS297" i="36" s="1"/>
  <c r="BS303" i="36" s="1"/>
  <c r="BR295" i="36"/>
  <c r="BR297" i="36" s="1"/>
  <c r="BQ295" i="36"/>
  <c r="BP295" i="36"/>
  <c r="BO295" i="36"/>
  <c r="BN295" i="36"/>
  <c r="BN297" i="36" s="1"/>
  <c r="BM295" i="36"/>
  <c r="BL295" i="36"/>
  <c r="BL297" i="36" s="1"/>
  <c r="BK295" i="36"/>
  <c r="BK297" i="36" s="1"/>
  <c r="BK303" i="36" s="1"/>
  <c r="BJ295" i="36"/>
  <c r="BJ297" i="36" s="1"/>
  <c r="BI295" i="36"/>
  <c r="BH295" i="36"/>
  <c r="BG295" i="36"/>
  <c r="BF295" i="36"/>
  <c r="BF297" i="36" s="1"/>
  <c r="BE295" i="36"/>
  <c r="BD295" i="36"/>
  <c r="BD297" i="36" s="1"/>
  <c r="BC295" i="36"/>
  <c r="BC297" i="36" s="1"/>
  <c r="BC303" i="36" s="1"/>
  <c r="BB295" i="36"/>
  <c r="BB297" i="36" s="1"/>
  <c r="BA295" i="36"/>
  <c r="AZ295" i="36"/>
  <c r="AY295" i="36"/>
  <c r="AX295" i="36"/>
  <c r="AX297" i="36" s="1"/>
  <c r="AX303" i="36" s="1"/>
  <c r="AW295" i="36"/>
  <c r="AV295" i="36"/>
  <c r="AV297" i="36" s="1"/>
  <c r="AU295" i="36"/>
  <c r="AU297" i="36" s="1"/>
  <c r="AU303" i="36" s="1"/>
  <c r="AT295" i="36"/>
  <c r="AT297" i="36" s="1"/>
  <c r="AS295" i="36"/>
  <c r="AS297" i="36" s="1"/>
  <c r="AS303" i="36" s="1"/>
  <c r="AR295" i="36"/>
  <c r="AQ295" i="36"/>
  <c r="AP295" i="36"/>
  <c r="AP297" i="36" s="1"/>
  <c r="AP303" i="36" s="1"/>
  <c r="AO295" i="36"/>
  <c r="AN295" i="36"/>
  <c r="AN297" i="36" s="1"/>
  <c r="AM295" i="36"/>
  <c r="AM297" i="36" s="1"/>
  <c r="AM303" i="36" s="1"/>
  <c r="AL295" i="36"/>
  <c r="AL297" i="36" s="1"/>
  <c r="AK295" i="36"/>
  <c r="AK297" i="36" s="1"/>
  <c r="AK303" i="36" s="1"/>
  <c r="AJ295" i="36"/>
  <c r="AI295" i="36"/>
  <c r="AH295" i="36"/>
  <c r="AH297" i="36" s="1"/>
  <c r="AH303" i="36" s="1"/>
  <c r="AG295" i="36"/>
  <c r="AF295" i="36"/>
  <c r="AF297" i="36" s="1"/>
  <c r="AE295" i="36"/>
  <c r="AE297" i="36" s="1"/>
  <c r="AE303" i="36" s="1"/>
  <c r="AD295" i="36"/>
  <c r="AD297" i="36" s="1"/>
  <c r="AD303" i="36" s="1"/>
  <c r="AC295" i="36"/>
  <c r="AC297" i="36" s="1"/>
  <c r="AC303" i="36" s="1"/>
  <c r="AB295" i="36"/>
  <c r="AA295" i="36"/>
  <c r="Z295" i="36"/>
  <c r="Z297" i="36" s="1"/>
  <c r="Z303" i="36" s="1"/>
  <c r="Y295" i="36"/>
  <c r="X295" i="36"/>
  <c r="X297" i="36" s="1"/>
  <c r="W295" i="36"/>
  <c r="W297" i="36" s="1"/>
  <c r="W303" i="36" s="1"/>
  <c r="V295" i="36"/>
  <c r="V297" i="36" s="1"/>
  <c r="U295" i="36"/>
  <c r="U297" i="36" s="1"/>
  <c r="U303" i="36" s="1"/>
  <c r="T295" i="36"/>
  <c r="S295" i="36"/>
  <c r="R295" i="36"/>
  <c r="R297" i="36" s="1"/>
  <c r="R303" i="36" s="1"/>
  <c r="Q295" i="36"/>
  <c r="P295" i="36"/>
  <c r="P297" i="36" s="1"/>
  <c r="O295" i="36"/>
  <c r="O297" i="36" s="1"/>
  <c r="O303" i="36" s="1"/>
  <c r="N295" i="36"/>
  <c r="N297" i="36" s="1"/>
  <c r="N303" i="36" s="1"/>
  <c r="M295" i="36"/>
  <c r="M297" i="36" s="1"/>
  <c r="M303" i="36" s="1"/>
  <c r="L295" i="36"/>
  <c r="K295" i="36"/>
  <c r="J295" i="36"/>
  <c r="J297" i="36" s="1"/>
  <c r="J303" i="36" s="1"/>
  <c r="I295" i="36"/>
  <c r="H295" i="36"/>
  <c r="H297" i="36" s="1"/>
  <c r="G295" i="36"/>
  <c r="G297" i="36" s="1"/>
  <c r="G303" i="36" s="1"/>
  <c r="F295" i="36"/>
  <c r="F297" i="36" s="1"/>
  <c r="F303" i="36" s="1"/>
  <c r="E295" i="36"/>
  <c r="E297" i="36" s="1"/>
  <c r="E303" i="36" s="1"/>
  <c r="BS294" i="36"/>
  <c r="BR294" i="36"/>
  <c r="BQ294" i="36"/>
  <c r="BP294" i="36"/>
  <c r="BO294" i="36"/>
  <c r="BN294" i="36"/>
  <c r="BM294" i="36"/>
  <c r="BL294" i="36"/>
  <c r="BK294" i="36"/>
  <c r="BJ294" i="36"/>
  <c r="BI294" i="36"/>
  <c r="BH294" i="36"/>
  <c r="BG294" i="36"/>
  <c r="BF294" i="36"/>
  <c r="BE294" i="36"/>
  <c r="BD294" i="36"/>
  <c r="BC294" i="36"/>
  <c r="BB294" i="36"/>
  <c r="BA294" i="36"/>
  <c r="AZ294" i="36"/>
  <c r="AY294" i="36"/>
  <c r="AX294" i="36"/>
  <c r="AW294" i="36"/>
  <c r="AV294" i="36"/>
  <c r="AU294" i="36"/>
  <c r="AT294" i="36"/>
  <c r="AS294" i="36"/>
  <c r="AR294" i="36"/>
  <c r="AQ294" i="36"/>
  <c r="AP294" i="36"/>
  <c r="AO294" i="36"/>
  <c r="AN294" i="36"/>
  <c r="AM294" i="36"/>
  <c r="AL294" i="36"/>
  <c r="AK294" i="36"/>
  <c r="AJ294" i="36"/>
  <c r="AI294" i="36"/>
  <c r="AH294" i="36"/>
  <c r="AG294" i="36"/>
  <c r="AF294" i="36"/>
  <c r="AE294" i="36"/>
  <c r="AD294" i="36"/>
  <c r="AC294" i="36"/>
  <c r="AB294" i="36"/>
  <c r="AA294" i="36"/>
  <c r="Z294" i="36"/>
  <c r="Y294" i="36"/>
  <c r="X294" i="36"/>
  <c r="W294" i="36"/>
  <c r="V294" i="36"/>
  <c r="T294" i="36"/>
  <c r="S294" i="36"/>
  <c r="R294" i="36"/>
  <c r="Q294" i="36"/>
  <c r="P294" i="36"/>
  <c r="O294" i="36"/>
  <c r="N294" i="36"/>
  <c r="M294" i="36"/>
  <c r="L294" i="36"/>
  <c r="K294" i="36"/>
  <c r="J294" i="36"/>
  <c r="I294" i="36"/>
  <c r="H294" i="36"/>
  <c r="G294" i="36"/>
  <c r="F294" i="36"/>
  <c r="E294" i="36"/>
  <c r="BS293" i="36"/>
  <c r="BR293" i="36"/>
  <c r="BQ293" i="36"/>
  <c r="BP293" i="36"/>
  <c r="BO293" i="36"/>
  <c r="BN293" i="36"/>
  <c r="BM293" i="36"/>
  <c r="BL293" i="36"/>
  <c r="BK293" i="36"/>
  <c r="BJ293" i="36"/>
  <c r="BI293" i="36"/>
  <c r="BH293" i="36"/>
  <c r="BG293" i="36"/>
  <c r="BF293" i="36"/>
  <c r="BE293" i="36"/>
  <c r="BD293" i="36"/>
  <c r="BC293" i="36"/>
  <c r="BB293" i="36"/>
  <c r="BA293" i="36"/>
  <c r="AZ293" i="36"/>
  <c r="AY293" i="36"/>
  <c r="AX293" i="36"/>
  <c r="AW293" i="36"/>
  <c r="AV293" i="36"/>
  <c r="AU293" i="36"/>
  <c r="AT293" i="36"/>
  <c r="AS293" i="36"/>
  <c r="AR293" i="36"/>
  <c r="AQ293" i="36"/>
  <c r="AP293" i="36"/>
  <c r="AO293" i="36"/>
  <c r="AN293" i="36"/>
  <c r="AM293" i="36"/>
  <c r="AL293" i="36"/>
  <c r="AK293" i="36"/>
  <c r="AJ293" i="36"/>
  <c r="AI293" i="36"/>
  <c r="AH293" i="36"/>
  <c r="AG293" i="36"/>
  <c r="AF293" i="36"/>
  <c r="AE293" i="36"/>
  <c r="AD293" i="36"/>
  <c r="AC293" i="36"/>
  <c r="AB293" i="36"/>
  <c r="AA293" i="36"/>
  <c r="Z293" i="36"/>
  <c r="Y293" i="36"/>
  <c r="X293" i="36"/>
  <c r="W293" i="36"/>
  <c r="V293" i="36"/>
  <c r="U293" i="36"/>
  <c r="T293" i="36"/>
  <c r="S293" i="36"/>
  <c r="R293" i="36"/>
  <c r="Q293" i="36"/>
  <c r="P293" i="36"/>
  <c r="O293" i="36"/>
  <c r="N293" i="36"/>
  <c r="M293" i="36"/>
  <c r="L293" i="36"/>
  <c r="K293" i="36"/>
  <c r="J293" i="36"/>
  <c r="I293" i="36"/>
  <c r="H293" i="36"/>
  <c r="G293" i="36"/>
  <c r="F293" i="36"/>
  <c r="E293" i="36"/>
  <c r="BS292" i="36"/>
  <c r="BR292" i="36"/>
  <c r="BQ292" i="36"/>
  <c r="BP292" i="36"/>
  <c r="BO292" i="36"/>
  <c r="BN292" i="36"/>
  <c r="BM292" i="36"/>
  <c r="BL292" i="36"/>
  <c r="BK292" i="36"/>
  <c r="BJ292" i="36"/>
  <c r="BI292" i="36"/>
  <c r="BH292" i="36"/>
  <c r="BG292" i="36"/>
  <c r="BF292" i="36"/>
  <c r="BE292" i="36"/>
  <c r="BD292" i="36"/>
  <c r="BC292" i="36"/>
  <c r="BB292" i="36"/>
  <c r="BA292" i="36"/>
  <c r="AZ292" i="36"/>
  <c r="AY292" i="36"/>
  <c r="AX292" i="36"/>
  <c r="AW292" i="36"/>
  <c r="AV292" i="36"/>
  <c r="AU292" i="36"/>
  <c r="AT292" i="36"/>
  <c r="AS292" i="36"/>
  <c r="AR292" i="36"/>
  <c r="AQ292" i="36"/>
  <c r="AP292" i="36"/>
  <c r="AO292" i="36"/>
  <c r="AN292" i="36"/>
  <c r="AM292" i="36"/>
  <c r="AL292" i="36"/>
  <c r="AK292" i="36"/>
  <c r="AJ292" i="36"/>
  <c r="AI292" i="36"/>
  <c r="AH292" i="36"/>
  <c r="AG292" i="36"/>
  <c r="AF292" i="36"/>
  <c r="AE292" i="36"/>
  <c r="AD292" i="36"/>
  <c r="AC292" i="36"/>
  <c r="AB292" i="36"/>
  <c r="AA292" i="36"/>
  <c r="Z292" i="36"/>
  <c r="Y292" i="36"/>
  <c r="X292" i="36"/>
  <c r="W292" i="36"/>
  <c r="V292" i="36"/>
  <c r="U292" i="36"/>
  <c r="T292" i="36"/>
  <c r="S292" i="36"/>
  <c r="R292" i="36"/>
  <c r="Q292" i="36"/>
  <c r="P292" i="36"/>
  <c r="O292" i="36"/>
  <c r="N292" i="36"/>
  <c r="M292" i="36"/>
  <c r="L292" i="36"/>
  <c r="K292" i="36"/>
  <c r="J292" i="36"/>
  <c r="I292" i="36"/>
  <c r="H292" i="36"/>
  <c r="G292" i="36"/>
  <c r="F292" i="36"/>
  <c r="E292" i="36"/>
  <c r="BS291" i="36"/>
  <c r="BR291" i="36"/>
  <c r="BQ291" i="36"/>
  <c r="BP291" i="36"/>
  <c r="BO291" i="36"/>
  <c r="BN291" i="36"/>
  <c r="BM291" i="36"/>
  <c r="BL291" i="36"/>
  <c r="BK291" i="36"/>
  <c r="BJ291" i="36"/>
  <c r="BI291" i="36"/>
  <c r="BH291" i="36"/>
  <c r="BG291" i="36"/>
  <c r="BF291" i="36"/>
  <c r="BE291" i="36"/>
  <c r="BD291" i="36"/>
  <c r="BC291" i="36"/>
  <c r="BB291" i="36"/>
  <c r="BA291" i="36"/>
  <c r="AZ291" i="36"/>
  <c r="AY291" i="36"/>
  <c r="AX291" i="36"/>
  <c r="AW291" i="36"/>
  <c r="AV291" i="36"/>
  <c r="AU291" i="36"/>
  <c r="AT291" i="36"/>
  <c r="AS291" i="36"/>
  <c r="AR291" i="36"/>
  <c r="AQ291" i="36"/>
  <c r="AP291" i="36"/>
  <c r="AO291" i="36"/>
  <c r="AN291" i="36"/>
  <c r="AM291" i="36"/>
  <c r="AL291" i="36"/>
  <c r="AK291" i="36"/>
  <c r="AJ291" i="36"/>
  <c r="AI291" i="36"/>
  <c r="AH291" i="36"/>
  <c r="AG291" i="36"/>
  <c r="AF291" i="36"/>
  <c r="AE291" i="36"/>
  <c r="AD291" i="36"/>
  <c r="AC291" i="36"/>
  <c r="AB291" i="36"/>
  <c r="AA291" i="36"/>
  <c r="Z291" i="36"/>
  <c r="Y291" i="36"/>
  <c r="X291" i="36"/>
  <c r="W291" i="36"/>
  <c r="V291" i="36"/>
  <c r="U291" i="36"/>
  <c r="T291" i="36"/>
  <c r="S291" i="36"/>
  <c r="R291" i="36"/>
  <c r="Q291" i="36"/>
  <c r="P291" i="36"/>
  <c r="O291" i="36"/>
  <c r="N291" i="36"/>
  <c r="M291" i="36"/>
  <c r="L291" i="36"/>
  <c r="K291" i="36"/>
  <c r="J291" i="36"/>
  <c r="I291" i="36"/>
  <c r="H291" i="36"/>
  <c r="G291" i="36"/>
  <c r="F291" i="36"/>
  <c r="E291" i="36"/>
  <c r="K290" i="36"/>
  <c r="J290" i="36"/>
  <c r="I290" i="36"/>
  <c r="H290" i="36"/>
  <c r="G290" i="36"/>
  <c r="F290" i="36"/>
  <c r="E290" i="36"/>
  <c r="BS288" i="36"/>
  <c r="BR288" i="36"/>
  <c r="BQ288" i="36"/>
  <c r="BP288" i="36"/>
  <c r="BO288" i="36"/>
  <c r="BN288" i="36"/>
  <c r="BM288" i="36"/>
  <c r="BL288" i="36"/>
  <c r="BK288" i="36"/>
  <c r="BJ288" i="36"/>
  <c r="BI288" i="36"/>
  <c r="BH288" i="36"/>
  <c r="BG288" i="36"/>
  <c r="BF288" i="36"/>
  <c r="BE288" i="36"/>
  <c r="BD288" i="36"/>
  <c r="BC288" i="36"/>
  <c r="BB288" i="36"/>
  <c r="BA288" i="36"/>
  <c r="AZ288" i="36"/>
  <c r="AY288" i="36"/>
  <c r="AX288" i="36"/>
  <c r="AW288" i="36"/>
  <c r="AV288" i="36"/>
  <c r="AU288" i="36"/>
  <c r="AT288" i="36"/>
  <c r="AS288" i="36"/>
  <c r="AR288" i="36"/>
  <c r="AQ288" i="36"/>
  <c r="AP288" i="36"/>
  <c r="AO288" i="36"/>
  <c r="AN288" i="36"/>
  <c r="AM288" i="36"/>
  <c r="AL288" i="36"/>
  <c r="AK288" i="36"/>
  <c r="AJ288" i="36"/>
  <c r="AI288" i="36"/>
  <c r="AH288" i="36"/>
  <c r="AG288" i="36"/>
  <c r="AF288" i="36"/>
  <c r="AE288" i="36"/>
  <c r="AD288" i="36"/>
  <c r="AC288" i="36"/>
  <c r="AB288" i="36"/>
  <c r="AA288" i="36"/>
  <c r="Z288" i="36"/>
  <c r="Y288" i="36"/>
  <c r="X288" i="36"/>
  <c r="W288" i="36"/>
  <c r="V288" i="36"/>
  <c r="U288" i="36"/>
  <c r="T288" i="36"/>
  <c r="S288" i="36"/>
  <c r="R288" i="36"/>
  <c r="Q288" i="36"/>
  <c r="P288" i="36"/>
  <c r="O288" i="36"/>
  <c r="N288" i="36"/>
  <c r="M288" i="36"/>
  <c r="L288" i="36"/>
  <c r="K288" i="36"/>
  <c r="J288" i="36"/>
  <c r="I288" i="36"/>
  <c r="H288" i="36"/>
  <c r="G288" i="36"/>
  <c r="F288" i="36"/>
  <c r="E288" i="36"/>
  <c r="BS287" i="36"/>
  <c r="BS289" i="36" s="1"/>
  <c r="BR287" i="36"/>
  <c r="BQ287" i="36"/>
  <c r="BQ289" i="36" s="1"/>
  <c r="BP287" i="36"/>
  <c r="BO287" i="36"/>
  <c r="BN287" i="36"/>
  <c r="BM287" i="36"/>
  <c r="BM289" i="36" s="1"/>
  <c r="BL287" i="36"/>
  <c r="BK287" i="36"/>
  <c r="BK289" i="36" s="1"/>
  <c r="BJ287" i="36"/>
  <c r="BI287" i="36"/>
  <c r="BI289" i="36" s="1"/>
  <c r="BH287" i="36"/>
  <c r="BG287" i="36"/>
  <c r="BF287" i="36"/>
  <c r="BE287" i="36"/>
  <c r="BE289" i="36" s="1"/>
  <c r="BD287" i="36"/>
  <c r="BC287" i="36"/>
  <c r="BC289" i="36" s="1"/>
  <c r="BB287" i="36"/>
  <c r="BA287" i="36"/>
  <c r="BA289" i="36" s="1"/>
  <c r="AZ287" i="36"/>
  <c r="AY287" i="36"/>
  <c r="AX287" i="36"/>
  <c r="AW287" i="36"/>
  <c r="AW289" i="36" s="1"/>
  <c r="AV287" i="36"/>
  <c r="AU287" i="36"/>
  <c r="AU289" i="36" s="1"/>
  <c r="AT287" i="36"/>
  <c r="AS287" i="36"/>
  <c r="AS289" i="36" s="1"/>
  <c r="AR287" i="36"/>
  <c r="AQ287" i="36"/>
  <c r="AP287" i="36"/>
  <c r="AO287" i="36"/>
  <c r="AO289" i="36" s="1"/>
  <c r="AN287" i="36"/>
  <c r="AM287" i="36"/>
  <c r="AM289" i="36" s="1"/>
  <c r="AL287" i="36"/>
  <c r="AK287" i="36"/>
  <c r="AK289" i="36" s="1"/>
  <c r="AJ287" i="36"/>
  <c r="AI287" i="36"/>
  <c r="AH287" i="36"/>
  <c r="AG287" i="36"/>
  <c r="AG289" i="36" s="1"/>
  <c r="AF287" i="36"/>
  <c r="AE287" i="36"/>
  <c r="AE289" i="36" s="1"/>
  <c r="AD287" i="36"/>
  <c r="AC287" i="36"/>
  <c r="AC289" i="36" s="1"/>
  <c r="AB287" i="36"/>
  <c r="AA287" i="36"/>
  <c r="Z287" i="36"/>
  <c r="Y287" i="36"/>
  <c r="Y289" i="36" s="1"/>
  <c r="X287" i="36"/>
  <c r="W287" i="36"/>
  <c r="W289" i="36" s="1"/>
  <c r="V287" i="36"/>
  <c r="U287" i="36"/>
  <c r="U289" i="36" s="1"/>
  <c r="T287" i="36"/>
  <c r="S287" i="36"/>
  <c r="R287" i="36"/>
  <c r="Q287" i="36"/>
  <c r="Q289" i="36" s="1"/>
  <c r="P287" i="36"/>
  <c r="O287" i="36"/>
  <c r="O289" i="36" s="1"/>
  <c r="N287" i="36"/>
  <c r="M289" i="36"/>
  <c r="L287" i="36"/>
  <c r="K287" i="36"/>
  <c r="J287" i="36"/>
  <c r="I287" i="36"/>
  <c r="I289" i="36" s="1"/>
  <c r="H287" i="36"/>
  <c r="G287" i="36"/>
  <c r="G289" i="36" s="1"/>
  <c r="F287" i="36"/>
  <c r="E287" i="36"/>
  <c r="E289" i="36" s="1"/>
  <c r="BS285" i="36"/>
  <c r="BR285" i="36"/>
  <c r="BQ285" i="36"/>
  <c r="BP285" i="36"/>
  <c r="BO285" i="36"/>
  <c r="BN285" i="36"/>
  <c r="BM285" i="36"/>
  <c r="BL285" i="36"/>
  <c r="BK285" i="36"/>
  <c r="BJ285" i="36"/>
  <c r="BI285" i="36"/>
  <c r="BH285" i="36"/>
  <c r="BG285" i="36"/>
  <c r="BF285" i="36"/>
  <c r="BE285" i="36"/>
  <c r="BD285" i="36"/>
  <c r="BC285" i="36"/>
  <c r="BB285" i="36"/>
  <c r="BA285" i="36"/>
  <c r="AZ285" i="36"/>
  <c r="AY285" i="36"/>
  <c r="AX285" i="36"/>
  <c r="AW285" i="36"/>
  <c r="AV285" i="36"/>
  <c r="AU285" i="36"/>
  <c r="AT285" i="36"/>
  <c r="AS285" i="36"/>
  <c r="AR285" i="36"/>
  <c r="AQ285" i="36"/>
  <c r="AP285" i="36"/>
  <c r="AO285" i="36"/>
  <c r="AN285" i="36"/>
  <c r="AM285" i="36"/>
  <c r="AL285" i="36"/>
  <c r="AK285" i="36"/>
  <c r="AJ285" i="36"/>
  <c r="AI285" i="36"/>
  <c r="AH285" i="36"/>
  <c r="AG285" i="36"/>
  <c r="AF285" i="36"/>
  <c r="AE285" i="36"/>
  <c r="AD285" i="36"/>
  <c r="AC285" i="36"/>
  <c r="AB285" i="36"/>
  <c r="AA285" i="36"/>
  <c r="Z285" i="36"/>
  <c r="Y285" i="36"/>
  <c r="X285" i="36"/>
  <c r="W285" i="36"/>
  <c r="V285" i="36"/>
  <c r="U285" i="36"/>
  <c r="T285" i="36"/>
  <c r="S285" i="36"/>
  <c r="R285" i="36"/>
  <c r="Q285" i="36"/>
  <c r="P285" i="36"/>
  <c r="O285" i="36"/>
  <c r="N285" i="36"/>
  <c r="M285" i="36"/>
  <c r="L285" i="36"/>
  <c r="K285" i="36"/>
  <c r="J285" i="36"/>
  <c r="I285" i="36"/>
  <c r="H285" i="36"/>
  <c r="G285" i="36"/>
  <c r="F285" i="36"/>
  <c r="E285" i="36"/>
  <c r="BS284" i="36"/>
  <c r="BR284" i="36"/>
  <c r="BQ284" i="36"/>
  <c r="BP284" i="36"/>
  <c r="BO284" i="36"/>
  <c r="BN284" i="36"/>
  <c r="BM284" i="36"/>
  <c r="BL284" i="36"/>
  <c r="BK284" i="36"/>
  <c r="BJ284" i="36"/>
  <c r="BI284" i="36"/>
  <c r="BH284" i="36"/>
  <c r="BG284" i="36"/>
  <c r="BF284" i="36"/>
  <c r="BE284" i="36"/>
  <c r="BD284" i="36"/>
  <c r="BC284" i="36"/>
  <c r="BB284" i="36"/>
  <c r="BA284" i="36"/>
  <c r="AZ284" i="36"/>
  <c r="AY284" i="36"/>
  <c r="AX284" i="36"/>
  <c r="AW284" i="36"/>
  <c r="AV284" i="36"/>
  <c r="AU284" i="36"/>
  <c r="AT284" i="36"/>
  <c r="AS284" i="36"/>
  <c r="AR284" i="36"/>
  <c r="AQ284" i="36"/>
  <c r="AP284" i="36"/>
  <c r="AO284" i="36"/>
  <c r="AN284" i="36"/>
  <c r="AM284" i="36"/>
  <c r="AL284" i="36"/>
  <c r="AK284" i="36"/>
  <c r="AJ284" i="36"/>
  <c r="AI284" i="36"/>
  <c r="AH284" i="36"/>
  <c r="AG284" i="36"/>
  <c r="AF284" i="36"/>
  <c r="AE284" i="36"/>
  <c r="AD284" i="36"/>
  <c r="AC284" i="36"/>
  <c r="AB284" i="36"/>
  <c r="AA284" i="36"/>
  <c r="Z284" i="36"/>
  <c r="Y284" i="36"/>
  <c r="X284" i="36"/>
  <c r="W284" i="36"/>
  <c r="V284" i="36"/>
  <c r="U284" i="36"/>
  <c r="T284" i="36"/>
  <c r="S284" i="36"/>
  <c r="R284" i="36"/>
  <c r="Q284" i="36"/>
  <c r="P284" i="36"/>
  <c r="O284" i="36"/>
  <c r="N284" i="36"/>
  <c r="M284" i="36"/>
  <c r="L284" i="36"/>
  <c r="K284" i="36"/>
  <c r="J284" i="36"/>
  <c r="I284" i="36"/>
  <c r="H284" i="36"/>
  <c r="G284" i="36"/>
  <c r="F284" i="36"/>
  <c r="E284" i="36"/>
  <c r="BS283" i="36"/>
  <c r="BR283" i="36"/>
  <c r="BQ283" i="36"/>
  <c r="BP283" i="36"/>
  <c r="BO283" i="36"/>
  <c r="BN283" i="36"/>
  <c r="BM283" i="36"/>
  <c r="BL283" i="36"/>
  <c r="BK283" i="36"/>
  <c r="BJ283" i="36"/>
  <c r="BI283" i="36"/>
  <c r="BH283" i="36"/>
  <c r="BG283" i="36"/>
  <c r="BF283" i="36"/>
  <c r="BE283" i="36"/>
  <c r="BD283" i="36"/>
  <c r="BC283" i="36"/>
  <c r="BB283" i="36"/>
  <c r="BA283" i="36"/>
  <c r="AZ283" i="36"/>
  <c r="AY283" i="36"/>
  <c r="AX283" i="36"/>
  <c r="AW283" i="36"/>
  <c r="AV283" i="36"/>
  <c r="AU283" i="36"/>
  <c r="AT283" i="36"/>
  <c r="AS283" i="36"/>
  <c r="AR283" i="36"/>
  <c r="AQ283" i="36"/>
  <c r="AP283" i="36"/>
  <c r="AO283" i="36"/>
  <c r="AN283" i="36"/>
  <c r="AM283" i="36"/>
  <c r="AL283" i="36"/>
  <c r="AK283" i="36"/>
  <c r="AJ283" i="36"/>
  <c r="AI283" i="36"/>
  <c r="AH283" i="36"/>
  <c r="AG283" i="36"/>
  <c r="AF283" i="36"/>
  <c r="AE283" i="36"/>
  <c r="AD283" i="36"/>
  <c r="AC283" i="36"/>
  <c r="AB283" i="36"/>
  <c r="AA283" i="36"/>
  <c r="Z283" i="36"/>
  <c r="Y283" i="36"/>
  <c r="X283" i="36"/>
  <c r="W283" i="36"/>
  <c r="V283" i="36"/>
  <c r="U283" i="36"/>
  <c r="T283" i="36"/>
  <c r="S283" i="36"/>
  <c r="R283" i="36"/>
  <c r="Q283" i="36"/>
  <c r="P283" i="36"/>
  <c r="O283" i="36"/>
  <c r="N283" i="36"/>
  <c r="M283" i="36"/>
  <c r="L283" i="36"/>
  <c r="K283" i="36"/>
  <c r="J283" i="36"/>
  <c r="I283" i="36"/>
  <c r="H283" i="36"/>
  <c r="G283" i="36"/>
  <c r="F283" i="36"/>
  <c r="E283" i="36"/>
  <c r="BS297" i="42"/>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F297"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F296"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F295" i="42"/>
  <c r="BS294" i="42"/>
  <c r="BR294" i="42"/>
  <c r="BQ294" i="42"/>
  <c r="BP294" i="42"/>
  <c r="BO294" i="42"/>
  <c r="BN294" i="42"/>
  <c r="BM294" i="42"/>
  <c r="BL294" i="42"/>
  <c r="BK294" i="42"/>
  <c r="BJ294" i="42"/>
  <c r="BI294" i="42"/>
  <c r="BH294" i="42"/>
  <c r="BG294" i="42"/>
  <c r="BF294" i="42"/>
  <c r="BE294" i="42"/>
  <c r="BD294" i="42"/>
  <c r="BC294" i="42"/>
  <c r="BB294" i="42"/>
  <c r="BA294" i="42"/>
  <c r="AZ294" i="42"/>
  <c r="AY294" i="42"/>
  <c r="AX294" i="42"/>
  <c r="AW294" i="42"/>
  <c r="AV294" i="42"/>
  <c r="AU294" i="42"/>
  <c r="AT294" i="42"/>
  <c r="AS294" i="42"/>
  <c r="AR294" i="42"/>
  <c r="AQ294" i="42"/>
  <c r="AP294" i="42"/>
  <c r="AO294" i="42"/>
  <c r="AN294" i="42"/>
  <c r="AM294" i="42"/>
  <c r="AL294" i="42"/>
  <c r="AK294" i="42"/>
  <c r="AJ294" i="42"/>
  <c r="AI294" i="42"/>
  <c r="AH294" i="42"/>
  <c r="AG294" i="42"/>
  <c r="AF294" i="42"/>
  <c r="AE294" i="42"/>
  <c r="AD294" i="42"/>
  <c r="AC294" i="42"/>
  <c r="AB294" i="42"/>
  <c r="AA294" i="42"/>
  <c r="Z294" i="42"/>
  <c r="Y294" i="42"/>
  <c r="X294" i="42"/>
  <c r="W294" i="42"/>
  <c r="V294" i="42"/>
  <c r="U294" i="42"/>
  <c r="T294" i="42"/>
  <c r="S294" i="42"/>
  <c r="R294" i="42"/>
  <c r="Q294" i="42"/>
  <c r="P294" i="42"/>
  <c r="O294" i="42"/>
  <c r="N294" i="42"/>
  <c r="M294" i="42"/>
  <c r="L294" i="42"/>
  <c r="K294" i="42"/>
  <c r="J294" i="42"/>
  <c r="I294" i="42"/>
  <c r="H294" i="42"/>
  <c r="G294" i="42"/>
  <c r="F294" i="42"/>
  <c r="E294" i="42"/>
  <c r="BS293" i="42"/>
  <c r="BR293" i="42"/>
  <c r="BQ293" i="42"/>
  <c r="BP293" i="42"/>
  <c r="BO293" i="42"/>
  <c r="BN293" i="42"/>
  <c r="BM293" i="42"/>
  <c r="BL293" i="42"/>
  <c r="BK293" i="42"/>
  <c r="BJ293" i="42"/>
  <c r="BI293" i="42"/>
  <c r="BH293" i="42"/>
  <c r="BG293" i="42"/>
  <c r="BF293" i="42"/>
  <c r="BE293" i="42"/>
  <c r="BD293" i="42"/>
  <c r="BC293" i="42"/>
  <c r="BB293" i="42"/>
  <c r="BA293" i="42"/>
  <c r="AZ293" i="42"/>
  <c r="AY293" i="42"/>
  <c r="AX293" i="42"/>
  <c r="AW293" i="42"/>
  <c r="AV293" i="42"/>
  <c r="AU293" i="42"/>
  <c r="AT293" i="42"/>
  <c r="AS293" i="42"/>
  <c r="AR293" i="42"/>
  <c r="AQ293" i="42"/>
  <c r="AP293" i="42"/>
  <c r="AO293" i="42"/>
  <c r="AN293" i="42"/>
  <c r="AM293" i="42"/>
  <c r="AL293" i="42"/>
  <c r="AK293" i="42"/>
  <c r="AJ293" i="42"/>
  <c r="AI293" i="42"/>
  <c r="AH293" i="42"/>
  <c r="AG293" i="42"/>
  <c r="AF293" i="42"/>
  <c r="AE293" i="42"/>
  <c r="AD293" i="42"/>
  <c r="AC293" i="42"/>
  <c r="AB293" i="42"/>
  <c r="AA293" i="42"/>
  <c r="Z293" i="42"/>
  <c r="Y293" i="42"/>
  <c r="X293" i="42"/>
  <c r="W293" i="42"/>
  <c r="V293" i="42"/>
  <c r="U293" i="42"/>
  <c r="T293" i="42"/>
  <c r="S293" i="42"/>
  <c r="R293" i="42"/>
  <c r="Q293" i="42"/>
  <c r="P293" i="42"/>
  <c r="O293" i="42"/>
  <c r="N293" i="42"/>
  <c r="M293" i="42"/>
  <c r="L293" i="42"/>
  <c r="K293" i="42"/>
  <c r="J293" i="42"/>
  <c r="I293" i="42"/>
  <c r="H293" i="42"/>
  <c r="G293" i="42"/>
  <c r="F293" i="42"/>
  <c r="E293" i="42"/>
  <c r="BS291" i="42"/>
  <c r="BR291" i="42"/>
  <c r="BQ291" i="42"/>
  <c r="BP291" i="42"/>
  <c r="BO291" i="42"/>
  <c r="BN291" i="42"/>
  <c r="BM291" i="42"/>
  <c r="BL291" i="42"/>
  <c r="BK291" i="42"/>
  <c r="BJ291" i="42"/>
  <c r="BI291" i="42"/>
  <c r="BH291" i="42"/>
  <c r="BG291" i="42"/>
  <c r="BF291" i="42"/>
  <c r="BE291" i="42"/>
  <c r="BD291" i="42"/>
  <c r="BC291" i="42"/>
  <c r="BB291" i="42"/>
  <c r="BA291" i="42"/>
  <c r="AZ291" i="42"/>
  <c r="AY291" i="42"/>
  <c r="AX291" i="42"/>
  <c r="AW291" i="42"/>
  <c r="AV291" i="42"/>
  <c r="AU291" i="42"/>
  <c r="AT291" i="42"/>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F291" i="42"/>
  <c r="BS290" i="42"/>
  <c r="BR290" i="42"/>
  <c r="BQ290" i="42"/>
  <c r="BP290" i="42"/>
  <c r="BO290" i="42"/>
  <c r="BN290" i="42"/>
  <c r="BM290" i="42"/>
  <c r="BL290" i="42"/>
  <c r="BK290" i="42"/>
  <c r="BJ290" i="42"/>
  <c r="BI290" i="42"/>
  <c r="BH290" i="42"/>
  <c r="BG290" i="42"/>
  <c r="BF290" i="42"/>
  <c r="BE290" i="42"/>
  <c r="BD290" i="42"/>
  <c r="BC290" i="42"/>
  <c r="BB290" i="42"/>
  <c r="BA290" i="42"/>
  <c r="AZ290" i="42"/>
  <c r="AY290" i="42"/>
  <c r="AX290" i="42"/>
  <c r="AW290" i="42"/>
  <c r="AV290" i="42"/>
  <c r="AV292" i="42" s="1"/>
  <c r="AU290" i="42"/>
  <c r="AT290" i="42"/>
  <c r="AS290" i="42"/>
  <c r="AR290" i="42"/>
  <c r="AQ290" i="42"/>
  <c r="AP290" i="42"/>
  <c r="AO290" i="42"/>
  <c r="AN290" i="42"/>
  <c r="AN292" i="42" s="1"/>
  <c r="AM290" i="42"/>
  <c r="AL290" i="42"/>
  <c r="AK290" i="42"/>
  <c r="AJ290" i="42"/>
  <c r="AI290" i="42"/>
  <c r="AH290" i="42"/>
  <c r="AG290" i="42"/>
  <c r="AF290" i="42"/>
  <c r="AF292" i="42" s="1"/>
  <c r="AE290" i="42"/>
  <c r="AD290" i="42"/>
  <c r="AC290" i="42"/>
  <c r="AB290" i="42"/>
  <c r="AA290" i="42"/>
  <c r="Z290" i="42"/>
  <c r="Y290" i="42"/>
  <c r="X290" i="42"/>
  <c r="X292" i="42" s="1"/>
  <c r="W290" i="42"/>
  <c r="V290" i="42"/>
  <c r="U290" i="42"/>
  <c r="T290" i="42"/>
  <c r="S290" i="42"/>
  <c r="R290" i="42"/>
  <c r="Q290" i="42"/>
  <c r="P290" i="42"/>
  <c r="P292" i="42" s="1"/>
  <c r="O290" i="42"/>
  <c r="N290" i="42"/>
  <c r="M290" i="42"/>
  <c r="L290" i="42"/>
  <c r="K290" i="42"/>
  <c r="J290" i="42"/>
  <c r="I290" i="42"/>
  <c r="H290" i="42"/>
  <c r="H292" i="42" s="1"/>
  <c r="G290" i="42"/>
  <c r="F290" i="42"/>
  <c r="E290" i="42"/>
  <c r="E292" i="42" s="1"/>
  <c r="H4" i="30"/>
  <c r="F4" i="30"/>
  <c r="B4" i="30"/>
  <c r="F219" i="28"/>
  <c r="E219" i="28"/>
  <c r="C219" i="28"/>
  <c r="B219" i="28"/>
  <c r="A219" i="28"/>
  <c r="E209" i="28"/>
  <c r="C209" i="28"/>
  <c r="A209" i="28"/>
  <c r="W209" i="28" s="1"/>
  <c r="E208" i="28"/>
  <c r="C208" i="28"/>
  <c r="A208" i="28"/>
  <c r="W208" i="28" s="1"/>
  <c r="E207" i="28"/>
  <c r="C207" i="28"/>
  <c r="A207" i="28"/>
  <c r="W207" i="28" s="1"/>
  <c r="E206" i="28"/>
  <c r="C206" i="28"/>
  <c r="A206" i="28"/>
  <c r="W206" i="28" s="1"/>
  <c r="E205" i="28"/>
  <c r="C205" i="28"/>
  <c r="A205" i="28"/>
  <c r="W205" i="28" s="1"/>
  <c r="E204" i="28"/>
  <c r="C204" i="28"/>
  <c r="A204" i="28"/>
  <c r="W204" i="28" s="1"/>
  <c r="E203" i="28"/>
  <c r="C203" i="28"/>
  <c r="A203" i="28"/>
  <c r="W203" i="28" s="1"/>
  <c r="E202" i="28"/>
  <c r="L202" i="28" s="1"/>
  <c r="Q202" i="28" s="1"/>
  <c r="C202" i="28"/>
  <c r="A202" i="28"/>
  <c r="W202" i="28" s="1"/>
  <c r="H190" i="28"/>
  <c r="E190" i="28"/>
  <c r="C190" i="28"/>
  <c r="A190" i="28"/>
  <c r="W190" i="28" s="1"/>
  <c r="E189" i="28"/>
  <c r="C189" i="28"/>
  <c r="A189" i="28"/>
  <c r="W189" i="28" s="1"/>
  <c r="H188" i="28"/>
  <c r="E188" i="28"/>
  <c r="C188" i="28"/>
  <c r="B188" i="28"/>
  <c r="A188" i="28"/>
  <c r="W188" i="28" s="1"/>
  <c r="H187" i="28"/>
  <c r="E187" i="28"/>
  <c r="C187" i="28"/>
  <c r="B187" i="28"/>
  <c r="A187" i="28"/>
  <c r="W187" i="28" s="1"/>
  <c r="E186" i="28"/>
  <c r="C186" i="28"/>
  <c r="B186" i="28"/>
  <c r="A186" i="28"/>
  <c r="W186" i="28" s="1"/>
  <c r="E185" i="28"/>
  <c r="C185" i="28"/>
  <c r="B185" i="28"/>
  <c r="A185" i="28"/>
  <c r="W185" i="28" s="1"/>
  <c r="E184" i="28"/>
  <c r="C184" i="28"/>
  <c r="B184" i="28"/>
  <c r="A184" i="28"/>
  <c r="W184" i="28" s="1"/>
  <c r="E183" i="28"/>
  <c r="C183" i="28"/>
  <c r="B183" i="28"/>
  <c r="A183" i="28"/>
  <c r="W183" i="28" s="1"/>
  <c r="E182" i="28"/>
  <c r="C182" i="28"/>
  <c r="B182" i="28"/>
  <c r="A182" i="28"/>
  <c r="W182" i="28" s="1"/>
  <c r="E181" i="28"/>
  <c r="C181" i="28"/>
  <c r="B181" i="28"/>
  <c r="A181" i="28"/>
  <c r="W181" i="28" s="1"/>
  <c r="E180" i="28"/>
  <c r="L180" i="28" s="1"/>
  <c r="C180" i="28"/>
  <c r="B180" i="28"/>
  <c r="A180" i="28"/>
  <c r="W180" i="28" s="1"/>
  <c r="H179" i="28"/>
  <c r="C179" i="28"/>
  <c r="B179" i="28"/>
  <c r="A179" i="28"/>
  <c r="W179" i="28" s="1"/>
  <c r="H178" i="28"/>
  <c r="E178" i="28"/>
  <c r="L178" i="28" s="1"/>
  <c r="Y178" i="28" s="1"/>
  <c r="C178" i="28"/>
  <c r="B178" i="28"/>
  <c r="A178" i="28"/>
  <c r="W178" i="28" s="1"/>
  <c r="H177" i="28"/>
  <c r="E177" i="28"/>
  <c r="C177" i="28"/>
  <c r="B177" i="28"/>
  <c r="A177" i="28"/>
  <c r="W177" i="28" s="1"/>
  <c r="H176" i="28"/>
  <c r="E176" i="28"/>
  <c r="C176" i="28"/>
  <c r="B176" i="28"/>
  <c r="A176" i="28"/>
  <c r="W176" i="28" s="1"/>
  <c r="H175" i="28"/>
  <c r="E175" i="28"/>
  <c r="C175" i="28"/>
  <c r="B175" i="28"/>
  <c r="A175" i="28"/>
  <c r="W175" i="28" s="1"/>
  <c r="H174" i="28"/>
  <c r="E174" i="28"/>
  <c r="C174" i="28"/>
  <c r="B174" i="28"/>
  <c r="A174" i="28"/>
  <c r="W174" i="28" s="1"/>
  <c r="E173" i="28"/>
  <c r="C173" i="28"/>
  <c r="B173" i="28"/>
  <c r="A173" i="28"/>
  <c r="W173" i="28" s="1"/>
  <c r="H172" i="28"/>
  <c r="E172" i="28"/>
  <c r="C172" i="28"/>
  <c r="B172" i="28"/>
  <c r="A172" i="28"/>
  <c r="W172" i="28" s="1"/>
  <c r="H171" i="28"/>
  <c r="E171" i="28"/>
  <c r="C171" i="28"/>
  <c r="B171" i="28"/>
  <c r="A171" i="28"/>
  <c r="W171" i="28" s="1"/>
  <c r="H170" i="28"/>
  <c r="E170" i="28"/>
  <c r="C170" i="28"/>
  <c r="B170" i="28"/>
  <c r="A170" i="28"/>
  <c r="W170" i="28" s="1"/>
  <c r="E169" i="28"/>
  <c r="C169" i="28"/>
  <c r="E168" i="28"/>
  <c r="C168" i="28"/>
  <c r="B168" i="28"/>
  <c r="A168" i="28"/>
  <c r="W168" i="28" s="1"/>
  <c r="H167" i="28"/>
  <c r="E167" i="28"/>
  <c r="C167" i="28"/>
  <c r="B167" i="28"/>
  <c r="A167" i="28"/>
  <c r="W167" i="28" s="1"/>
  <c r="H166" i="28"/>
  <c r="E166" i="28"/>
  <c r="C166" i="28"/>
  <c r="B166" i="28"/>
  <c r="A166" i="28"/>
  <c r="W166" i="28" s="1"/>
  <c r="H165" i="28"/>
  <c r="E165" i="28"/>
  <c r="C165" i="28"/>
  <c r="B165" i="28"/>
  <c r="A165" i="28"/>
  <c r="W165" i="28" s="1"/>
  <c r="E164" i="28"/>
  <c r="C164" i="28"/>
  <c r="B164" i="28"/>
  <c r="A164" i="28"/>
  <c r="W164" i="28" s="1"/>
  <c r="E163" i="28"/>
  <c r="C163" i="28"/>
  <c r="B163" i="28"/>
  <c r="A163" i="28"/>
  <c r="W163" i="28" s="1"/>
  <c r="H162" i="28"/>
  <c r="E162" i="28"/>
  <c r="C162" i="28"/>
  <c r="B162" i="28"/>
  <c r="A162" i="28"/>
  <c r="W162" i="28" s="1"/>
  <c r="H161" i="28"/>
  <c r="E161" i="28"/>
  <c r="C161" i="28"/>
  <c r="B161" i="28"/>
  <c r="A161" i="28"/>
  <c r="W161" i="28" s="1"/>
  <c r="H160" i="28"/>
  <c r="E160" i="28"/>
  <c r="C160" i="28"/>
  <c r="B160" i="28"/>
  <c r="A160" i="28"/>
  <c r="W160" i="28" s="1"/>
  <c r="H159" i="28"/>
  <c r="E159" i="28"/>
  <c r="C159" i="28"/>
  <c r="B159" i="28"/>
  <c r="A159" i="28"/>
  <c r="W159" i="28" s="1"/>
  <c r="H158" i="28"/>
  <c r="E158" i="28"/>
  <c r="C158" i="28"/>
  <c r="B158" i="28"/>
  <c r="A158" i="28"/>
  <c r="W158" i="28" s="1"/>
  <c r="H157" i="28"/>
  <c r="E157" i="28"/>
  <c r="C157" i="28"/>
  <c r="B157" i="28"/>
  <c r="A157" i="28"/>
  <c r="W157" i="28" s="1"/>
  <c r="H156" i="28"/>
  <c r="E156" i="28"/>
  <c r="C156" i="28"/>
  <c r="B156" i="28"/>
  <c r="A156" i="28"/>
  <c r="W156" i="28" s="1"/>
  <c r="H155" i="28"/>
  <c r="E155" i="28"/>
  <c r="C155" i="28"/>
  <c r="B155" i="28"/>
  <c r="A155" i="28"/>
  <c r="W155" i="28" s="1"/>
  <c r="H154" i="28"/>
  <c r="E154" i="28"/>
  <c r="C154" i="28"/>
  <c r="B154" i="28"/>
  <c r="A154" i="28"/>
  <c r="W154" i="28" s="1"/>
  <c r="H153" i="28"/>
  <c r="E153" i="28"/>
  <c r="C153" i="28"/>
  <c r="B153" i="28"/>
  <c r="A153" i="28"/>
  <c r="W153" i="28" s="1"/>
  <c r="H152" i="28"/>
  <c r="E152" i="28"/>
  <c r="C152" i="28"/>
  <c r="B152" i="28"/>
  <c r="A152" i="28"/>
  <c r="W152" i="28" s="1"/>
  <c r="H151" i="28"/>
  <c r="E151" i="28"/>
  <c r="C151" i="28"/>
  <c r="B151" i="28"/>
  <c r="A151" i="28"/>
  <c r="W151" i="28" s="1"/>
  <c r="H150" i="28"/>
  <c r="E150" i="28"/>
  <c r="C150" i="28"/>
  <c r="B150" i="28"/>
  <c r="A150" i="28"/>
  <c r="W150" i="28" s="1"/>
  <c r="H149" i="28"/>
  <c r="E149" i="28"/>
  <c r="C149" i="28"/>
  <c r="B149" i="28"/>
  <c r="A149" i="28"/>
  <c r="W149" i="28" s="1"/>
  <c r="H148" i="28"/>
  <c r="E148" i="28"/>
  <c r="C148" i="28"/>
  <c r="B148" i="28"/>
  <c r="A148" i="28"/>
  <c r="W148" i="28" s="1"/>
  <c r="H147" i="28"/>
  <c r="E147" i="28"/>
  <c r="C147" i="28"/>
  <c r="B147" i="28"/>
  <c r="A147" i="28"/>
  <c r="W147" i="28" s="1"/>
  <c r="H146" i="28"/>
  <c r="E146" i="28"/>
  <c r="C146" i="28"/>
  <c r="B146" i="28"/>
  <c r="A146" i="28"/>
  <c r="W146" i="28" s="1"/>
  <c r="H145" i="28"/>
  <c r="E145" i="28"/>
  <c r="C145" i="28"/>
  <c r="B145" i="28"/>
  <c r="A145" i="28"/>
  <c r="W145" i="28" s="1"/>
  <c r="H144" i="28"/>
  <c r="E144" i="28"/>
  <c r="C144" i="28"/>
  <c r="B144" i="28"/>
  <c r="A144" i="28"/>
  <c r="W144" i="28" s="1"/>
  <c r="H143" i="28"/>
  <c r="C143" i="28"/>
  <c r="B143" i="28"/>
  <c r="A143" i="28"/>
  <c r="W143" i="28" s="1"/>
  <c r="H142" i="28"/>
  <c r="C142" i="28"/>
  <c r="B142" i="28"/>
  <c r="A142" i="28"/>
  <c r="W142" i="28" s="1"/>
  <c r="H141" i="28"/>
  <c r="E141" i="28"/>
  <c r="C141" i="28"/>
  <c r="B141" i="28"/>
  <c r="A141" i="28"/>
  <c r="W141" i="28" s="1"/>
  <c r="H140" i="28"/>
  <c r="E140" i="28"/>
  <c r="C140" i="28"/>
  <c r="B140" i="28"/>
  <c r="A140" i="28"/>
  <c r="W140" i="28" s="1"/>
  <c r="H139" i="28"/>
  <c r="E139" i="28"/>
  <c r="C139" i="28"/>
  <c r="B139" i="28"/>
  <c r="A139" i="28"/>
  <c r="W139" i="28" s="1"/>
  <c r="E138" i="28"/>
  <c r="C138" i="28"/>
  <c r="B138" i="28"/>
  <c r="A138" i="28"/>
  <c r="W138" i="28" s="1"/>
  <c r="H137" i="28"/>
  <c r="E137" i="28"/>
  <c r="C137" i="28"/>
  <c r="B137" i="28"/>
  <c r="A137" i="28"/>
  <c r="W137" i="28" s="1"/>
  <c r="H136" i="28"/>
  <c r="E136" i="28"/>
  <c r="C136" i="28"/>
  <c r="B136" i="28"/>
  <c r="A136" i="28"/>
  <c r="W136" i="28" s="1"/>
  <c r="H135" i="28"/>
  <c r="E135" i="28"/>
  <c r="C135" i="28"/>
  <c r="B135" i="28"/>
  <c r="A135" i="28"/>
  <c r="W135" i="28" s="1"/>
  <c r="H134" i="28"/>
  <c r="E134" i="28"/>
  <c r="C134" i="28"/>
  <c r="B134" i="28"/>
  <c r="A134" i="28"/>
  <c r="W134" i="28" s="1"/>
  <c r="H133" i="28"/>
  <c r="E133" i="28"/>
  <c r="C133" i="28"/>
  <c r="B133" i="28"/>
  <c r="A133" i="28"/>
  <c r="W133" i="28" s="1"/>
  <c r="H132" i="28"/>
  <c r="E132" i="28"/>
  <c r="C132" i="28"/>
  <c r="B132" i="28"/>
  <c r="A132" i="28"/>
  <c r="W132" i="28" s="1"/>
  <c r="H131" i="28"/>
  <c r="E131" i="28"/>
  <c r="C131" i="28"/>
  <c r="B131" i="28"/>
  <c r="A131" i="28"/>
  <c r="W131" i="28" s="1"/>
  <c r="H130" i="28"/>
  <c r="E130" i="28"/>
  <c r="C130" i="28"/>
  <c r="B130" i="28"/>
  <c r="A130" i="28"/>
  <c r="W130" i="28" s="1"/>
  <c r="H129" i="28"/>
  <c r="E129" i="28"/>
  <c r="C129" i="28"/>
  <c r="B129" i="28"/>
  <c r="A129" i="28"/>
  <c r="W129" i="28" s="1"/>
  <c r="H128" i="28"/>
  <c r="E128" i="28"/>
  <c r="C128" i="28"/>
  <c r="B128" i="28"/>
  <c r="A128" i="28"/>
  <c r="W128" i="28" s="1"/>
  <c r="H127" i="28"/>
  <c r="E127" i="28"/>
  <c r="C127" i="28"/>
  <c r="B127" i="28"/>
  <c r="A127" i="28"/>
  <c r="W127" i="28" s="1"/>
  <c r="H126" i="28"/>
  <c r="E126" i="28"/>
  <c r="C126" i="28"/>
  <c r="B126" i="28"/>
  <c r="A126" i="28"/>
  <c r="W126" i="28" s="1"/>
  <c r="H125" i="28"/>
  <c r="E125" i="28"/>
  <c r="C125" i="28"/>
  <c r="B125" i="28"/>
  <c r="A125" i="28"/>
  <c r="W125" i="28" s="1"/>
  <c r="H124" i="28"/>
  <c r="E124" i="28"/>
  <c r="C124" i="28"/>
  <c r="B124" i="28"/>
  <c r="A124" i="28"/>
  <c r="W124" i="28" s="1"/>
  <c r="H123" i="28"/>
  <c r="E123" i="28"/>
  <c r="C123" i="28"/>
  <c r="B123" i="28"/>
  <c r="A123" i="28"/>
  <c r="W123" i="28" s="1"/>
  <c r="H122" i="28"/>
  <c r="E122" i="28"/>
  <c r="C122" i="28"/>
  <c r="B122" i="28"/>
  <c r="A122" i="28"/>
  <c r="W122" i="28" s="1"/>
  <c r="H121" i="28"/>
  <c r="E121" i="28"/>
  <c r="C121" i="28"/>
  <c r="B121" i="28"/>
  <c r="A121" i="28"/>
  <c r="W121" i="28" s="1"/>
  <c r="H120" i="28"/>
  <c r="E120" i="28"/>
  <c r="C120" i="28"/>
  <c r="B120" i="28"/>
  <c r="A120" i="28"/>
  <c r="W120" i="28" s="1"/>
  <c r="H119" i="28"/>
  <c r="E119" i="28"/>
  <c r="C119" i="28"/>
  <c r="B119" i="28"/>
  <c r="A119" i="28"/>
  <c r="W119" i="28" s="1"/>
  <c r="H118" i="28"/>
  <c r="E118" i="28"/>
  <c r="C118" i="28"/>
  <c r="B118" i="28"/>
  <c r="A118" i="28"/>
  <c r="W118" i="28" s="1"/>
  <c r="H117" i="28"/>
  <c r="E117" i="28"/>
  <c r="C117" i="28"/>
  <c r="B117" i="28"/>
  <c r="A117" i="28"/>
  <c r="W117" i="28" s="1"/>
  <c r="H116" i="28"/>
  <c r="E116" i="28"/>
  <c r="C116" i="28"/>
  <c r="B116" i="28"/>
  <c r="A116" i="28"/>
  <c r="W116" i="28" s="1"/>
  <c r="H115" i="28"/>
  <c r="E115" i="28"/>
  <c r="C115" i="28"/>
  <c r="B115" i="28"/>
  <c r="A115" i="28"/>
  <c r="W115" i="28" s="1"/>
  <c r="H114" i="28"/>
  <c r="E114" i="28"/>
  <c r="C114" i="28"/>
  <c r="B114" i="28"/>
  <c r="A114" i="28"/>
  <c r="W114" i="28" s="1"/>
  <c r="H113" i="28"/>
  <c r="E113" i="28"/>
  <c r="C113" i="28"/>
  <c r="B113" i="28"/>
  <c r="A113" i="28"/>
  <c r="W113" i="28" s="1"/>
  <c r="H112" i="28"/>
  <c r="E112" i="28"/>
  <c r="C112" i="28"/>
  <c r="B112" i="28"/>
  <c r="A112" i="28"/>
  <c r="W112" i="28" s="1"/>
  <c r="H111" i="28"/>
  <c r="E111" i="28"/>
  <c r="C111" i="28"/>
  <c r="B111" i="28"/>
  <c r="A111" i="28"/>
  <c r="W111" i="28" s="1"/>
  <c r="H110" i="28"/>
  <c r="E110" i="28"/>
  <c r="C110" i="28"/>
  <c r="B110" i="28"/>
  <c r="A110" i="28"/>
  <c r="W110" i="28" s="1"/>
  <c r="H109" i="28"/>
  <c r="E109" i="28"/>
  <c r="C109" i="28"/>
  <c r="B109" i="28"/>
  <c r="A109" i="28"/>
  <c r="W109" i="28" s="1"/>
  <c r="H108" i="28"/>
  <c r="E108" i="28"/>
  <c r="C108" i="28"/>
  <c r="B108" i="28"/>
  <c r="A108" i="28"/>
  <c r="W108" i="28" s="1"/>
  <c r="H107" i="28"/>
  <c r="E107" i="28"/>
  <c r="C107" i="28"/>
  <c r="B107" i="28"/>
  <c r="A107" i="28"/>
  <c r="W107" i="28" s="1"/>
  <c r="H106" i="28"/>
  <c r="E106" i="28"/>
  <c r="C106" i="28"/>
  <c r="B106" i="28"/>
  <c r="A106" i="28"/>
  <c r="W106" i="28" s="1"/>
  <c r="H105" i="28"/>
  <c r="E105" i="28"/>
  <c r="C105" i="28"/>
  <c r="B105" i="28"/>
  <c r="A105" i="28"/>
  <c r="W105" i="28" s="1"/>
  <c r="H104" i="28"/>
  <c r="E104" i="28"/>
  <c r="C104" i="28"/>
  <c r="B104" i="28"/>
  <c r="A104" i="28"/>
  <c r="W104" i="28" s="1"/>
  <c r="H103" i="28"/>
  <c r="E103" i="28"/>
  <c r="C103" i="28"/>
  <c r="B103" i="28"/>
  <c r="A103" i="28"/>
  <c r="W103" i="28" s="1"/>
  <c r="H102" i="28"/>
  <c r="E102" i="28"/>
  <c r="C102" i="28"/>
  <c r="B102" i="28"/>
  <c r="A102" i="28"/>
  <c r="W102" i="28" s="1"/>
  <c r="H101" i="28"/>
  <c r="E101" i="28"/>
  <c r="C101" i="28"/>
  <c r="B101" i="28"/>
  <c r="A101" i="28"/>
  <c r="W101" i="28" s="1"/>
  <c r="H100" i="28"/>
  <c r="E100" i="28"/>
  <c r="C100" i="28"/>
  <c r="B100" i="28"/>
  <c r="A100" i="28"/>
  <c r="W100" i="28" s="1"/>
  <c r="H99" i="28"/>
  <c r="E99" i="28"/>
  <c r="C99" i="28"/>
  <c r="B99" i="28"/>
  <c r="A99" i="28"/>
  <c r="W99" i="28" s="1"/>
  <c r="H98" i="28"/>
  <c r="E98" i="28"/>
  <c r="C98" i="28"/>
  <c r="B98" i="28"/>
  <c r="A98" i="28"/>
  <c r="W98" i="28" s="1"/>
  <c r="H97" i="28"/>
  <c r="E97" i="28"/>
  <c r="C97" i="28"/>
  <c r="B97" i="28"/>
  <c r="A97" i="28"/>
  <c r="W97" i="28" s="1"/>
  <c r="H96" i="28"/>
  <c r="E96" i="28"/>
  <c r="C96" i="28"/>
  <c r="B96" i="28"/>
  <c r="A96" i="28"/>
  <c r="W96" i="28" s="1"/>
  <c r="H95" i="28"/>
  <c r="C95" i="28"/>
  <c r="B95" i="28"/>
  <c r="A95" i="28"/>
  <c r="W95" i="28" s="1"/>
  <c r="H94" i="28"/>
  <c r="E94" i="28"/>
  <c r="C94" i="28"/>
  <c r="B94" i="28"/>
  <c r="A94" i="28"/>
  <c r="W94" i="28" s="1"/>
  <c r="H93" i="28"/>
  <c r="E93" i="28"/>
  <c r="C93" i="28"/>
  <c r="B93" i="28"/>
  <c r="A93" i="28"/>
  <c r="W93" i="28" s="1"/>
  <c r="H92" i="28"/>
  <c r="E92" i="28"/>
  <c r="C92" i="28"/>
  <c r="B92" i="28"/>
  <c r="A92" i="28"/>
  <c r="W92" i="28" s="1"/>
  <c r="E91" i="28"/>
  <c r="C91" i="28"/>
  <c r="B91" i="28"/>
  <c r="A91" i="28"/>
  <c r="W91" i="28" s="1"/>
  <c r="H90" i="28"/>
  <c r="E90" i="28"/>
  <c r="C90" i="28"/>
  <c r="B90" i="28"/>
  <c r="A90" i="28"/>
  <c r="W90" i="28" s="1"/>
  <c r="H89" i="28"/>
  <c r="E89" i="28"/>
  <c r="C89" i="28"/>
  <c r="B89" i="28"/>
  <c r="A89" i="28"/>
  <c r="W89" i="28" s="1"/>
  <c r="E88" i="28"/>
  <c r="C88" i="28"/>
  <c r="B88" i="28"/>
  <c r="A88" i="28"/>
  <c r="W88" i="28" s="1"/>
  <c r="H87" i="28"/>
  <c r="E87" i="28"/>
  <c r="C87" i="28"/>
  <c r="B87" i="28"/>
  <c r="A87" i="28"/>
  <c r="W87" i="28" s="1"/>
  <c r="H86" i="28"/>
  <c r="E86" i="28"/>
  <c r="C86" i="28"/>
  <c r="B86" i="28"/>
  <c r="A86" i="28"/>
  <c r="W86" i="28" s="1"/>
  <c r="H85" i="28"/>
  <c r="E85" i="28"/>
  <c r="C85" i="28"/>
  <c r="B85" i="28"/>
  <c r="A85" i="28"/>
  <c r="W85" i="28" s="1"/>
  <c r="H84" i="28"/>
  <c r="E84" i="28"/>
  <c r="C84" i="28"/>
  <c r="B84" i="28"/>
  <c r="A84" i="28"/>
  <c r="W84" i="28" s="1"/>
  <c r="H83" i="28"/>
  <c r="E83" i="28"/>
  <c r="C83" i="28"/>
  <c r="B83" i="28"/>
  <c r="A83" i="28"/>
  <c r="W83" i="28" s="1"/>
  <c r="H82" i="28"/>
  <c r="E82" i="28"/>
  <c r="C82" i="28"/>
  <c r="B82" i="28"/>
  <c r="A82" i="28"/>
  <c r="W82" i="28" s="1"/>
  <c r="E81" i="28"/>
  <c r="C81" i="28"/>
  <c r="B81" i="28"/>
  <c r="E80" i="28"/>
  <c r="C80" i="28"/>
  <c r="B80" i="28"/>
  <c r="E79" i="28"/>
  <c r="C79" i="28"/>
  <c r="B79" i="28"/>
  <c r="E78" i="28"/>
  <c r="C78" i="28"/>
  <c r="B78" i="28"/>
  <c r="E77" i="28"/>
  <c r="C77" i="28"/>
  <c r="B77" i="28"/>
  <c r="C76" i="28"/>
  <c r="B76" i="28"/>
  <c r="E75" i="28"/>
  <c r="C75" i="28"/>
  <c r="B75" i="28"/>
  <c r="A75" i="28"/>
  <c r="W75" i="28" s="1"/>
  <c r="H74" i="28"/>
  <c r="E74" i="28"/>
  <c r="C74" i="28"/>
  <c r="B74" i="28"/>
  <c r="A74" i="28"/>
  <c r="W74" i="28" s="1"/>
  <c r="E73" i="28"/>
  <c r="C73" i="28"/>
  <c r="B73" i="28"/>
  <c r="A73" i="28"/>
  <c r="W73" i="28" s="1"/>
  <c r="H72" i="28"/>
  <c r="E72" i="28"/>
  <c r="C72" i="28"/>
  <c r="B72" i="28"/>
  <c r="A72" i="28"/>
  <c r="W72" i="28" s="1"/>
  <c r="H71" i="28"/>
  <c r="E71" i="28"/>
  <c r="C71" i="28"/>
  <c r="B71" i="28"/>
  <c r="A71" i="28"/>
  <c r="W71" i="28" s="1"/>
  <c r="E70" i="28"/>
  <c r="C70" i="28"/>
  <c r="B70" i="28"/>
  <c r="A70" i="28"/>
  <c r="W70" i="28" s="1"/>
  <c r="H69" i="28"/>
  <c r="E69" i="28"/>
  <c r="C69" i="28"/>
  <c r="B69" i="28"/>
  <c r="A69" i="28"/>
  <c r="W69" i="28" s="1"/>
  <c r="H68" i="28"/>
  <c r="E68" i="28"/>
  <c r="C68" i="28"/>
  <c r="B68" i="28"/>
  <c r="A68" i="28"/>
  <c r="W68" i="28" s="1"/>
  <c r="H67" i="28"/>
  <c r="E67" i="28"/>
  <c r="C67" i="28"/>
  <c r="A67" i="28"/>
  <c r="W67" i="28" s="1"/>
  <c r="H66" i="28"/>
  <c r="C66" i="28"/>
  <c r="B66" i="28"/>
  <c r="A66" i="28"/>
  <c r="W66" i="28" s="1"/>
  <c r="H65" i="28"/>
  <c r="E65" i="28"/>
  <c r="C65" i="28"/>
  <c r="B65" i="28"/>
  <c r="A65" i="28"/>
  <c r="W65" i="28" s="1"/>
  <c r="H64" i="28"/>
  <c r="E64" i="28"/>
  <c r="C64" i="28"/>
  <c r="B64" i="28"/>
  <c r="A64" i="28"/>
  <c r="W64" i="28" s="1"/>
  <c r="H63" i="28"/>
  <c r="E63" i="28"/>
  <c r="C63" i="28"/>
  <c r="B63" i="28"/>
  <c r="A63" i="28"/>
  <c r="W63" i="28" s="1"/>
  <c r="H62" i="28"/>
  <c r="E62" i="28"/>
  <c r="C62" i="28"/>
  <c r="B62" i="28"/>
  <c r="A62" i="28"/>
  <c r="W62" i="28" s="1"/>
  <c r="H61" i="28"/>
  <c r="E61" i="28"/>
  <c r="C61" i="28"/>
  <c r="B61" i="28"/>
  <c r="A61" i="28"/>
  <c r="W61" i="28" s="1"/>
  <c r="H60" i="28"/>
  <c r="E60" i="28"/>
  <c r="C60" i="28"/>
  <c r="B60" i="28"/>
  <c r="A60" i="28"/>
  <c r="W60" i="28" s="1"/>
  <c r="H59" i="28"/>
  <c r="E59" i="28"/>
  <c r="C59" i="28"/>
  <c r="B59" i="28"/>
  <c r="A59" i="28"/>
  <c r="W59" i="28" s="1"/>
  <c r="H58" i="28"/>
  <c r="E58" i="28"/>
  <c r="C58" i="28"/>
  <c r="B58" i="28"/>
  <c r="A58" i="28"/>
  <c r="W58" i="28" s="1"/>
  <c r="H57" i="28"/>
  <c r="E57" i="28"/>
  <c r="C57" i="28"/>
  <c r="B57" i="28"/>
  <c r="A57" i="28"/>
  <c r="W57" i="28" s="1"/>
  <c r="H56" i="28"/>
  <c r="E56" i="28"/>
  <c r="C56" i="28"/>
  <c r="B56" i="28"/>
  <c r="A56" i="28"/>
  <c r="W56" i="28" s="1"/>
  <c r="H55" i="28"/>
  <c r="E55" i="28"/>
  <c r="C55" i="28"/>
  <c r="B55" i="28"/>
  <c r="A55" i="28"/>
  <c r="W55" i="28" s="1"/>
  <c r="H54" i="28"/>
  <c r="E54" i="28"/>
  <c r="C54" i="28"/>
  <c r="B54" i="28"/>
  <c r="A54" i="28"/>
  <c r="W54" i="28" s="1"/>
  <c r="H53" i="28"/>
  <c r="E53" i="28"/>
  <c r="C53" i="28"/>
  <c r="B53" i="28"/>
  <c r="A53" i="28"/>
  <c r="W53" i="28" s="1"/>
  <c r="H52" i="28"/>
  <c r="E52" i="28"/>
  <c r="C52" i="28"/>
  <c r="B52" i="28"/>
  <c r="A52" i="28"/>
  <c r="W52" i="28" s="1"/>
  <c r="H51" i="28"/>
  <c r="E51" i="28"/>
  <c r="C51" i="28"/>
  <c r="B51" i="28"/>
  <c r="A51" i="28"/>
  <c r="W51" i="28" s="1"/>
  <c r="H50" i="28"/>
  <c r="E50" i="28"/>
  <c r="C50" i="28"/>
  <c r="B50" i="28"/>
  <c r="A50" i="28"/>
  <c r="W50" i="28" s="1"/>
  <c r="H49" i="28"/>
  <c r="E49" i="28"/>
  <c r="C49" i="28"/>
  <c r="B49" i="28"/>
  <c r="A49" i="28"/>
  <c r="W49" i="28" s="1"/>
  <c r="H48" i="28"/>
  <c r="E48" i="28"/>
  <c r="C48" i="28"/>
  <c r="B48" i="28"/>
  <c r="A48" i="28"/>
  <c r="W48" i="28" s="1"/>
  <c r="H47" i="28"/>
  <c r="E47" i="28"/>
  <c r="C47" i="28"/>
  <c r="B47" i="28"/>
  <c r="A47" i="28"/>
  <c r="W47" i="28" s="1"/>
  <c r="H46" i="28"/>
  <c r="E46" i="28"/>
  <c r="C46" i="28"/>
  <c r="B46" i="28"/>
  <c r="A46" i="28"/>
  <c r="W46" i="28" s="1"/>
  <c r="H45" i="28"/>
  <c r="E45" i="28"/>
  <c r="C45" i="28"/>
  <c r="B45" i="28"/>
  <c r="A45" i="28"/>
  <c r="W45" i="28" s="1"/>
  <c r="H44" i="28"/>
  <c r="E44" i="28"/>
  <c r="C44" i="28"/>
  <c r="B44" i="28"/>
  <c r="A44" i="28"/>
  <c r="W44" i="28" s="1"/>
  <c r="H43" i="28"/>
  <c r="E43" i="28"/>
  <c r="C43" i="28"/>
  <c r="B43" i="28"/>
  <c r="A43" i="28"/>
  <c r="W43" i="28" s="1"/>
  <c r="H42" i="28"/>
  <c r="E42" i="28"/>
  <c r="C42" i="28"/>
  <c r="B42" i="28"/>
  <c r="A42" i="28"/>
  <c r="W42" i="28" s="1"/>
  <c r="H41" i="28"/>
  <c r="E41" i="28"/>
  <c r="C41" i="28"/>
  <c r="B41" i="28"/>
  <c r="A41" i="28"/>
  <c r="W41" i="28" s="1"/>
  <c r="E40" i="28"/>
  <c r="C40" i="28"/>
  <c r="B40" i="28"/>
  <c r="A40" i="28"/>
  <c r="W40" i="28" s="1"/>
  <c r="H39" i="28"/>
  <c r="E39" i="28"/>
  <c r="C39" i="28"/>
  <c r="B39" i="28"/>
  <c r="A39" i="28"/>
  <c r="W39" i="28" s="1"/>
  <c r="H38" i="28"/>
  <c r="E38" i="28"/>
  <c r="C38" i="28"/>
  <c r="B38" i="28"/>
  <c r="A38" i="28"/>
  <c r="W38" i="28" s="1"/>
  <c r="H37" i="28"/>
  <c r="E37" i="28"/>
  <c r="C37" i="28"/>
  <c r="B37" i="28"/>
  <c r="A37" i="28"/>
  <c r="W37" i="28" s="1"/>
  <c r="H36" i="28"/>
  <c r="E36" i="28"/>
  <c r="C36" i="28"/>
  <c r="B36" i="28"/>
  <c r="A36" i="28"/>
  <c r="W36" i="28" s="1"/>
  <c r="H35" i="28"/>
  <c r="E35" i="28"/>
  <c r="C35" i="28"/>
  <c r="B35" i="28"/>
  <c r="A35" i="28"/>
  <c r="W35" i="28" s="1"/>
  <c r="H34" i="28"/>
  <c r="E34" i="28"/>
  <c r="C34" i="28"/>
  <c r="B34" i="28"/>
  <c r="A34" i="28"/>
  <c r="W34" i="28" s="1"/>
  <c r="H33" i="28"/>
  <c r="E33" i="28"/>
  <c r="C33" i="28"/>
  <c r="B33" i="28"/>
  <c r="A33" i="28"/>
  <c r="W33" i="28" s="1"/>
  <c r="H32" i="28"/>
  <c r="E32" i="28"/>
  <c r="C32" i="28"/>
  <c r="B32" i="28"/>
  <c r="A32" i="28"/>
  <c r="W32" i="28" s="1"/>
  <c r="H31" i="28"/>
  <c r="E31" i="28"/>
  <c r="C31" i="28"/>
  <c r="B31" i="28"/>
  <c r="A31" i="28"/>
  <c r="W31" i="28" s="1"/>
  <c r="H30" i="28"/>
  <c r="E30" i="28"/>
  <c r="C30" i="28"/>
  <c r="B30" i="28"/>
  <c r="A30" i="28"/>
  <c r="W30" i="28" s="1"/>
  <c r="H29" i="28"/>
  <c r="E29" i="28"/>
  <c r="C29" i="28"/>
  <c r="B29" i="28"/>
  <c r="A29" i="28"/>
  <c r="W29" i="28" s="1"/>
  <c r="H28" i="28"/>
  <c r="E28" i="28"/>
  <c r="C28" i="28"/>
  <c r="B28" i="28"/>
  <c r="A28" i="28"/>
  <c r="W28" i="28" s="1"/>
  <c r="H27" i="28"/>
  <c r="E27" i="28"/>
  <c r="C27" i="28"/>
  <c r="B27" i="28"/>
  <c r="A27" i="28"/>
  <c r="W27" i="28" s="1"/>
  <c r="H26" i="28"/>
  <c r="E26" i="28"/>
  <c r="C26" i="28"/>
  <c r="B26" i="28"/>
  <c r="A26" i="28"/>
  <c r="W26" i="28" s="1"/>
  <c r="H25" i="28"/>
  <c r="E25" i="28"/>
  <c r="C25" i="28"/>
  <c r="B25" i="28"/>
  <c r="A25" i="28"/>
  <c r="W25" i="28" s="1"/>
  <c r="H24" i="28"/>
  <c r="E24" i="28"/>
  <c r="C24" i="28"/>
  <c r="B24" i="28"/>
  <c r="A24" i="28"/>
  <c r="W24" i="28" s="1"/>
  <c r="H23" i="28"/>
  <c r="E23" i="28"/>
  <c r="C23" i="28"/>
  <c r="B23" i="28"/>
  <c r="A23" i="28"/>
  <c r="W23" i="28" s="1"/>
  <c r="H22" i="28"/>
  <c r="E22" i="28"/>
  <c r="C22" i="28"/>
  <c r="B22" i="28"/>
  <c r="A22" i="28"/>
  <c r="W22" i="28" s="1"/>
  <c r="H21" i="28"/>
  <c r="E21" i="28"/>
  <c r="C21" i="28"/>
  <c r="B21" i="28"/>
  <c r="A21" i="28"/>
  <c r="W21" i="28" s="1"/>
  <c r="H20" i="28"/>
  <c r="E20" i="28"/>
  <c r="C20" i="28"/>
  <c r="B20" i="28"/>
  <c r="A20" i="28"/>
  <c r="W20" i="28" s="1"/>
  <c r="H19" i="28"/>
  <c r="E19" i="28"/>
  <c r="C19" i="28"/>
  <c r="B19" i="28"/>
  <c r="A19" i="28"/>
  <c r="W19" i="28" s="1"/>
  <c r="H18" i="28"/>
  <c r="E18" i="28"/>
  <c r="C18" i="28"/>
  <c r="B18" i="28"/>
  <c r="A18" i="28"/>
  <c r="W18" i="28" s="1"/>
  <c r="H17" i="28"/>
  <c r="E17" i="28"/>
  <c r="C17" i="28"/>
  <c r="B17" i="28"/>
  <c r="A17" i="28"/>
  <c r="W17" i="28" s="1"/>
  <c r="E16" i="28"/>
  <c r="C16" i="28"/>
  <c r="B16" i="28"/>
  <c r="A16" i="28"/>
  <c r="W16" i="28" s="1"/>
  <c r="E15" i="28"/>
  <c r="C15" i="28"/>
  <c r="B15" i="28"/>
  <c r="A15" i="28"/>
  <c r="W15" i="28" s="1"/>
  <c r="E14" i="28"/>
  <c r="C14" i="28"/>
  <c r="B14" i="28"/>
  <c r="A14" i="28"/>
  <c r="W14" i="28" s="1"/>
  <c r="E13" i="28"/>
  <c r="C13" i="28"/>
  <c r="B13" i="28"/>
  <c r="A13" i="28"/>
  <c r="W13" i="28" s="1"/>
  <c r="E12" i="28"/>
  <c r="C12" i="28"/>
  <c r="B12" i="28"/>
  <c r="A12" i="28"/>
  <c r="W12" i="28" s="1"/>
  <c r="E11" i="28"/>
  <c r="C11" i="28"/>
  <c r="B11" i="28"/>
  <c r="A11" i="28"/>
  <c r="W11" i="28" s="1"/>
  <c r="H10" i="28"/>
  <c r="C10" i="28"/>
  <c r="B10" i="28"/>
  <c r="A10" i="28"/>
  <c r="W10" i="28" s="1"/>
  <c r="H9" i="28"/>
  <c r="E9" i="28"/>
  <c r="C9" i="28"/>
  <c r="B9" i="28"/>
  <c r="A9" i="28"/>
  <c r="W9" i="28" s="1"/>
  <c r="H8" i="28"/>
  <c r="E8" i="28"/>
  <c r="C8" i="28"/>
  <c r="B8" i="28"/>
  <c r="A8" i="28"/>
  <c r="W8" i="28" s="1"/>
  <c r="H7" i="28"/>
  <c r="G7" i="28"/>
  <c r="E7" i="28"/>
  <c r="C7" i="28"/>
  <c r="B7" i="28"/>
  <c r="A7" i="28"/>
  <c r="W7" i="28" s="1"/>
  <c r="H6" i="28"/>
  <c r="E6" i="28"/>
  <c r="C6" i="28"/>
  <c r="B6" i="28"/>
  <c r="A6" i="28"/>
  <c r="W6" i="28" s="1"/>
  <c r="H5" i="28"/>
  <c r="E5" i="28"/>
  <c r="C5" i="28"/>
  <c r="B5" i="28"/>
  <c r="A5" i="28"/>
  <c r="W5" i="28" s="1"/>
  <c r="K4" i="28"/>
  <c r="E2" i="28"/>
  <c r="C2" i="28"/>
  <c r="A1" i="37"/>
  <c r="G243" i="1"/>
  <c r="G241" i="1"/>
  <c r="H238" i="1"/>
  <c r="G238" i="1" s="1"/>
  <c r="H237" i="1"/>
  <c r="G237" i="1" s="1"/>
  <c r="H236" i="1"/>
  <c r="G236" i="1" s="1"/>
  <c r="G235" i="1"/>
  <c r="G234" i="1"/>
  <c r="G233" i="1"/>
  <c r="G232" i="1"/>
  <c r="G225" i="1"/>
  <c r="G223" i="1"/>
  <c r="G222" i="1"/>
  <c r="G221" i="1"/>
  <c r="H218" i="1"/>
  <c r="G218" i="1" s="1"/>
  <c r="H217" i="1"/>
  <c r="G217" i="1"/>
  <c r="H216" i="1"/>
  <c r="G216" i="1"/>
  <c r="G215" i="1"/>
  <c r="H212" i="1"/>
  <c r="G212" i="1" s="1"/>
  <c r="H211" i="1"/>
  <c r="G211" i="1"/>
  <c r="H210" i="1"/>
  <c r="G210" i="1"/>
  <c r="G209" i="1"/>
  <c r="L204" i="1"/>
  <c r="G204" i="1"/>
  <c r="G203" i="1"/>
  <c r="G202" i="1"/>
  <c r="G201" i="1"/>
  <c r="G199" i="1"/>
  <c r="F193" i="1"/>
  <c r="G192" i="1"/>
  <c r="G191" i="1"/>
  <c r="G190" i="1"/>
  <c r="G189" i="1"/>
  <c r="F187" i="1"/>
  <c r="G186" i="1"/>
  <c r="G185" i="1"/>
  <c r="G184" i="1"/>
  <c r="G183" i="1"/>
  <c r="F181" i="1"/>
  <c r="E143" i="28"/>
  <c r="E142" i="28"/>
  <c r="G168" i="1"/>
  <c r="G163" i="1"/>
  <c r="G159" i="1"/>
  <c r="G157" i="1"/>
  <c r="G156" i="1"/>
  <c r="G153" i="1"/>
  <c r="G152" i="1"/>
  <c r="H145" i="1"/>
  <c r="G145" i="1" s="1"/>
  <c r="G144" i="1"/>
  <c r="G143" i="1"/>
  <c r="G142" i="1"/>
  <c r="G141" i="1"/>
  <c r="G140" i="1"/>
  <c r="G139" i="1"/>
  <c r="G138" i="1"/>
  <c r="G137" i="1"/>
  <c r="G136" i="1"/>
  <c r="G135" i="1"/>
  <c r="H129" i="1"/>
  <c r="G129" i="1" s="1"/>
  <c r="G128" i="1"/>
  <c r="G127" i="1"/>
  <c r="G126" i="1"/>
  <c r="G125" i="1"/>
  <c r="G123" i="1"/>
  <c r="G122" i="1"/>
  <c r="G121" i="1"/>
  <c r="G120" i="1"/>
  <c r="H116" i="1"/>
  <c r="G116" i="1" s="1"/>
  <c r="G102" i="1"/>
  <c r="G100" i="1"/>
  <c r="G99" i="1"/>
  <c r="H97" i="1"/>
  <c r="G97" i="1"/>
  <c r="H130" i="1"/>
  <c r="E76" i="28"/>
  <c r="G86" i="1"/>
  <c r="G84" i="1"/>
  <c r="G80" i="1"/>
  <c r="G68" i="28" s="1"/>
  <c r="G75" i="1"/>
  <c r="G73" i="1"/>
  <c r="H70" i="1"/>
  <c r="G70" i="1" s="1"/>
  <c r="G68" i="1"/>
  <c r="G65" i="1"/>
  <c r="G63" i="1"/>
  <c r="G62" i="1"/>
  <c r="H57" i="1"/>
  <c r="G57" i="1"/>
  <c r="H72"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9" i="1"/>
  <c r="G8" i="1"/>
  <c r="G7" i="1"/>
  <c r="L215" i="28"/>
  <c r="Y215" i="28" s="1"/>
  <c r="K289" i="36" l="1"/>
  <c r="S289" i="36"/>
  <c r="AA289" i="36"/>
  <c r="AI289" i="36"/>
  <c r="AQ289" i="36"/>
  <c r="AY289" i="36"/>
  <c r="BG289" i="36"/>
  <c r="BO289" i="36"/>
  <c r="F292" i="42"/>
  <c r="N292" i="42"/>
  <c r="V292" i="42"/>
  <c r="AD292" i="42"/>
  <c r="AL292" i="42"/>
  <c r="AT292" i="42"/>
  <c r="BB292" i="42"/>
  <c r="BJ292" i="42"/>
  <c r="BR292" i="42"/>
  <c r="L289" i="36"/>
  <c r="T289" i="36"/>
  <c r="AB289" i="36"/>
  <c r="AJ289" i="36"/>
  <c r="AR289" i="36"/>
  <c r="AZ289" i="36"/>
  <c r="BH289" i="36"/>
  <c r="BP289" i="36"/>
  <c r="L297" i="36"/>
  <c r="L303" i="36" s="1"/>
  <c r="T297" i="36"/>
  <c r="T303" i="36" s="1"/>
  <c r="AB297" i="36"/>
  <c r="AB303" i="36" s="1"/>
  <c r="AJ297" i="36"/>
  <c r="AJ303" i="36" s="1"/>
  <c r="AR297" i="36"/>
  <c r="AR303" i="36" s="1"/>
  <c r="AZ297" i="36"/>
  <c r="AZ303" i="36" s="1"/>
  <c r="BH297" i="36"/>
  <c r="BH303" i="36" s="1"/>
  <c r="BP297" i="36"/>
  <c r="BP303" i="36" s="1"/>
  <c r="G292" i="42"/>
  <c r="O292" i="42"/>
  <c r="W292" i="42"/>
  <c r="AE292" i="42"/>
  <c r="F180" i="28"/>
  <c r="Y180" i="28"/>
  <c r="Y202" i="28"/>
  <c r="BF303" i="36"/>
  <c r="BN303" i="36"/>
  <c r="BA297" i="36"/>
  <c r="BA303" i="36" s="1"/>
  <c r="BI297" i="36"/>
  <c r="BI303" i="36" s="1"/>
  <c r="BQ297" i="36"/>
  <c r="BQ303" i="36" s="1"/>
  <c r="K292" i="42"/>
  <c r="S292" i="42"/>
  <c r="AA292" i="42"/>
  <c r="AI292" i="42"/>
  <c r="AQ292" i="42"/>
  <c r="AY292" i="42"/>
  <c r="BG292" i="42"/>
  <c r="BO292" i="42"/>
  <c r="V303" i="36"/>
  <c r="AL303" i="36"/>
  <c r="AT303" i="36"/>
  <c r="BB303" i="36"/>
  <c r="BJ303" i="36"/>
  <c r="BR303" i="36"/>
  <c r="F289" i="36"/>
  <c r="N289" i="36"/>
  <c r="V289" i="36"/>
  <c r="AD289" i="36"/>
  <c r="AL289" i="36"/>
  <c r="AT289" i="36"/>
  <c r="BB289" i="36"/>
  <c r="BJ289" i="36"/>
  <c r="BR289" i="36"/>
  <c r="I297" i="36"/>
  <c r="I303" i="36" s="1"/>
  <c r="Q297" i="36"/>
  <c r="Q303" i="36" s="1"/>
  <c r="Y297" i="36"/>
  <c r="Y303" i="36" s="1"/>
  <c r="AG297" i="36"/>
  <c r="AG303" i="36" s="1"/>
  <c r="AO297" i="36"/>
  <c r="AO303" i="36" s="1"/>
  <c r="AW297" i="36"/>
  <c r="AW303" i="36" s="1"/>
  <c r="BE297" i="36"/>
  <c r="BE303" i="36" s="1"/>
  <c r="BM297" i="36"/>
  <c r="BM303" i="36" s="1"/>
  <c r="AM292" i="42"/>
  <c r="AU292" i="42"/>
  <c r="BC292" i="42"/>
  <c r="BK292" i="42"/>
  <c r="BS292" i="42"/>
  <c r="J289" i="36"/>
  <c r="R289" i="36"/>
  <c r="Z289" i="36"/>
  <c r="AH289" i="36"/>
  <c r="AP289" i="36"/>
  <c r="AX289" i="36"/>
  <c r="BF289" i="36"/>
  <c r="BN289" i="36"/>
  <c r="BD292" i="42"/>
  <c r="BL292" i="42"/>
  <c r="L292" i="42"/>
  <c r="O103" i="28"/>
  <c r="L76" i="28"/>
  <c r="L142" i="28"/>
  <c r="L12" i="28"/>
  <c r="L14" i="28"/>
  <c r="L16" i="28"/>
  <c r="L21" i="28"/>
  <c r="L37" i="28"/>
  <c r="L42" i="28"/>
  <c r="L50" i="28"/>
  <c r="L68" i="28"/>
  <c r="L73" i="28"/>
  <c r="L84" i="28"/>
  <c r="L89" i="28"/>
  <c r="L94" i="28"/>
  <c r="L99" i="28"/>
  <c r="L110" i="28"/>
  <c r="L126" i="28"/>
  <c r="L134" i="28"/>
  <c r="L157" i="28"/>
  <c r="L171" i="28"/>
  <c r="L204" i="28"/>
  <c r="L18" i="28"/>
  <c r="L26" i="28"/>
  <c r="L47" i="28"/>
  <c r="L78" i="28"/>
  <c r="L96" i="28"/>
  <c r="L115" i="28"/>
  <c r="L146" i="28"/>
  <c r="L154" i="28"/>
  <c r="L162" i="28"/>
  <c r="L181" i="28"/>
  <c r="L183" i="28"/>
  <c r="L207" i="28"/>
  <c r="Q207" i="28" s="1"/>
  <c r="L143" i="28"/>
  <c r="L31" i="28"/>
  <c r="L39" i="28"/>
  <c r="L44" i="28"/>
  <c r="L81" i="28"/>
  <c r="L86" i="28"/>
  <c r="L91" i="28"/>
  <c r="L101" i="28"/>
  <c r="L112" i="28"/>
  <c r="L128" i="28"/>
  <c r="L141" i="28"/>
  <c r="L164" i="28"/>
  <c r="X178" i="28"/>
  <c r="L185" i="28"/>
  <c r="L187" i="28"/>
  <c r="L9" i="28"/>
  <c r="L20" i="28"/>
  <c r="L28" i="28"/>
  <c r="L36" i="28"/>
  <c r="L49" i="28"/>
  <c r="L57" i="28"/>
  <c r="L65" i="28"/>
  <c r="L93" i="28"/>
  <c r="L98" i="28"/>
  <c r="L125" i="28"/>
  <c r="L133" i="28"/>
  <c r="L170" i="28"/>
  <c r="L189" i="28"/>
  <c r="L205" i="28"/>
  <c r="L11" i="28"/>
  <c r="L13" i="28"/>
  <c r="L15" i="28"/>
  <c r="L33" i="28"/>
  <c r="L46" i="28"/>
  <c r="L74" i="28"/>
  <c r="L79" i="28"/>
  <c r="L103" i="28"/>
  <c r="L106" i="28"/>
  <c r="L114" i="28"/>
  <c r="L122" i="28"/>
  <c r="L130" i="28"/>
  <c r="L138" i="28"/>
  <c r="L145" i="28"/>
  <c r="X180" i="28"/>
  <c r="L208" i="28"/>
  <c r="Q208" i="28" s="1"/>
  <c r="L22" i="28"/>
  <c r="L30" i="28"/>
  <c r="L38" i="28"/>
  <c r="L43" i="28"/>
  <c r="L51" i="28"/>
  <c r="L85" i="28"/>
  <c r="L90" i="28"/>
  <c r="L100" i="28"/>
  <c r="L111" i="28"/>
  <c r="L140" i="28"/>
  <c r="L150" i="28"/>
  <c r="L158" i="28"/>
  <c r="L168" i="28"/>
  <c r="L172" i="28"/>
  <c r="L184" i="28"/>
  <c r="L203" i="28"/>
  <c r="L19" i="28"/>
  <c r="L27" i="28"/>
  <c r="L48" i="28"/>
  <c r="L64" i="28"/>
  <c r="L77" i="28"/>
  <c r="L82" i="28"/>
  <c r="L92" i="28"/>
  <c r="L97" i="28"/>
  <c r="L124" i="28"/>
  <c r="L132" i="28"/>
  <c r="L163" i="28"/>
  <c r="L174" i="28"/>
  <c r="L186" i="28"/>
  <c r="L190" i="28"/>
  <c r="L206" i="28"/>
  <c r="L24" i="28"/>
  <c r="L40" i="28"/>
  <c r="L45" i="28"/>
  <c r="L53" i="28"/>
  <c r="L61" i="28"/>
  <c r="L80" i="28"/>
  <c r="L87" i="28"/>
  <c r="L102" i="28"/>
  <c r="L113" i="28"/>
  <c r="L121" i="28"/>
  <c r="Y121" i="28" s="1"/>
  <c r="L137" i="28"/>
  <c r="L144" i="28"/>
  <c r="L160" i="28"/>
  <c r="L169" i="28"/>
  <c r="L209" i="28"/>
  <c r="Q209" i="28" s="1"/>
  <c r="X191" i="28"/>
  <c r="X192" i="28"/>
  <c r="E95" i="28"/>
  <c r="T292" i="42"/>
  <c r="AB292" i="42"/>
  <c r="AJ292" i="42"/>
  <c r="AR292" i="42"/>
  <c r="AZ292" i="42"/>
  <c r="BH292" i="42"/>
  <c r="M292" i="42"/>
  <c r="U292" i="42"/>
  <c r="AC292" i="42"/>
  <c r="J292" i="42"/>
  <c r="R292" i="42"/>
  <c r="AK292" i="42"/>
  <c r="AS292" i="42"/>
  <c r="BA292" i="42"/>
  <c r="BI292" i="42"/>
  <c r="I292" i="42"/>
  <c r="Q292" i="42"/>
  <c r="Y292" i="42"/>
  <c r="Z292" i="42"/>
  <c r="AH292" i="42"/>
  <c r="AP292" i="42"/>
  <c r="AX292" i="42"/>
  <c r="BF292" i="42"/>
  <c r="BN292" i="42"/>
  <c r="H303" i="36"/>
  <c r="P303" i="36"/>
  <c r="X303" i="36"/>
  <c r="AF303" i="36"/>
  <c r="AN303" i="36"/>
  <c r="AV303" i="36"/>
  <c r="BD303" i="36"/>
  <c r="BL303" i="36"/>
  <c r="H289" i="36"/>
  <c r="P289" i="36"/>
  <c r="X289" i="36"/>
  <c r="AF289" i="36"/>
  <c r="AN289" i="36"/>
  <c r="AV289" i="36"/>
  <c r="BD289" i="36"/>
  <c r="BL289" i="36"/>
  <c r="K297" i="36"/>
  <c r="K303" i="36" s="1"/>
  <c r="S297" i="36"/>
  <c r="S303" i="36" s="1"/>
  <c r="AA297" i="36"/>
  <c r="AA303" i="36" s="1"/>
  <c r="AI297" i="36"/>
  <c r="AI303" i="36" s="1"/>
  <c r="AQ297" i="36"/>
  <c r="AQ303" i="36" s="1"/>
  <c r="AY297" i="36"/>
  <c r="AY303" i="36" s="1"/>
  <c r="BG297" i="36"/>
  <c r="BG303" i="36" s="1"/>
  <c r="BO297" i="36"/>
  <c r="BO303" i="36" s="1"/>
  <c r="AG292" i="42"/>
  <c r="AO292" i="42"/>
  <c r="AW292" i="42"/>
  <c r="BE292" i="42"/>
  <c r="BP292" i="42"/>
  <c r="BQ292" i="42"/>
  <c r="BM292" i="42"/>
  <c r="L127" i="28"/>
  <c r="G88" i="1"/>
  <c r="E174" i="1"/>
  <c r="E10" i="28"/>
  <c r="G12" i="1"/>
  <c r="H38" i="1"/>
  <c r="G38" i="1" s="1"/>
  <c r="L52" i="28"/>
  <c r="Y52" i="28" s="1"/>
  <c r="G13" i="1"/>
  <c r="G14" i="1"/>
  <c r="G108" i="1"/>
  <c r="G15" i="1"/>
  <c r="L5" i="28"/>
  <c r="G16" i="1"/>
  <c r="G17" i="1"/>
  <c r="E66" i="28"/>
  <c r="O85" i="28"/>
  <c r="E181" i="1"/>
  <c r="O51" i="28"/>
  <c r="O19" i="28"/>
  <c r="E187" i="1"/>
  <c r="L4" i="28"/>
  <c r="A2" i="37"/>
  <c r="X193" i="28"/>
  <c r="L7" i="28"/>
  <c r="L8" i="28"/>
  <c r="L123" i="28"/>
  <c r="L135" i="28"/>
  <c r="L62" i="28"/>
  <c r="L72" i="28"/>
  <c r="L153" i="28"/>
  <c r="L41" i="28"/>
  <c r="Y41" i="28" s="1"/>
  <c r="L71" i="28"/>
  <c r="L17" i="28"/>
  <c r="F9" i="28"/>
  <c r="L88" i="28"/>
  <c r="Y88" i="28" s="1"/>
  <c r="L129" i="28"/>
  <c r="L136" i="28"/>
  <c r="E193" i="1"/>
  <c r="H146" i="1"/>
  <c r="L175" i="28"/>
  <c r="L176" i="28"/>
  <c r="F174" i="1"/>
  <c r="F194" i="1" s="1"/>
  <c r="L23" i="28"/>
  <c r="L6" i="28"/>
  <c r="L32" i="28"/>
  <c r="L34" i="28"/>
  <c r="L54" i="28"/>
  <c r="L58" i="28"/>
  <c r="L69" i="28"/>
  <c r="L70" i="28"/>
  <c r="L75" i="28"/>
  <c r="L104" i="28"/>
  <c r="L107" i="28"/>
  <c r="L116" i="28"/>
  <c r="L119" i="28"/>
  <c r="L131" i="28"/>
  <c r="L149" i="28"/>
  <c r="L108" i="28"/>
  <c r="Y108" i="28" s="1"/>
  <c r="L117" i="28"/>
  <c r="L55" i="28"/>
  <c r="L59" i="28"/>
  <c r="L63" i="28"/>
  <c r="L83" i="28"/>
  <c r="L120" i="28"/>
  <c r="L25" i="28"/>
  <c r="L29" i="28"/>
  <c r="L67" i="28"/>
  <c r="L105" i="28"/>
  <c r="L109" i="28"/>
  <c r="L166" i="28"/>
  <c r="L35" i="28"/>
  <c r="L56" i="28"/>
  <c r="L60" i="28"/>
  <c r="L118" i="28"/>
  <c r="L139" i="28"/>
  <c r="L179" i="28"/>
  <c r="L152" i="28"/>
  <c r="L159" i="28"/>
  <c r="L165" i="28"/>
  <c r="L182" i="28"/>
  <c r="L188" i="28"/>
  <c r="L147" i="28"/>
  <c r="L155" i="28"/>
  <c r="L173" i="28"/>
  <c r="L177" i="28"/>
  <c r="L148" i="28"/>
  <c r="L156" i="28"/>
  <c r="L161" i="28"/>
  <c r="L167" i="28"/>
  <c r="G72" i="1"/>
  <c r="L151" i="28"/>
  <c r="F34" i="28" l="1"/>
  <c r="G129" i="28"/>
  <c r="Q129" i="28" s="1"/>
  <c r="Q90" i="28"/>
  <c r="E13" i="37"/>
  <c r="F64" i="28"/>
  <c r="Q105" i="28"/>
  <c r="G105" i="28" s="1"/>
  <c r="Q72" i="28"/>
  <c r="F115" i="28"/>
  <c r="Q41" i="28"/>
  <c r="F83" i="28"/>
  <c r="Q119" i="28"/>
  <c r="G119" i="28" s="1"/>
  <c r="Y205" i="28"/>
  <c r="Q205" i="28"/>
  <c r="Y206" i="28"/>
  <c r="Q206" i="28"/>
  <c r="Q103" i="28"/>
  <c r="Y184" i="28"/>
  <c r="Y204" i="28"/>
  <c r="Q204" i="28"/>
  <c r="Y74" i="28"/>
  <c r="Q74" i="28"/>
  <c r="Y185" i="28"/>
  <c r="Y186" i="28"/>
  <c r="E8" i="37"/>
  <c r="Y203" i="28"/>
  <c r="Q203" i="28"/>
  <c r="Q83" i="28"/>
  <c r="D52" i="37"/>
  <c r="D39" i="37"/>
  <c r="C49" i="37"/>
  <c r="C34" i="37"/>
  <c r="C52" i="37"/>
  <c r="D38" i="37"/>
  <c r="C44" i="37"/>
  <c r="D46" i="37"/>
  <c r="D37" i="37"/>
  <c r="C43" i="37"/>
  <c r="C46" i="37"/>
  <c r="D36" i="37"/>
  <c r="C39" i="37"/>
  <c r="D50" i="37"/>
  <c r="D35" i="37"/>
  <c r="C38" i="37"/>
  <c r="D33" i="37"/>
  <c r="C35" i="37"/>
  <c r="C33" i="37"/>
  <c r="D49" i="37"/>
  <c r="D34" i="37"/>
  <c r="C37" i="37"/>
  <c r="D44" i="37"/>
  <c r="C36" i="37"/>
  <c r="C50" i="37"/>
  <c r="D43" i="37"/>
  <c r="D22" i="37"/>
  <c r="D13" i="37"/>
  <c r="C13" i="37"/>
  <c r="D27" i="37"/>
  <c r="D9" i="37"/>
  <c r="C9" i="37"/>
  <c r="D8" i="37"/>
  <c r="C17" i="37"/>
  <c r="D7" i="37"/>
  <c r="C18" i="37"/>
  <c r="D26" i="37"/>
  <c r="C26" i="37"/>
  <c r="C8" i="37"/>
  <c r="D14" i="37"/>
  <c r="C23" i="37"/>
  <c r="C14" i="37"/>
  <c r="C7" i="37"/>
  <c r="C22" i="37"/>
  <c r="D18" i="37"/>
  <c r="C27" i="37"/>
  <c r="D17" i="37"/>
  <c r="D23" i="37"/>
  <c r="F113" i="28"/>
  <c r="Y113" i="28"/>
  <c r="F100" i="28"/>
  <c r="Y100" i="28"/>
  <c r="Y208" i="28"/>
  <c r="X103" i="28"/>
  <c r="Y103" i="28"/>
  <c r="E37" i="37"/>
  <c r="Y57" i="28"/>
  <c r="X81" i="28"/>
  <c r="Y81" i="28"/>
  <c r="F162" i="28"/>
  <c r="Y162" i="28"/>
  <c r="F18" i="28"/>
  <c r="Y18" i="28"/>
  <c r="F94" i="28"/>
  <c r="Y94" i="28"/>
  <c r="X21" i="28"/>
  <c r="Y21" i="28"/>
  <c r="F161" i="28"/>
  <c r="Y161" i="28"/>
  <c r="X188" i="28"/>
  <c r="Y188" i="28"/>
  <c r="F60" i="28"/>
  <c r="Y60" i="28"/>
  <c r="F25" i="28"/>
  <c r="Y25" i="28"/>
  <c r="X149" i="28"/>
  <c r="Y149" i="28"/>
  <c r="X69" i="28"/>
  <c r="Y69" i="28"/>
  <c r="F176" i="28"/>
  <c r="Y176" i="28"/>
  <c r="X129" i="28"/>
  <c r="Y129" i="28"/>
  <c r="X62" i="28"/>
  <c r="Y62" i="28"/>
  <c r="X5" i="28"/>
  <c r="Y5" i="28"/>
  <c r="X102" i="28"/>
  <c r="Y102" i="28"/>
  <c r="F92" i="28"/>
  <c r="Y92" i="28"/>
  <c r="F90" i="28"/>
  <c r="Y90" i="28"/>
  <c r="X79" i="28"/>
  <c r="Y79" i="28"/>
  <c r="X189" i="28"/>
  <c r="Y189" i="28"/>
  <c r="F49" i="28"/>
  <c r="Y49" i="28"/>
  <c r="X164" i="28"/>
  <c r="Y164" i="28"/>
  <c r="X44" i="28"/>
  <c r="Y44" i="28"/>
  <c r="X154" i="28"/>
  <c r="Y154" i="28"/>
  <c r="F89" i="28"/>
  <c r="Y89" i="28"/>
  <c r="X16" i="28"/>
  <c r="Y16" i="28"/>
  <c r="X167" i="28"/>
  <c r="Y167" i="28"/>
  <c r="X156" i="28"/>
  <c r="Y156" i="28"/>
  <c r="F182" i="28"/>
  <c r="Y182" i="28"/>
  <c r="X56" i="28"/>
  <c r="Y56" i="28"/>
  <c r="F120" i="28"/>
  <c r="Y120" i="28"/>
  <c r="E17" i="37"/>
  <c r="Y131" i="28"/>
  <c r="X58" i="28"/>
  <c r="Y58" i="28"/>
  <c r="F175" i="28"/>
  <c r="Y175" i="28"/>
  <c r="F135" i="28"/>
  <c r="Y135" i="28"/>
  <c r="Y209" i="28"/>
  <c r="F87" i="28"/>
  <c r="Y87" i="28"/>
  <c r="X190" i="28"/>
  <c r="Y190" i="28"/>
  <c r="F82" i="28"/>
  <c r="Y82" i="28"/>
  <c r="F172" i="28"/>
  <c r="Y172" i="28"/>
  <c r="X85" i="28"/>
  <c r="Y85" i="28"/>
  <c r="X145" i="28"/>
  <c r="Y145" i="28"/>
  <c r="X170" i="28"/>
  <c r="Y170" i="28"/>
  <c r="X36" i="28"/>
  <c r="Y36" i="28"/>
  <c r="X141" i="28"/>
  <c r="Y141" i="28"/>
  <c r="X39" i="28"/>
  <c r="Y39" i="28"/>
  <c r="X146" i="28"/>
  <c r="Y146" i="28"/>
  <c r="F171" i="28"/>
  <c r="Y171" i="28"/>
  <c r="X84" i="28"/>
  <c r="Y84" i="28"/>
  <c r="X14" i="28"/>
  <c r="Y14" i="28"/>
  <c r="X118" i="28"/>
  <c r="Y118" i="28"/>
  <c r="X136" i="28"/>
  <c r="Y136" i="28"/>
  <c r="X148" i="28"/>
  <c r="Y148" i="28"/>
  <c r="E34" i="37"/>
  <c r="Y51" i="28"/>
  <c r="F128" i="28"/>
  <c r="Y128" i="28"/>
  <c r="F166" i="28"/>
  <c r="Y166" i="28"/>
  <c r="X17" i="28"/>
  <c r="Y17" i="28"/>
  <c r="F160" i="28"/>
  <c r="Y160" i="28"/>
  <c r="F61" i="28"/>
  <c r="Y61" i="28"/>
  <c r="F174" i="28"/>
  <c r="Y174" i="28"/>
  <c r="X64" i="28"/>
  <c r="Y64" i="28"/>
  <c r="X158" i="28"/>
  <c r="Y158" i="28"/>
  <c r="F9" i="30"/>
  <c r="H9" i="30" s="1"/>
  <c r="Y43" i="28"/>
  <c r="X130" i="28"/>
  <c r="Y130" i="28"/>
  <c r="X33" i="28"/>
  <c r="Y33" i="28"/>
  <c r="F125" i="28"/>
  <c r="Y125" i="28"/>
  <c r="X20" i="28"/>
  <c r="Y20" i="28"/>
  <c r="X112" i="28"/>
  <c r="Y112" i="28"/>
  <c r="X143" i="28"/>
  <c r="Y143" i="28"/>
  <c r="F96" i="28"/>
  <c r="Y96" i="28"/>
  <c r="E26" i="37"/>
  <c r="Y134" i="28"/>
  <c r="F68" i="28"/>
  <c r="Y68" i="28"/>
  <c r="X142" i="28"/>
  <c r="Y142" i="28"/>
  <c r="X147" i="28"/>
  <c r="Y147" i="28"/>
  <c r="X70" i="28"/>
  <c r="Y70" i="28"/>
  <c r="X24" i="28"/>
  <c r="Y24" i="28"/>
  <c r="X83" i="28"/>
  <c r="Y83" i="28"/>
  <c r="F20" i="30"/>
  <c r="Y46" i="28"/>
  <c r="X115" i="28"/>
  <c r="Y115" i="28"/>
  <c r="X12" i="28"/>
  <c r="Y12" i="28"/>
  <c r="F159" i="28"/>
  <c r="Y159" i="28"/>
  <c r="E39" i="37"/>
  <c r="Y63" i="28"/>
  <c r="X116" i="28"/>
  <c r="Y116" i="28"/>
  <c r="X34" i="28"/>
  <c r="Y34" i="28"/>
  <c r="F8" i="28"/>
  <c r="Y8" i="28"/>
  <c r="X177" i="28"/>
  <c r="Y177" i="28"/>
  <c r="X152" i="28"/>
  <c r="Y152" i="28"/>
  <c r="X109" i="28"/>
  <c r="Y109" i="28"/>
  <c r="X59" i="28"/>
  <c r="Y59" i="28"/>
  <c r="X107" i="28"/>
  <c r="Y107" i="28"/>
  <c r="X32" i="28"/>
  <c r="Y32" i="28"/>
  <c r="X71" i="28"/>
  <c r="Y71" i="28"/>
  <c r="X7" i="28"/>
  <c r="Y7" i="28"/>
  <c r="X144" i="28"/>
  <c r="Y144" i="28"/>
  <c r="X53" i="28"/>
  <c r="Y53" i="28"/>
  <c r="X163" i="28"/>
  <c r="Y163" i="28"/>
  <c r="F48" i="28"/>
  <c r="Y48" i="28"/>
  <c r="X150" i="28"/>
  <c r="Y150" i="28"/>
  <c r="X38" i="28"/>
  <c r="Y38" i="28"/>
  <c r="X122" i="28"/>
  <c r="Y122" i="28"/>
  <c r="X15" i="28"/>
  <c r="Y15" i="28"/>
  <c r="F98" i="28"/>
  <c r="Y98" i="28"/>
  <c r="X9" i="28"/>
  <c r="Y9" i="28"/>
  <c r="F101" i="28"/>
  <c r="Y101" i="28"/>
  <c r="Y207" i="28"/>
  <c r="X78" i="28"/>
  <c r="Y78" i="28"/>
  <c r="F126" i="28"/>
  <c r="Y126" i="28"/>
  <c r="F50" i="28"/>
  <c r="Y50" i="28"/>
  <c r="X76" i="28"/>
  <c r="Y76" i="28"/>
  <c r="F97" i="28"/>
  <c r="Y97" i="28"/>
  <c r="F35" i="28"/>
  <c r="Y35" i="28"/>
  <c r="X54" i="28"/>
  <c r="Y54" i="28"/>
  <c r="F169" i="28"/>
  <c r="Y169" i="28"/>
  <c r="X168" i="28"/>
  <c r="Y168" i="28"/>
  <c r="F133" i="28"/>
  <c r="Y133" i="28"/>
  <c r="F31" i="28"/>
  <c r="Y31" i="28"/>
  <c r="X73" i="28"/>
  <c r="Y73" i="28"/>
  <c r="X151" i="28"/>
  <c r="Y151" i="28"/>
  <c r="X173" i="28"/>
  <c r="Y173" i="28"/>
  <c r="X179" i="28"/>
  <c r="Y179" i="28"/>
  <c r="X105" i="28"/>
  <c r="Y105" i="28"/>
  <c r="F55" i="28"/>
  <c r="Y55" i="28"/>
  <c r="X104" i="28"/>
  <c r="Y104" i="28"/>
  <c r="F6" i="28"/>
  <c r="Y6" i="28"/>
  <c r="F137" i="28"/>
  <c r="Y137" i="28"/>
  <c r="F45" i="28"/>
  <c r="Y45" i="28"/>
  <c r="F132" i="28"/>
  <c r="Y132" i="28"/>
  <c r="F27" i="28"/>
  <c r="Y27" i="28"/>
  <c r="X140" i="28"/>
  <c r="Y140" i="28"/>
  <c r="F30" i="28"/>
  <c r="Y30" i="28"/>
  <c r="X114" i="28"/>
  <c r="Y114" i="28"/>
  <c r="X13" i="28"/>
  <c r="Y13" i="28"/>
  <c r="F93" i="28"/>
  <c r="Y93" i="28"/>
  <c r="X187" i="28"/>
  <c r="Y187" i="28"/>
  <c r="F91" i="28"/>
  <c r="Y91" i="28"/>
  <c r="F183" i="28"/>
  <c r="Y183" i="28"/>
  <c r="X47" i="28"/>
  <c r="Y47" i="28"/>
  <c r="X110" i="28"/>
  <c r="Y110" i="28"/>
  <c r="F42" i="28"/>
  <c r="Y42" i="28"/>
  <c r="F29" i="28"/>
  <c r="Y29" i="28"/>
  <c r="X72" i="28"/>
  <c r="Y72" i="28"/>
  <c r="F165" i="28"/>
  <c r="Y165" i="28"/>
  <c r="X119" i="28"/>
  <c r="Y119" i="28"/>
  <c r="F123" i="28"/>
  <c r="Y123" i="28"/>
  <c r="X80" i="28"/>
  <c r="Y80" i="28"/>
  <c r="X77" i="28"/>
  <c r="Y77" i="28"/>
  <c r="X138" i="28"/>
  <c r="Y138" i="28"/>
  <c r="F28" i="28"/>
  <c r="Y28" i="28"/>
  <c r="X157" i="28"/>
  <c r="Y157" i="28"/>
  <c r="X155" i="28"/>
  <c r="Y155" i="28"/>
  <c r="X139" i="28"/>
  <c r="Y139" i="28"/>
  <c r="X67" i="28"/>
  <c r="Y67" i="28"/>
  <c r="X117" i="28"/>
  <c r="Y117" i="28"/>
  <c r="X75" i="28"/>
  <c r="Y75" i="28"/>
  <c r="F23" i="28"/>
  <c r="Y23" i="28"/>
  <c r="X153" i="28"/>
  <c r="Y153" i="28"/>
  <c r="X127" i="28"/>
  <c r="Y127" i="28"/>
  <c r="X40" i="28"/>
  <c r="Y40" i="28"/>
  <c r="X124" i="28"/>
  <c r="Y124" i="28"/>
  <c r="X19" i="28"/>
  <c r="Y19" i="28"/>
  <c r="F111" i="28"/>
  <c r="Y111" i="28"/>
  <c r="F22" i="28"/>
  <c r="Y22" i="28"/>
  <c r="F106" i="28"/>
  <c r="Y106" i="28"/>
  <c r="X11" i="28"/>
  <c r="Y11" i="28"/>
  <c r="X65" i="28"/>
  <c r="Y65" i="28"/>
  <c r="F86" i="28"/>
  <c r="Y86" i="28"/>
  <c r="X181" i="28"/>
  <c r="Y181" i="28"/>
  <c r="X26" i="28"/>
  <c r="Y26" i="28"/>
  <c r="F99" i="28"/>
  <c r="Y99" i="28"/>
  <c r="F37" i="28"/>
  <c r="Y37" i="28"/>
  <c r="X4" i="28"/>
  <c r="Y4" i="28"/>
  <c r="X74" i="28"/>
  <c r="F74" i="28"/>
  <c r="X203" i="28"/>
  <c r="X208" i="28"/>
  <c r="X205" i="28"/>
  <c r="X204" i="28"/>
  <c r="X215" i="28"/>
  <c r="X206" i="28"/>
  <c r="X209" i="28"/>
  <c r="X207" i="28"/>
  <c r="F11" i="30"/>
  <c r="H11" i="30" s="1"/>
  <c r="F47" i="28"/>
  <c r="F17" i="30"/>
  <c r="F122" i="28"/>
  <c r="X202" i="28"/>
  <c r="F46" i="28"/>
  <c r="F26" i="28"/>
  <c r="F24" i="28"/>
  <c r="X185" i="28"/>
  <c r="X184" i="28"/>
  <c r="X186" i="28"/>
  <c r="X18" i="28"/>
  <c r="X82" i="28"/>
  <c r="X160" i="28"/>
  <c r="E33" i="37"/>
  <c r="F38" i="28"/>
  <c r="F7" i="30"/>
  <c r="H7" i="30" s="1"/>
  <c r="F57" i="28"/>
  <c r="X68" i="28"/>
  <c r="F72" i="28"/>
  <c r="X35" i="28"/>
  <c r="X43" i="28"/>
  <c r="X91" i="28"/>
  <c r="X171" i="28"/>
  <c r="X89" i="28"/>
  <c r="F8" i="30"/>
  <c r="F39" i="28"/>
  <c r="E22" i="37"/>
  <c r="X90" i="28"/>
  <c r="F43" i="28"/>
  <c r="X137" i="28"/>
  <c r="G41" i="28"/>
  <c r="X42" i="28"/>
  <c r="D1" i="28"/>
  <c r="E18" i="37"/>
  <c r="E19" i="37" s="1"/>
  <c r="G103" i="28"/>
  <c r="E50" i="37"/>
  <c r="X46" i="28"/>
  <c r="H186" i="28"/>
  <c r="Q186" i="28" s="1"/>
  <c r="F14" i="30"/>
  <c r="X175" i="28"/>
  <c r="X48" i="28"/>
  <c r="X92" i="28"/>
  <c r="X133" i="28"/>
  <c r="X99" i="28"/>
  <c r="X93" i="28"/>
  <c r="G115" i="28"/>
  <c r="Q115" i="28" s="1"/>
  <c r="X100" i="28"/>
  <c r="X166" i="28"/>
  <c r="X28" i="28"/>
  <c r="X50" i="28"/>
  <c r="X174" i="28"/>
  <c r="X108" i="28"/>
  <c r="X31" i="28"/>
  <c r="X121" i="28"/>
  <c r="X61" i="28"/>
  <c r="X165" i="28"/>
  <c r="X125" i="28"/>
  <c r="X86" i="28"/>
  <c r="X162" i="28"/>
  <c r="X23" i="28"/>
  <c r="F121" i="28"/>
  <c r="X113" i="28"/>
  <c r="X132" i="28"/>
  <c r="X27" i="28"/>
  <c r="X182" i="28"/>
  <c r="X22" i="28"/>
  <c r="X51" i="28"/>
  <c r="X98" i="28"/>
  <c r="X120" i="28"/>
  <c r="X60" i="28"/>
  <c r="X94" i="28"/>
  <c r="X25" i="28"/>
  <c r="F181" i="28"/>
  <c r="X8" i="28"/>
  <c r="X172" i="28"/>
  <c r="X106" i="28"/>
  <c r="X57" i="28"/>
  <c r="X159" i="28"/>
  <c r="X183" i="28"/>
  <c r="X96" i="28"/>
  <c r="X176" i="28"/>
  <c r="X134" i="28"/>
  <c r="X37" i="28"/>
  <c r="F103" i="28"/>
  <c r="L95" i="28"/>
  <c r="Y95" i="28" s="1"/>
  <c r="X169" i="28"/>
  <c r="X87" i="28"/>
  <c r="X45" i="28"/>
  <c r="X135" i="28"/>
  <c r="X49" i="28"/>
  <c r="X101" i="28"/>
  <c r="X131" i="28"/>
  <c r="X126" i="28"/>
  <c r="X29" i="28"/>
  <c r="X123" i="28"/>
  <c r="H173" i="28"/>
  <c r="Q173" i="28" s="1"/>
  <c r="L66" i="28"/>
  <c r="X161" i="28"/>
  <c r="X88" i="28"/>
  <c r="X41" i="28"/>
  <c r="X52" i="28"/>
  <c r="F44" i="28"/>
  <c r="X97" i="28"/>
  <c r="X111" i="28"/>
  <c r="X30" i="28"/>
  <c r="X6" i="28"/>
  <c r="X128" i="28"/>
  <c r="X63" i="28"/>
  <c r="X55" i="28"/>
  <c r="L10" i="28"/>
  <c r="F17" i="28" s="1"/>
  <c r="F5" i="28"/>
  <c r="F130" i="28"/>
  <c r="F41" i="28"/>
  <c r="G34" i="28"/>
  <c r="Q34" i="28" s="1"/>
  <c r="G51" i="28"/>
  <c r="Q51" i="28" s="1"/>
  <c r="F52" i="28"/>
  <c r="G72" i="28"/>
  <c r="F51" i="28"/>
  <c r="F21" i="28"/>
  <c r="E194" i="1"/>
  <c r="G74" i="28"/>
  <c r="H185" i="28"/>
  <c r="Q185" i="28" s="1"/>
  <c r="G21" i="28"/>
  <c r="Q21" i="28" s="1"/>
  <c r="G130" i="28"/>
  <c r="Q130" i="28" s="1"/>
  <c r="E27" i="37"/>
  <c r="E28" i="37" s="1"/>
  <c r="F136" i="28"/>
  <c r="F139" i="28"/>
  <c r="G83" i="28"/>
  <c r="F85" i="28"/>
  <c r="E44" i="37"/>
  <c r="G85" i="28"/>
  <c r="Q85" i="28" s="1"/>
  <c r="F105" i="28"/>
  <c r="F69" i="28"/>
  <c r="E46" i="37"/>
  <c r="F119" i="28"/>
  <c r="F118" i="28"/>
  <c r="E52" i="37"/>
  <c r="F29" i="30"/>
  <c r="F59" i="28"/>
  <c r="F58" i="28"/>
  <c r="F28" i="30"/>
  <c r="H28" i="30" s="1"/>
  <c r="E38" i="37"/>
  <c r="F33" i="28"/>
  <c r="F7" i="28"/>
  <c r="G114" i="28"/>
  <c r="Q114" i="28" s="1"/>
  <c r="F114" i="28"/>
  <c r="E43" i="37"/>
  <c r="F63" i="28"/>
  <c r="G63" i="28"/>
  <c r="Q63" i="28" s="1"/>
  <c r="E35" i="37"/>
  <c r="G64" i="28"/>
  <c r="Q64" i="28" s="1"/>
  <c r="G33" i="28"/>
  <c r="Q33" i="28" s="1"/>
  <c r="F56" i="28"/>
  <c r="F26" i="30"/>
  <c r="H26" i="30" s="1"/>
  <c r="E36" i="37"/>
  <c r="F129" i="28"/>
  <c r="E49" i="37"/>
  <c r="E14" i="37"/>
  <c r="H168" i="28"/>
  <c r="Q168" i="28" s="1"/>
  <c r="F167" i="28"/>
  <c r="H184" i="28"/>
  <c r="Q184" i="28" s="1"/>
  <c r="E7" i="37"/>
  <c r="F177" i="28"/>
  <c r="F10" i="30"/>
  <c r="F170" i="28"/>
  <c r="L219" i="28" l="1"/>
  <c r="G186" i="28"/>
  <c r="G184" i="28"/>
  <c r="X10" i="28"/>
  <c r="Y10" i="28"/>
  <c r="F66" i="28"/>
  <c r="Y66" i="28"/>
  <c r="C15" i="37"/>
  <c r="G185" i="28"/>
  <c r="E51" i="37"/>
  <c r="F186" i="28"/>
  <c r="F10" i="28"/>
  <c r="X66" i="28"/>
  <c r="E23" i="37"/>
  <c r="E24" i="37" s="1"/>
  <c r="X95" i="28"/>
  <c r="F173" i="28"/>
  <c r="E15" i="37"/>
  <c r="D24" i="37"/>
  <c r="C28" i="37"/>
  <c r="C19" i="37"/>
  <c r="C45" i="37"/>
  <c r="D45" i="37"/>
  <c r="D51" i="37"/>
  <c r="D28" i="37"/>
  <c r="E9" i="37"/>
  <c r="C24" i="37"/>
  <c r="D19" i="37"/>
  <c r="C51" i="37"/>
  <c r="E45" i="37"/>
  <c r="D15" i="37"/>
  <c r="F185" i="28"/>
  <c r="F30" i="30"/>
  <c r="H29" i="30"/>
  <c r="H30" i="30" s="1"/>
  <c r="F168" i="28"/>
  <c r="F12" i="30"/>
  <c r="H10" i="30"/>
  <c r="H12" i="30" s="1"/>
  <c r="F184" i="28"/>
  <c r="J219" i="28" l="1"/>
  <c r="H32" i="30"/>
  <c r="F15" i="30"/>
  <c r="F18" i="30" s="1"/>
  <c r="F32" i="30"/>
  <c r="C22" i="30" l="1"/>
  <c r="F21" i="30"/>
  <c r="C21" i="30"/>
</calcChain>
</file>

<file path=xl/sharedStrings.xml><?xml version="1.0" encoding="utf-8"?>
<sst xmlns="http://schemas.openxmlformats.org/spreadsheetml/2006/main" count="3024" uniqueCount="1257">
  <si>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</si>
  <si>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</si>
  <si>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</si>
  <si>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</si>
  <si>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</si>
  <si>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</si>
  <si>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</si>
  <si>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r>
      <t xml:space="preserve">Total Assets </t>
    </r>
    <r>
      <rPr>
        <b/>
        <sz val="11"/>
        <color indexed="8"/>
        <rFont val="Calibri"/>
        <family val="2"/>
      </rPr>
      <t>being depreciated</t>
    </r>
    <r>
      <rPr>
        <sz val="11"/>
        <color theme="1"/>
        <rFont val="Calibri"/>
        <family val="2"/>
        <scheme val="minor"/>
      </rPr>
      <t xml:space="preserve"> for Governmental Activities:</t>
    </r>
  </si>
  <si>
    <t>Construction in progress</t>
  </si>
  <si>
    <t>Capital Assets for Electric Fund</t>
  </si>
  <si>
    <t>Gross value:</t>
  </si>
  <si>
    <t>Notes to the Financial Statements -Summary Changes in Long-Term Liability</t>
  </si>
  <si>
    <t>Error Messages</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</si>
  <si>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</si>
  <si>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</si>
  <si>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</si>
  <si>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</si>
  <si>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</si>
  <si>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</si>
  <si>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</si>
  <si>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</si>
  <si>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</si>
  <si>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</si>
  <si>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</si>
  <si>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</si>
  <si>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</si>
  <si>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</si>
  <si>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</si>
  <si>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</si>
  <si>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</si>
  <si>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</si>
  <si>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</si>
  <si>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r>
      <t xml:space="preserve">Assets </t>
    </r>
    <r>
      <rPr>
        <b/>
        <sz val="11"/>
        <color indexed="8"/>
        <rFont val="Calibri"/>
        <family val="2"/>
      </rPr>
      <t>not being depreciated</t>
    </r>
    <r>
      <rPr>
        <sz val="11"/>
        <color theme="1"/>
        <rFont val="Calibri"/>
        <family val="2"/>
        <scheme val="minor"/>
      </rPr>
      <t xml:space="preserve"> for Water and Sewer Activities:</t>
    </r>
  </si>
  <si>
    <r>
      <t xml:space="preserve">Assets </t>
    </r>
    <r>
      <rPr>
        <b/>
        <sz val="11"/>
        <color indexed="8"/>
        <rFont val="Calibri"/>
        <family val="2"/>
      </rPr>
      <t>being depreciated</t>
    </r>
    <r>
      <rPr>
        <sz val="11"/>
        <color theme="1"/>
        <rFont val="Calibri"/>
        <family val="2"/>
        <scheme val="minor"/>
      </rPr>
      <t xml:space="preserve"> for Water and Sewer Activities:</t>
    </r>
  </si>
  <si>
    <r>
      <t xml:space="preserve">Total Gross Value Assets </t>
    </r>
    <r>
      <rPr>
        <b/>
        <sz val="11"/>
        <color indexed="8"/>
        <rFont val="Calibri"/>
        <family val="2"/>
      </rPr>
      <t>being depreciated</t>
    </r>
    <r>
      <rPr>
        <sz val="11"/>
        <color theme="1"/>
        <rFont val="Calibri"/>
        <family val="2"/>
        <scheme val="minor"/>
      </rPr>
      <t xml:space="preserve"> for Water and Sewer Activities</t>
    </r>
  </si>
  <si>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</si>
  <si>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</si>
  <si>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</si>
  <si>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</si>
  <si>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</si>
  <si>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</si>
  <si>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</si>
  <si>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</si>
  <si>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</si>
  <si>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</si>
  <si>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</si>
  <si>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</si>
  <si>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</si>
  <si>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</si>
  <si>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</si>
  <si>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</si>
  <si>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</si>
  <si>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</si>
  <si>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</si>
  <si>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</si>
  <si>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</si>
  <si>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</si>
  <si>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</si>
  <si>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</si>
  <si>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</si>
  <si>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</si>
  <si>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</si>
  <si>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</si>
  <si>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</si>
  <si>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</si>
  <si>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</si>
  <si>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</si>
  <si>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</si>
  <si>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</si>
  <si>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</si>
  <si>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</si>
  <si>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</si>
  <si>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</si>
  <si>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</si>
  <si>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</si>
  <si>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</si>
  <si>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</si>
  <si>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</si>
  <si>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</si>
  <si>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</si>
  <si>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</si>
  <si>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</si>
  <si>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</si>
  <si>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</si>
  <si>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</si>
  <si>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</si>
  <si>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</si>
  <si>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</si>
  <si>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</si>
  <si>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</si>
  <si>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</si>
  <si>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</si>
  <si>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</si>
  <si>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</si>
  <si>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</si>
  <si>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</si>
  <si>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</si>
  <si>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</si>
  <si>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</si>
  <si>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</si>
  <si>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</si>
  <si>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</si>
  <si>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</si>
  <si>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</si>
  <si>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</si>
  <si>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</si>
  <si>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</si>
  <si>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</si>
  <si>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</si>
  <si>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</si>
  <si>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</si>
  <si>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</si>
  <si>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</si>
  <si>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</si>
  <si>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</si>
  <si>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</si>
  <si>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</si>
  <si>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</si>
  <si>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</si>
  <si>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</si>
  <si>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</si>
  <si>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</si>
  <si>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</si>
  <si>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</si>
  <si>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</si>
  <si>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</si>
  <si>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</si>
  <si>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</si>
  <si>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</si>
  <si>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</si>
  <si>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</si>
  <si>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</si>
  <si>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</si>
  <si>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</si>
  <si>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</si>
  <si>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</si>
  <si>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</si>
  <si>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</si>
  <si>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</si>
  <si>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</si>
  <si>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</si>
  <si>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</si>
  <si>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</si>
  <si>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</si>
  <si>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</si>
  <si>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</si>
  <si>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</si>
  <si>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</si>
  <si>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</si>
  <si>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</si>
  <si>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</si>
  <si>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</si>
  <si>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in</t>
  </si>
  <si>
    <t>Total Transfers out</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</si>
  <si>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</si>
  <si>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</si>
  <si>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</si>
  <si>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</si>
  <si>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</si>
  <si>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</si>
  <si>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</si>
  <si>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</si>
  <si>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r>
      <rPr>
        <u/>
        <sz val="11"/>
        <color indexed="8"/>
        <rFont val="Calibri"/>
        <family val="2"/>
      </rPr>
      <t>Total Intergovernmental revenue</t>
    </r>
    <r>
      <rPr>
        <sz val="11"/>
        <color theme="1"/>
        <rFont val="Calibri"/>
        <family val="2"/>
        <scheme val="minor"/>
      </rPr>
      <t xml:space="preserve"> 
</t>
    </r>
    <r>
      <rPr>
        <b/>
        <sz val="11"/>
        <color indexed="8"/>
        <rFont val="Calibri"/>
        <family val="2"/>
      </rPr>
      <t>Include</t>
    </r>
    <r>
      <rPr>
        <sz val="11"/>
        <color indexed="8"/>
        <rFont val="Calibri"/>
        <family val="2"/>
      </rPr>
      <t xml:space="preserve"> restricted and unrestricted revenues</t>
    </r>
  </si>
  <si>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</si>
  <si>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</si>
  <si>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</si>
  <si>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</si>
  <si>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</si>
  <si>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</si>
  <si>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</si>
  <si>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color indexed="8"/>
        <rFont val="Calibri"/>
        <family val="2"/>
      </rPr>
      <t>Fund balance, Restricted for Streets</t>
    </r>
    <r>
      <rPr>
        <sz val="11"/>
        <color theme="1"/>
        <rFont val="Calibri"/>
        <family val="2"/>
        <scheme val="minor"/>
      </rPr>
      <t xml:space="preserve"> (unspent Powell Bill balance).  </t>
    </r>
    <r>
      <rPr>
        <sz val="11"/>
        <color indexed="60"/>
        <rFont val="Calibri"/>
        <family val="2"/>
      </rPr>
      <t>You may have to refer to the note disclosure where restricted fund balance is described.</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</si>
  <si>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</si>
  <si>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b/>
        <sz val="11"/>
        <color indexed="8"/>
        <rFont val="Century Schoolbook"/>
        <family val="1"/>
      </rPr>
      <t>Statement of Net Position - Water and Sewer Operations</t>
    </r>
    <r>
      <rPr>
        <sz val="11"/>
        <color indexed="8"/>
        <rFont val="Century Schoolbook"/>
        <family val="1"/>
      </rPr>
      <t xml:space="preserve"> - If unit maintains separate funds please combine all water, sewer,</t>
    </r>
  </si>
  <si>
    <r>
      <rPr>
        <u/>
        <sz val="11"/>
        <color indexed="8"/>
        <rFont val="Calibri"/>
        <family val="2"/>
      </rPr>
      <t>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and/or restricted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</si>
  <si>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both billed and unbilled amounts.</t>
    </r>
  </si>
  <si>
    <t>Total Liabilities and deferred inflows</t>
  </si>
  <si>
    <t>Total Net position</t>
  </si>
  <si>
    <t xml:space="preserve">Statement of Net Position - Electric Fund </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</si>
  <si>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any restricted cash and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</si>
  <si>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billed and unbilled amounts </t>
    </r>
  </si>
  <si>
    <t>Amount of inventories and prepaids</t>
  </si>
  <si>
    <t>Total liabilities and total deferred inflows</t>
  </si>
  <si>
    <r>
      <rPr>
        <u/>
        <sz val="11"/>
        <color indexed="8"/>
        <rFont val="Calibri"/>
        <family val="2"/>
      </rPr>
      <t>Total net position, unrestricted</t>
    </r>
    <r>
      <rPr>
        <sz val="11"/>
        <color theme="1"/>
        <rFont val="Calibri"/>
        <family val="2"/>
        <scheme val="minor"/>
      </rPr>
      <t xml:space="preserve"> - </t>
    </r>
    <r>
      <rPr>
        <sz val="11"/>
        <color indexed="60"/>
        <rFont val="Calibri"/>
        <family val="2"/>
      </rPr>
      <t>Amount of negative unrestricted net position should be entered as a negative amount and the amount of positive unrestricted net position should be entered as a positive amount.</t>
    </r>
  </si>
  <si>
    <t>Total net position</t>
  </si>
  <si>
    <r>
      <rPr>
        <b/>
        <sz val="9"/>
        <color indexed="8"/>
        <rFont val="Century Schoolbook"/>
        <family val="1"/>
      </rPr>
      <t>Water Sewer</t>
    </r>
    <r>
      <rPr>
        <sz val="9"/>
        <color indexed="8"/>
        <rFont val="Century Schoolbook"/>
        <family val="1"/>
      </rPr>
      <t xml:space="preserve"> Revenue, Expenses &amp; Changes in Fund Net Position</t>
    </r>
  </si>
  <si>
    <r>
      <rPr>
        <b/>
        <sz val="9"/>
        <color indexed="8"/>
        <rFont val="Century Schoolbook"/>
        <family val="1"/>
      </rPr>
      <t>Electric Fund</t>
    </r>
    <r>
      <rPr>
        <sz val="9"/>
        <color indexed="8"/>
        <rFont val="Century Schoolbook"/>
        <family val="1"/>
      </rPr>
      <t xml:space="preserve"> Net Position Statement</t>
    </r>
  </si>
  <si>
    <r>
      <rPr>
        <b/>
        <sz val="9"/>
        <color indexed="8"/>
        <rFont val="Century Schoolbook"/>
        <family val="1"/>
      </rPr>
      <t>Water Sewe</t>
    </r>
    <r>
      <rPr>
        <sz val="9"/>
        <color indexed="8"/>
        <rFont val="Century Schoolbook"/>
        <family val="1"/>
      </rPr>
      <t>r Net Position Statement</t>
    </r>
  </si>
  <si>
    <t>Total Operating revenues</t>
  </si>
  <si>
    <t>Depreciation and amortization expense</t>
  </si>
  <si>
    <t>Total Operating expenses</t>
  </si>
  <si>
    <t>Interest expense</t>
  </si>
  <si>
    <r>
      <rPr>
        <u/>
        <sz val="11"/>
        <color indexed="8"/>
        <rFont val="Calibri"/>
        <family val="2"/>
      </rPr>
      <t xml:space="preserve">Total all non-operating </t>
    </r>
    <r>
      <rPr>
        <u/>
        <sz val="11"/>
        <color indexed="8"/>
        <rFont val="Calibri"/>
        <family val="2"/>
      </rPr>
      <t>revenues</t>
    </r>
    <r>
      <rPr>
        <sz val="11"/>
        <color indexed="10"/>
        <rFont val="Calibri"/>
        <family val="2"/>
      </rPr>
      <t xml:space="preserve">  
</t>
    </r>
    <r>
      <rPr>
        <b/>
        <sz val="11"/>
        <color indexed="8"/>
        <rFont val="Calibri"/>
        <family val="2"/>
      </rPr>
      <t>Exclude</t>
    </r>
    <r>
      <rPr>
        <sz val="11"/>
        <color indexed="8"/>
        <rFont val="Calibri"/>
        <family val="2"/>
      </rPr>
      <t xml:space="preserve"> Capital contributions.</t>
    </r>
  </si>
  <si>
    <r>
      <rPr>
        <u/>
        <sz val="11"/>
        <color indexed="8"/>
        <rFont val="Calibri"/>
        <family val="2"/>
      </rPr>
      <t>Capital contributions</t>
    </r>
    <r>
      <rPr>
        <sz val="11"/>
        <color theme="1"/>
        <rFont val="Calibri"/>
        <family val="2"/>
        <scheme val="minor"/>
      </rPr>
      <t>.</t>
    </r>
    <r>
      <rPr>
        <sz val="11"/>
        <color indexed="60"/>
        <rFont val="Calibri"/>
        <family val="2"/>
      </rPr>
      <t xml:space="preserve"> Only include positive capital contributions.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</si>
  <si>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</si>
  <si>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Did unit raise Water Sewer rates during the audited fiscal period</t>
    </r>
    <r>
      <rPr>
        <sz val="11"/>
        <color theme="1"/>
        <rFont val="Calibri"/>
        <family val="2"/>
        <scheme val="minor"/>
      </rPr>
      <t>? -</t>
    </r>
    <r>
      <rPr>
        <sz val="11"/>
        <color indexed="60"/>
        <rFont val="Calibri"/>
        <family val="2"/>
      </rPr>
      <t xml:space="preserve"> answer Yes or No</t>
    </r>
  </si>
  <si>
    <r>
      <rPr>
        <u/>
        <sz val="11"/>
        <color indexed="8"/>
        <rFont val="Calibri"/>
        <family val="2"/>
      </rPr>
      <t>Did unit raise Water Sewer rates during the budget year following the audited fiscal year</t>
    </r>
    <r>
      <rPr>
        <sz val="11"/>
        <color theme="1"/>
        <rFont val="Calibri"/>
        <family val="2"/>
        <scheme val="minor"/>
      </rPr>
      <t xml:space="preserve">? - </t>
    </r>
    <r>
      <rPr>
        <sz val="11"/>
        <color indexed="60"/>
        <rFont val="Calibri"/>
        <family val="2"/>
      </rPr>
      <t>answer Yes or No</t>
    </r>
  </si>
  <si>
    <r>
      <rPr>
        <u/>
        <sz val="11"/>
        <color indexed="8"/>
        <rFont val="Calibri"/>
        <family val="2"/>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rPr>
      <t>Increase amounts to beginning net position should be entered as a positive amount and (decreases) should be entered as a negative amount.</t>
    </r>
  </si>
  <si>
    <r>
      <rPr>
        <b/>
        <sz val="9"/>
        <color indexed="8"/>
        <rFont val="Century Schoolbook"/>
        <family val="1"/>
      </rPr>
      <t>Electric Fund</t>
    </r>
    <r>
      <rPr>
        <sz val="9"/>
        <color indexed="8"/>
        <rFont val="Century Schoolbook"/>
        <family val="1"/>
      </rPr>
      <t xml:space="preserve"> Revenue, Expenses &amp; Changes in Fund Net Position</t>
    </r>
  </si>
  <si>
    <t>Charges for services</t>
  </si>
  <si>
    <t>Electrical power purchases</t>
  </si>
  <si>
    <r>
      <rPr>
        <u/>
        <sz val="11"/>
        <color indexed="8"/>
        <rFont val="Calibri"/>
        <family val="2"/>
      </rPr>
      <t>Capi</t>
    </r>
    <r>
      <rPr>
        <u/>
        <sz val="11"/>
        <rFont val="Calibri"/>
        <family val="2"/>
      </rPr>
      <t>tal Contributions</t>
    </r>
    <r>
      <rPr>
        <sz val="11"/>
        <rFont val="Calibri"/>
        <family val="2"/>
      </rPr>
      <t xml:space="preserve">.  
</t>
    </r>
    <r>
      <rPr>
        <b/>
        <sz val="11"/>
        <rFont val="Calibri"/>
        <family val="2"/>
      </rPr>
      <t xml:space="preserve">Include </t>
    </r>
    <r>
      <rPr>
        <sz val="11"/>
        <rFont val="Calibri"/>
        <family val="2"/>
      </rPr>
      <t>only positive capital Contributions.</t>
    </r>
    <r>
      <rPr>
        <b/>
        <sz val="11"/>
        <rFont val="Calibri"/>
        <family val="2"/>
      </rPr>
      <t xml:space="preserve">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</si>
  <si>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</si>
  <si>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Total Transfers In</t>
    </r>
    <r>
      <rPr>
        <sz val="11"/>
        <color theme="1"/>
        <rFont val="Calibri"/>
        <family val="2"/>
        <scheme val="minor"/>
      </rPr>
      <t xml:space="preserve"> (From all Funds)</t>
    </r>
  </si>
  <si>
    <r>
      <rPr>
        <u/>
        <sz val="11"/>
        <color indexed="8"/>
        <rFont val="Calibri"/>
        <family val="2"/>
      </rPr>
      <t>Total Transfers Out</t>
    </r>
    <r>
      <rPr>
        <sz val="11"/>
        <color theme="1"/>
        <rFont val="Calibri"/>
        <family val="2"/>
        <scheme val="minor"/>
      </rPr>
      <t xml:space="preserve"> (To all funds)</t>
    </r>
  </si>
  <si>
    <r>
      <rPr>
        <u/>
        <sz val="11"/>
        <color indexed="8"/>
        <rFont val="Calibri"/>
        <family val="2"/>
      </rPr>
      <t>Increases or (decreases) to beginning electric net position due to rounding, prior period adjustments and restatements</t>
    </r>
    <r>
      <rPr>
        <sz val="11"/>
        <color indexed="60"/>
        <rFont val="Calibri"/>
        <family val="2"/>
      </rPr>
      <t>.  Increase amounts to beginning net position should be entered as a positive amount and (decreases) should be entered as a negative amount.</t>
    </r>
  </si>
  <si>
    <r>
      <rPr>
        <b/>
        <sz val="11"/>
        <color indexed="8"/>
        <rFont val="Century Schoolbook"/>
        <family val="1"/>
      </rPr>
      <t>Water and Sewer Operations</t>
    </r>
    <r>
      <rPr>
        <sz val="11"/>
        <color indexed="8"/>
        <rFont val="Century Schoolbook"/>
        <family val="1"/>
      </rPr>
      <t xml:space="preserve"> - If unit maintains separate funds please combine all water, sewer,</t>
    </r>
  </si>
  <si>
    <r>
      <t xml:space="preserve">and wastewater funds into one activity for purposes of this worksheet.  </t>
    </r>
    <r>
      <rPr>
        <b/>
        <sz val="11"/>
        <color indexed="8"/>
        <rFont val="Century Schoolbook"/>
        <family val="1"/>
      </rPr>
      <t>Exclude stormwater funds</t>
    </r>
    <r>
      <rPr>
        <sz val="11"/>
        <color indexed="8"/>
        <rFont val="Century Schoolbook"/>
        <family val="1"/>
      </rPr>
      <t xml:space="preserve">.  Only fill out this section if </t>
    </r>
  </si>
  <si>
    <r>
      <t xml:space="preserve">Water Sewer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</si>
  <si>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</si>
  <si>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Principal paid on long-term debt</t>
    </r>
    <r>
      <rPr>
        <sz val="11"/>
        <color theme="1"/>
        <rFont val="Calibri"/>
        <family val="2"/>
        <scheme val="minor"/>
      </rPr>
      <t xml:space="preserve">.  </t>
    </r>
    <r>
      <rPr>
        <sz val="11"/>
        <color indexed="60"/>
        <rFont val="Calibri"/>
        <family val="2"/>
      </rPr>
      <t>Amount should be reduced by principal payments for debt refunding.</t>
    </r>
  </si>
  <si>
    <r>
      <t xml:space="preserve">Electric Fund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</si>
  <si>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</si>
  <si>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</si>
  <si>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</si>
  <si>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Cash and Investment Note</t>
  </si>
  <si>
    <r>
      <rPr>
        <u/>
        <sz val="11"/>
        <color indexed="8"/>
        <rFont val="Calibri"/>
        <family val="2"/>
      </rPr>
      <t xml:space="preserve">Decreases made (principal paid) on Long-Term Debt in current fiscal year.  Reduce for </t>
    </r>
    <r>
      <rPr>
        <b/>
        <u/>
        <sz val="11"/>
        <color indexed="8"/>
        <rFont val="Calibri"/>
        <family val="2"/>
      </rPr>
      <t>debt refunding</t>
    </r>
    <r>
      <rPr>
        <u/>
        <sz val="11"/>
        <color indexed="8"/>
        <rFont val="Calibri"/>
        <family val="2"/>
      </rPr>
      <t>.</t>
    </r>
  </si>
  <si>
    <t>OPEB Note</t>
  </si>
  <si>
    <r>
      <rPr>
        <u/>
        <sz val="11"/>
        <color indexed="8"/>
        <rFont val="Calibri"/>
        <family val="2"/>
      </rPr>
      <t>Amount of Transfers from the General Fund to the Debt Service Fund</t>
    </r>
    <r>
      <rPr>
        <sz val="11"/>
        <color theme="1"/>
        <rFont val="Calibri"/>
        <family val="2"/>
        <scheme val="minor"/>
      </rPr>
      <t xml:space="preserve"> </t>
    </r>
    <r>
      <rPr>
        <sz val="11"/>
        <color indexed="60"/>
        <rFont val="Calibri"/>
        <family val="2"/>
      </rPr>
      <t>(Enter as positive)</t>
    </r>
  </si>
  <si>
    <r>
      <rPr>
        <u/>
        <sz val="11"/>
        <color indexed="8"/>
        <rFont val="Calibri"/>
        <family val="2"/>
      </rPr>
      <t>Amount of Transfers from the General Fund to the Electric Fund</t>
    </r>
    <r>
      <rPr>
        <sz val="11"/>
        <color theme="1"/>
        <rFont val="Calibri"/>
        <family val="2"/>
        <scheme val="minor"/>
      </rPr>
      <t xml:space="preserve">  </t>
    </r>
    <r>
      <rPr>
        <sz val="11"/>
        <color indexed="60"/>
        <rFont val="Calibri"/>
        <family val="2"/>
      </rPr>
      <t>(Enter as positive)</t>
    </r>
  </si>
  <si>
    <t>Transfer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</si>
  <si>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</si>
  <si>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</si>
  <si>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Amount of the Water Sewer Fund Balance appropriated in next year's budget?</t>
  </si>
  <si>
    <r>
      <rPr>
        <b/>
        <sz val="9"/>
        <color indexed="8"/>
        <rFont val="Century Schoolbook"/>
        <family val="1"/>
      </rPr>
      <t>General Fund</t>
    </r>
    <r>
      <rPr>
        <sz val="9"/>
        <color indexed="8"/>
        <rFont val="Century Schoolbook"/>
        <family val="1"/>
      </rPr>
      <t xml:space="preserve"> - Budget Actual Statement</t>
    </r>
  </si>
  <si>
    <r>
      <rPr>
        <b/>
        <sz val="9"/>
        <color indexed="8"/>
        <rFont val="Century Schoolbook"/>
        <family val="1"/>
      </rPr>
      <t>Water Sewer</t>
    </r>
    <r>
      <rPr>
        <sz val="9"/>
        <color indexed="8"/>
        <rFont val="Century Schoolbook"/>
        <family val="1"/>
      </rPr>
      <t xml:space="preserve"> - Budget Actual Statement</t>
    </r>
  </si>
  <si>
    <r>
      <t xml:space="preserve">Analysis of Current Tax Levy Schedule - Unit-Wide - </t>
    </r>
    <r>
      <rPr>
        <b/>
        <sz val="11"/>
        <color indexed="60"/>
        <rFont val="Century Schoolbook"/>
        <family val="1"/>
      </rPr>
      <t xml:space="preserve">Pull percentages from this LGC-required schedule, </t>
    </r>
  </si>
  <si>
    <t>Analysis of Current Tax Levy Schedule</t>
  </si>
  <si>
    <r>
      <rPr>
        <u/>
        <sz val="11"/>
        <color indexed="8"/>
        <rFont val="Calibri"/>
        <family val="2"/>
      </rPr>
      <t>Gross value.</t>
    </r>
    <r>
      <rPr>
        <sz val="11"/>
        <color theme="1"/>
        <rFont val="Calibri"/>
        <family val="2"/>
        <scheme val="minor"/>
      </rPr>
      <t xml:space="preserve"> </t>
    </r>
    <r>
      <rPr>
        <b/>
        <sz val="11"/>
        <color indexed="8"/>
        <rFont val="Calibri"/>
        <family val="2"/>
      </rPr>
      <t xml:space="preserve"> 
Exclude</t>
    </r>
    <r>
      <rPr>
        <sz val="11"/>
        <color theme="1"/>
        <rFont val="Calibri"/>
        <family val="2"/>
        <scheme val="minor"/>
      </rPr>
      <t xml:space="preserve"> non-depreciable.</t>
    </r>
  </si>
  <si>
    <t>Accumulated depreciation</t>
  </si>
  <si>
    <t>Gov.-Capital Assets Schedule in the Notes</t>
  </si>
  <si>
    <r>
      <rPr>
        <u/>
        <sz val="11"/>
        <color indexed="8"/>
        <rFont val="Calibri"/>
        <family val="2"/>
      </rPr>
      <t>Land and all other non depreciable capital assets</t>
    </r>
    <r>
      <rPr>
        <sz val="11"/>
        <color theme="1"/>
        <rFont val="Calibri"/>
        <family val="2"/>
        <scheme val="minor"/>
      </rPr>
      <t xml:space="preserve"> 
</t>
    </r>
    <r>
      <rPr>
        <b/>
        <sz val="11"/>
        <color indexed="8"/>
        <rFont val="Calibri"/>
        <family val="2"/>
      </rPr>
      <t>Exclude</t>
    </r>
    <r>
      <rPr>
        <sz val="11"/>
        <color theme="1"/>
        <rFont val="Calibri"/>
        <family val="2"/>
        <scheme val="minor"/>
      </rPr>
      <t xml:space="preserve"> construction in progress</t>
    </r>
  </si>
  <si>
    <r>
      <t>Total Assets not being depreciated for</t>
    </r>
    <r>
      <rPr>
        <b/>
        <u/>
        <sz val="11"/>
        <color indexed="8"/>
        <rFont val="Calibri"/>
        <family val="2"/>
      </rPr>
      <t xml:space="preserve"> Water and Sewer</t>
    </r>
    <r>
      <rPr>
        <u/>
        <sz val="11"/>
        <color indexed="8"/>
        <rFont val="Calibri"/>
        <family val="2"/>
      </rPr>
      <t xml:space="preserve"> Activities</t>
    </r>
  </si>
  <si>
    <r>
      <t xml:space="preserve">Total Assets Gross value </t>
    </r>
    <r>
      <rPr>
        <b/>
        <u/>
        <sz val="11"/>
        <color indexed="8"/>
        <rFont val="Calibri"/>
        <family val="2"/>
      </rPr>
      <t>not being depreciated</t>
    </r>
    <r>
      <rPr>
        <u/>
        <sz val="11"/>
        <color indexed="8"/>
        <rFont val="Calibri"/>
        <family val="2"/>
      </rPr>
      <t xml:space="preserve"> for Electric Fund</t>
    </r>
  </si>
  <si>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</si>
  <si>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</si>
  <si>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</si>
  <si>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</si>
  <si>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</si>
  <si>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</si>
  <si>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</si>
  <si>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r>
      <rPr>
        <u/>
        <sz val="11"/>
        <rFont val="Calibri"/>
        <family val="2"/>
      </rPr>
      <t>Please enter the Net Current year's levy -- Motor vehicles</t>
    </r>
    <r>
      <rPr>
        <sz val="11"/>
        <rFont val="Calibri"/>
        <family val="2"/>
      </rPr>
      <t xml:space="preserve"> (only) </t>
    </r>
    <r>
      <rPr>
        <sz val="11"/>
        <color indexed="60"/>
        <rFont val="Calibri"/>
        <family val="2"/>
      </rPr>
      <t xml:space="preserve">(after adjusting for discoveries and abatements)
</t>
    </r>
    <r>
      <rPr>
        <b/>
        <sz val="11"/>
        <color indexed="8"/>
        <rFont val="Calibri"/>
        <family val="2"/>
      </rPr>
      <t xml:space="preserve">Exclude </t>
    </r>
    <r>
      <rPr>
        <sz val="11"/>
        <color indexed="8"/>
        <rFont val="Calibri"/>
        <family val="2"/>
      </rPr>
      <t>supplemental taxes</t>
    </r>
  </si>
  <si>
    <r>
      <t xml:space="preserve">Uncollected Taxes - Curr Year's Levy Exclude Motor Vehicles
</t>
    </r>
    <r>
      <rPr>
        <b/>
        <sz val="11"/>
        <rFont val="Calibri"/>
        <family val="2"/>
      </rPr>
      <t>Exclude</t>
    </r>
    <r>
      <rPr>
        <sz val="11"/>
        <rFont val="Calibri"/>
        <family val="2"/>
      </rPr>
      <t xml:space="preserve"> supplemental taxes</t>
    </r>
  </si>
  <si>
    <r>
      <t xml:space="preserve">Uncollected Taxes - Curr Year's Levy Motor Vehicles
</t>
    </r>
    <r>
      <rPr>
        <b/>
        <sz val="11"/>
        <rFont val="Calibri"/>
        <family val="2"/>
      </rPr>
      <t>Exclude</t>
    </r>
    <r>
      <rPr>
        <sz val="11"/>
        <rFont val="Calibri"/>
        <family val="2"/>
      </rPr>
      <t xml:space="preserve"> supplemental taxes</t>
    </r>
  </si>
  <si>
    <r>
      <rPr>
        <u/>
        <sz val="11"/>
        <color indexed="8"/>
        <rFont val="Calibri"/>
        <family val="2"/>
      </rPr>
      <t>Property Tax Increase for Year Audited</t>
    </r>
    <r>
      <rPr>
        <sz val="11"/>
        <color theme="1"/>
        <rFont val="Calibri"/>
        <family val="2"/>
        <scheme val="minor"/>
      </rPr>
      <t xml:space="preserve">- </t>
    </r>
    <r>
      <rPr>
        <sz val="11"/>
        <color indexed="60"/>
        <rFont val="Calibri"/>
        <family val="2"/>
      </rPr>
      <t xml:space="preserve">enter amount of  increase in cents per $100 - leave blank if no increase 
</t>
    </r>
    <r>
      <rPr>
        <b/>
        <sz val="11"/>
        <color indexed="8"/>
        <rFont val="Calibri"/>
        <family val="2"/>
      </rPr>
      <t>Exclude</t>
    </r>
    <r>
      <rPr>
        <sz val="11"/>
        <color indexed="8"/>
        <rFont val="Calibri"/>
        <family val="2"/>
      </rPr>
      <t xml:space="preserve"> supplemental taxes</t>
    </r>
  </si>
  <si>
    <r>
      <rPr>
        <u/>
        <sz val="11"/>
        <color indexed="8"/>
        <rFont val="Calibri"/>
        <family val="2"/>
      </rPr>
      <t>Property Tax Increase for budget year after fiscal year being reported</t>
    </r>
    <r>
      <rPr>
        <sz val="11"/>
        <color theme="1"/>
        <rFont val="Calibri"/>
        <family val="2"/>
        <scheme val="minor"/>
      </rPr>
      <t xml:space="preserve"> - </t>
    </r>
    <r>
      <rPr>
        <sz val="11"/>
        <color indexed="60"/>
        <rFont val="Calibri"/>
        <family val="2"/>
      </rPr>
      <t xml:space="preserve">enter amount of increase in cents per $100- leave blank if no increase
</t>
    </r>
    <r>
      <rPr>
        <b/>
        <sz val="11"/>
        <color indexed="8"/>
        <rFont val="Calibri"/>
        <family val="2"/>
      </rPr>
      <t>Exclude</t>
    </r>
    <r>
      <rPr>
        <sz val="11"/>
        <color indexed="8"/>
        <rFont val="Calibri"/>
        <family val="2"/>
      </rPr>
      <t xml:space="preserve"> supplemental taxes</t>
    </r>
  </si>
  <si>
    <r>
      <t xml:space="preserve">Capital Assets for Water and Sewer Activity </t>
    </r>
    <r>
      <rPr>
        <sz val="9"/>
        <color indexed="60"/>
        <rFont val="Calibri"/>
        <family val="2"/>
      </rPr>
      <t>(If unit maintains separate funds please combine all water, sewer and wastewater funds into one activity for purposes of this worksheet)</t>
    </r>
    <r>
      <rPr>
        <b/>
        <sz val="9"/>
        <color indexed="8"/>
        <rFont val="Calibri"/>
        <family val="2"/>
      </rPr>
      <t xml:space="preserve">
Exclude </t>
    </r>
    <r>
      <rPr>
        <sz val="9"/>
        <color indexed="8"/>
        <rFont val="Calibri"/>
        <family val="2"/>
      </rPr>
      <t>Stormwater funds</t>
    </r>
  </si>
  <si>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</si>
  <si>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</si>
  <si>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</si>
  <si>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</si>
  <si>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</si>
  <si>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</si>
  <si>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</si>
  <si>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</si>
  <si>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</si>
  <si>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</si>
  <si>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</si>
  <si>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</si>
  <si>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</si>
  <si>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</si>
  <si>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</si>
  <si>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</si>
  <si>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</si>
  <si>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</si>
  <si>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</si>
  <si>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</si>
  <si>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</si>
  <si>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</si>
  <si>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</si>
  <si>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</si>
  <si>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</si>
  <si>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</si>
  <si>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</si>
  <si>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</si>
  <si>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</si>
  <si>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</si>
  <si>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</si>
  <si>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</si>
  <si>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</si>
  <si>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</si>
  <si>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</si>
  <si>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</si>
  <si>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</si>
  <si>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</si>
  <si>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</si>
  <si>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</si>
  <si>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</si>
  <si>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</si>
  <si>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</si>
  <si>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</si>
  <si>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</si>
  <si>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</si>
  <si>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</si>
  <si>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</si>
  <si>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</si>
  <si>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</si>
  <si>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</si>
  <si>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</si>
  <si>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</si>
  <si>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</si>
  <si>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</si>
  <si>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</si>
  <si>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</si>
  <si>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</si>
  <si>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</si>
  <si>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</si>
  <si>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</si>
  <si>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</si>
  <si>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</si>
  <si>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</si>
  <si>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</si>
  <si>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</si>
  <si>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</si>
  <si>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</si>
  <si>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</si>
  <si>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</si>
  <si>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</si>
  <si>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</si>
  <si>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</si>
  <si>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</si>
  <si>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</si>
  <si>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</si>
  <si>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</si>
  <si>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</si>
  <si>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</si>
  <si>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</si>
  <si>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</si>
  <si>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</si>
  <si>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</si>
  <si>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</si>
  <si>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</si>
  <si>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</si>
  <si>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</si>
  <si>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</si>
  <si>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</si>
  <si>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</si>
  <si>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</si>
  <si>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</si>
  <si>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</si>
  <si>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</si>
  <si>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</si>
  <si>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</si>
  <si>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</si>
  <si>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</si>
  <si>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</si>
  <si>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</si>
  <si>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</si>
  <si>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</si>
  <si>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</si>
  <si>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</si>
  <si>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</si>
  <si>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</si>
  <si>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</si>
  <si>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</si>
  <si>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</si>
  <si>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</si>
  <si>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</si>
  <si>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</si>
  <si>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</si>
  <si>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</si>
  <si>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</si>
  <si>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</si>
  <si>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</si>
  <si>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</si>
  <si>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</si>
  <si>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</si>
  <si>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</si>
  <si>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</si>
  <si>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</si>
  <si>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</si>
  <si>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</si>
  <si>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</si>
  <si>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</si>
  <si>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</si>
  <si>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</si>
  <si>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</si>
  <si>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</si>
  <si>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</si>
  <si>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</si>
  <si>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</si>
  <si>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</si>
  <si>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</si>
  <si>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</si>
  <si>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</si>
  <si>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</si>
  <si>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</si>
  <si>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</si>
  <si>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</si>
  <si>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</si>
  <si>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</si>
  <si>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</si>
  <si>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</si>
  <si>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</si>
  <si>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</si>
  <si>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</si>
  <si>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</si>
  <si>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</si>
  <si>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</si>
  <si>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</si>
  <si>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</si>
  <si>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</si>
  <si>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</si>
  <si>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</si>
  <si>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</si>
  <si>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</si>
  <si>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</si>
  <si>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</si>
  <si>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</si>
  <si>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</si>
  <si>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</si>
  <si>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</si>
  <si>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</si>
  <si>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</si>
  <si>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</si>
  <si>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</si>
  <si>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</si>
  <si>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</si>
  <si>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</si>
  <si>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</si>
  <si>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</si>
  <si>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</si>
  <si>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</si>
  <si>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</si>
  <si>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</si>
  <si>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</si>
  <si>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</si>
  <si>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</si>
  <si>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</si>
  <si>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</si>
  <si>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</si>
  <si>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</si>
  <si>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</si>
  <si>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</si>
  <si>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</si>
  <si>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</si>
  <si>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</si>
  <si>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</si>
  <si>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</si>
  <si>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</si>
  <si>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</si>
  <si>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</si>
  <si>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</si>
  <si>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</si>
  <si>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</si>
  <si>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</si>
  <si>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</si>
  <si>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</si>
  <si>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</si>
  <si>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</si>
  <si>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</si>
  <si>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</si>
  <si>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</si>
  <si>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</si>
  <si>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</si>
  <si>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</si>
  <si>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</si>
  <si>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</si>
  <si>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</si>
  <si>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</si>
  <si>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</si>
  <si>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</si>
  <si>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</si>
  <si>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</si>
  <si>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</si>
  <si>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</si>
  <si>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</si>
  <si>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</si>
  <si>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</si>
  <si>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</si>
  <si>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</si>
  <si>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</si>
  <si>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</si>
  <si>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</si>
  <si>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</si>
  <si>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</si>
  <si>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</si>
  <si>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</si>
  <si>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</si>
  <si>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</si>
  <si>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</si>
  <si>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</si>
  <si>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</si>
  <si>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</si>
  <si>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</si>
  <si>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</si>
  <si>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</si>
  <si>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</si>
  <si>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</si>
  <si>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</si>
  <si>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</si>
  <si>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</si>
  <si>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</si>
  <si>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</si>
  <si>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</si>
  <si>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</si>
  <si>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</si>
  <si>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</si>
  <si>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</si>
  <si>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</si>
  <si>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</si>
  <si>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</si>
  <si>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</si>
  <si>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</si>
  <si>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</si>
  <si>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</si>
  <si>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</si>
  <si>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</si>
  <si>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</si>
  <si>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</si>
  <si>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</si>
  <si>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</si>
  <si>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</si>
  <si>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</si>
  <si>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</si>
  <si>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</si>
  <si>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</si>
  <si>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</si>
  <si>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</si>
  <si>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</si>
  <si>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</si>
  <si>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</si>
  <si>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</si>
  <si>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</si>
  <si>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</si>
  <si>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</si>
  <si>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</si>
  <si>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</si>
  <si>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</si>
  <si>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</si>
  <si>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</si>
  <si>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</si>
  <si>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</si>
  <si>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</si>
  <si>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</si>
  <si>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</si>
  <si>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</si>
  <si>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</si>
  <si>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</si>
  <si>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</si>
  <si>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</si>
  <si>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</si>
  <si>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</si>
  <si>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</si>
  <si>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</si>
  <si>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</si>
  <si>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</si>
  <si>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</si>
  <si>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</si>
  <si>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</si>
  <si>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</si>
  <si>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</si>
  <si>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</si>
  <si>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</si>
  <si>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</si>
  <si>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</si>
  <si>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</si>
  <si>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</si>
  <si>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</si>
  <si>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</si>
  <si>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</si>
  <si>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</si>
  <si>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</si>
  <si>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</si>
  <si>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</si>
  <si>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</si>
  <si>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</si>
  <si>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</si>
  <si>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</si>
  <si>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</si>
  <si>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</si>
  <si>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</si>
  <si>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</si>
  <si>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</si>
  <si>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</si>
  <si>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</si>
  <si>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</si>
  <si>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</si>
  <si>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</si>
  <si>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</si>
  <si>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</si>
  <si>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</si>
  <si>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</si>
  <si>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</si>
  <si>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</si>
  <si>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</si>
  <si>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</si>
  <si>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</si>
  <si>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</si>
  <si>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</si>
  <si>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</si>
  <si>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</si>
  <si>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</si>
  <si>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</si>
  <si>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r>
      <t xml:space="preserve">Long-Term Liability Note - </t>
    </r>
    <r>
      <rPr>
        <b/>
        <sz val="11"/>
        <color indexed="8"/>
        <rFont val="Century Schoolbook"/>
        <family val="1"/>
      </rPr>
      <t>Water Sewer Activities</t>
    </r>
  </si>
  <si>
    <r>
      <t>Long-Term Liability Note -</t>
    </r>
    <r>
      <rPr>
        <b/>
        <sz val="9"/>
        <color indexed="8"/>
        <rFont val="Century Schoolbook"/>
        <family val="1"/>
      </rPr>
      <t xml:space="preserve"> </t>
    </r>
    <r>
      <rPr>
        <b/>
        <sz val="11"/>
        <color indexed="8"/>
        <rFont val="Century Schoolbook"/>
        <family val="1"/>
      </rPr>
      <t>Electric Activities</t>
    </r>
  </si>
  <si>
    <t>Dashboard,
Water Sewer Dashboard</t>
  </si>
  <si>
    <t>Water Sewer Memo,
Water Sewer Dashboard</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</si>
  <si>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</si>
  <si>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</si>
  <si>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</si>
  <si>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</si>
  <si>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 xml:space="preserve">Total all the non-operating </t>
    </r>
    <r>
      <rPr>
        <u/>
        <sz val="11"/>
        <color indexed="8"/>
        <rFont val="Calibri"/>
        <family val="2"/>
      </rPr>
      <t>revenues</t>
    </r>
    <r>
      <rPr>
        <u/>
        <sz val="11"/>
        <color indexed="8"/>
        <rFont val="Calibri"/>
        <family val="2"/>
      </rPr>
      <t xml:space="preserve"> </t>
    </r>
    <r>
      <rPr>
        <u/>
        <sz val="11"/>
        <color indexed="8"/>
        <rFont val="Calibri"/>
        <family val="2"/>
      </rPr>
      <t xml:space="preserve"> </t>
    </r>
    <r>
      <rPr>
        <sz val="11"/>
        <color indexed="8"/>
        <rFont val="Calibri"/>
        <family val="2"/>
      </rPr>
      <t xml:space="preserve">
</t>
    </r>
    <r>
      <rPr>
        <b/>
        <sz val="11"/>
        <color indexed="8"/>
        <rFont val="Calibri"/>
        <family val="2"/>
      </rPr>
      <t>Exclude</t>
    </r>
    <r>
      <rPr>
        <sz val="11"/>
        <color indexed="8"/>
        <rFont val="Calibri"/>
        <family val="2"/>
      </rPr>
      <t xml:space="preserve"> Capital Contributions.</t>
    </r>
  </si>
  <si>
    <t>Notes to the Financial Statements - Law Enforcement Officers' Special Separation Allowance Note</t>
  </si>
  <si>
    <t>LEO Note</t>
  </si>
  <si>
    <r>
      <rPr>
        <u/>
        <sz val="11"/>
        <color indexed="8"/>
        <rFont val="Calibri"/>
        <family val="2"/>
      </rPr>
      <t>Debt service expenditures from all governmental funds</t>
    </r>
    <r>
      <rPr>
        <sz val="11"/>
        <color theme="1"/>
        <rFont val="Calibri"/>
        <family val="2"/>
        <scheme val="minor"/>
      </rPr>
      <t>.  Include principal, interest paid, and debt issuance costs on long-term debt.</t>
    </r>
  </si>
  <si>
    <r>
      <rPr>
        <u/>
        <sz val="11"/>
        <color indexed="8"/>
        <rFont val="Calibri"/>
        <family val="2"/>
      </rPr>
      <t>Debt service expenditures</t>
    </r>
    <r>
      <rPr>
        <sz val="11"/>
        <color theme="1"/>
        <rFont val="Calibri"/>
        <family val="2"/>
        <scheme val="minor"/>
      </rPr>
      <t xml:space="preserve">. 
</t>
    </r>
    <r>
      <rPr>
        <b/>
        <sz val="11"/>
        <color indexed="8"/>
        <rFont val="Calibri"/>
        <family val="2"/>
      </rPr>
      <t>Include</t>
    </r>
    <r>
      <rPr>
        <sz val="11"/>
        <color theme="1"/>
        <rFont val="Calibri"/>
        <family val="2"/>
        <scheme val="minor"/>
      </rPr>
      <t xml:space="preserve"> principal, interest paid, and bond/debt issuance costs on long-term debt</t>
    </r>
  </si>
  <si>
    <t>Notes to the Financial Statements -Cash and Investments - Bond/Debt Proceeds</t>
  </si>
  <si>
    <t>995</t>
  </si>
  <si>
    <t>996</t>
  </si>
  <si>
    <t>998</t>
  </si>
  <si>
    <t>999</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</si>
  <si>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</si>
  <si>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</si>
  <si>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Liabilities payable from restricted assets</t>
    </r>
    <r>
      <rPr>
        <sz val="11"/>
        <color theme="1"/>
        <rFont val="Calibri"/>
        <family val="2"/>
        <scheme val="minor"/>
      </rPr>
      <t xml:space="preserve"> </t>
    </r>
    <r>
      <rPr>
        <sz val="11"/>
        <color indexed="60"/>
        <rFont val="Calibri"/>
        <family val="2"/>
      </rPr>
      <t>(only complete if this is listed in your financial statements for the general fund and the auditor has listed the cash to be used to pay the liabilities as restricted)</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</si>
  <si>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</si>
  <si>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Amount of Inventories and Prepaid expenses in current assets</t>
  </si>
  <si>
    <r>
      <rPr>
        <u/>
        <sz val="11"/>
        <color indexed="8"/>
        <rFont val="Calibri"/>
        <family val="2"/>
      </rPr>
      <t>Total Net position, Unrestricted</t>
    </r>
    <r>
      <rPr>
        <sz val="11"/>
        <color theme="1"/>
        <rFont val="Calibri"/>
        <family val="2"/>
        <scheme val="minor"/>
      </rPr>
      <t xml:space="preserve"> - </t>
    </r>
    <r>
      <rPr>
        <sz val="11"/>
        <color indexed="60"/>
        <rFont val="Calibri"/>
        <family val="2"/>
      </rPr>
      <t>enter negative unrestricted net position as a negative</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</si>
  <si>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any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</si>
  <si>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</si>
  <si>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 xml:space="preserve">Total 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</si>
  <si>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r>
      <rPr>
        <u/>
        <sz val="11"/>
        <color indexed="8"/>
        <rFont val="Calibri"/>
        <family val="2"/>
      </rPr>
      <t xml:space="preserve">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</si>
  <si>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</si>
  <si>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</si>
  <si>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</si>
  <si>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</si>
  <si>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</si>
  <si>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</si>
  <si>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</si>
  <si>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</si>
  <si>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</si>
  <si>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</si>
  <si>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r>
      <rPr>
        <u/>
        <sz val="11"/>
        <color indexed="8"/>
        <rFont val="Calibri"/>
        <family val="2"/>
      </rPr>
      <t>Amount of Transfers from the Electric Fund to the General Fund</t>
    </r>
    <r>
      <rPr>
        <sz val="11"/>
        <color theme="1"/>
        <rFont val="Calibri"/>
        <family val="2"/>
        <scheme val="minor"/>
      </rPr>
      <t xml:space="preserve">  </t>
    </r>
    <r>
      <rPr>
        <sz val="11"/>
        <color indexed="60"/>
        <rFont val="Calibri"/>
        <family val="2"/>
      </rPr>
      <t xml:space="preserve">(Enter as positive)
</t>
    </r>
    <r>
      <rPr>
        <b/>
        <sz val="11"/>
        <rFont val="Calibri"/>
        <family val="2"/>
      </rPr>
      <t>Include</t>
    </r>
    <r>
      <rPr>
        <sz val="11"/>
        <rFont val="Calibri"/>
        <family val="2"/>
      </rPr>
      <t>:  Payment in Lieu of Taxes (PILOT)</t>
    </r>
  </si>
  <si>
    <t>Law Enforcement Officers - Actuarial value of Assets</t>
  </si>
  <si>
    <t>Pension Notes</t>
  </si>
  <si>
    <r>
      <rPr>
        <u/>
        <sz val="11"/>
        <color indexed="8"/>
        <rFont val="Calibri"/>
        <family val="2"/>
      </rPr>
      <t>Charges for services</t>
    </r>
    <r>
      <rPr>
        <sz val="11"/>
        <color theme="1"/>
        <rFont val="Calibri"/>
        <family val="2"/>
        <scheme val="minor"/>
      </rPr>
      <t xml:space="preserve">. 
</t>
    </r>
    <r>
      <rPr>
        <b/>
        <sz val="11"/>
        <color indexed="8"/>
        <rFont val="Calibri"/>
        <family val="2"/>
      </rPr>
      <t>Exclude</t>
    </r>
    <r>
      <rPr>
        <sz val="11"/>
        <color theme="1"/>
        <rFont val="Calibri"/>
        <family val="2"/>
        <scheme val="minor"/>
      </rPr>
      <t xml:space="preserve"> tap, capacity fees and other misc. income .</t>
    </r>
  </si>
  <si>
    <t>Note this number is adjusted for any negative internal balances</t>
  </si>
  <si>
    <t>Formula Results</t>
  </si>
  <si>
    <r>
      <t xml:space="preserve">Tax collection rate- Total Levy UNIT-WIDE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</si>
  <si>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r>
      <rPr>
        <u/>
        <sz val="11"/>
        <rFont val="Calibri"/>
        <family val="2"/>
      </rPr>
      <t>Tax collection rate - Excluding Registered motor vehicles</t>
    </r>
    <r>
      <rPr>
        <u/>
        <sz val="11"/>
        <color indexed="60"/>
        <rFont val="Calibri"/>
        <family val="2"/>
      </rPr>
      <t xml:space="preserve">
</t>
    </r>
    <r>
      <rPr>
        <b/>
        <sz val="11"/>
        <rFont val="Calibri"/>
        <family val="2"/>
      </rPr>
      <t>Exclude</t>
    </r>
    <r>
      <rPr>
        <sz val="11"/>
        <rFont val="Calibri"/>
        <family val="2"/>
      </rPr>
      <t xml:space="preserve"> supplemental taxes</t>
    </r>
    <r>
      <rPr>
        <sz val="11"/>
        <color indexed="60"/>
        <rFont val="Calibri"/>
        <family val="2"/>
      </rPr>
      <t xml:space="preserve">
(Enter as a percentage with two decimal places)</t>
    </r>
  </si>
  <si>
    <r>
      <t xml:space="preserve">Tax collection rate - Registered motor vehicles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</si>
  <si>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</si>
  <si>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</si>
  <si>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</si>
  <si>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</si>
  <si>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</si>
  <si>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</si>
  <si>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</si>
  <si>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</si>
  <si>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</si>
  <si>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</si>
  <si>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</si>
  <si>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</si>
  <si>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</si>
  <si>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</si>
  <si>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</si>
  <si>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r>
      <rPr>
        <u/>
        <sz val="11"/>
        <color indexed="8"/>
        <rFont val="Calibri"/>
        <family val="2"/>
      </rPr>
      <t>Cash and Investment</t>
    </r>
    <r>
      <rPr>
        <sz val="11"/>
        <color indexed="8"/>
        <rFont val="Calibri"/>
        <family val="2"/>
      </rPr>
      <t xml:space="preserve"> - </t>
    </r>
    <r>
      <rPr>
        <sz val="11"/>
        <color indexed="60"/>
        <rFont val="Calibri"/>
        <family val="2"/>
      </rPr>
      <t>Please list the book value of any unspent debt proceeds (bonds, installment, etc.) in any funds as of June 30.  This information may be on the face of your statements or in the notes</t>
    </r>
  </si>
  <si>
    <t>Advance To: Interfund loan receivable-portion of repayment plan longer than 12 months</t>
  </si>
  <si>
    <r>
      <rPr>
        <u/>
        <sz val="11"/>
        <rFont val="Calibri"/>
        <family val="2"/>
      </rPr>
      <t>Water Sewer - Advance To:</t>
    </r>
    <r>
      <rPr>
        <sz val="11"/>
        <rFont val="Calibri"/>
        <family val="2"/>
      </rPr>
      <t xml:space="preserve">
Interfund loan receivable-portion of repayment plan longer than 12 months</t>
    </r>
  </si>
  <si>
    <r>
      <rPr>
        <u/>
        <sz val="11"/>
        <rFont val="Calibri"/>
        <family val="2"/>
      </rPr>
      <t xml:space="preserve">Water Sewer - Advance From: 
</t>
    </r>
    <r>
      <rPr>
        <sz val="11"/>
        <rFont val="Calibri"/>
        <family val="2"/>
      </rPr>
      <t>Interfund loan Payable-portion of repayment plan longer than 12 months</t>
    </r>
  </si>
  <si>
    <r>
      <rPr>
        <u/>
        <sz val="11"/>
        <rFont val="Calibri"/>
        <family val="2"/>
      </rPr>
      <t>Electric Fund - Advance From:</t>
    </r>
    <r>
      <rPr>
        <sz val="11"/>
        <rFont val="Calibri"/>
        <family val="2"/>
      </rPr>
      <t xml:space="preserve">
Interfund loans payable-portion of repayment plan longer than 12 months</t>
    </r>
  </si>
  <si>
    <t>GF-Advance To - Asset</t>
  </si>
  <si>
    <t>WS -  Advance To - Asset</t>
  </si>
  <si>
    <t>WS - Advance From - Liability</t>
  </si>
  <si>
    <t>EF - Advance To - Asset</t>
  </si>
  <si>
    <t>EF - Advance from - Liability</t>
  </si>
  <si>
    <t>use on upload template</t>
  </si>
  <si>
    <t>Gen Fund - Total Expenditures</t>
  </si>
  <si>
    <t>Gen Fund - Proceeds from LTD</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</si>
  <si>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</si>
  <si>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</si>
  <si>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</si>
  <si>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</si>
  <si>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</si>
  <si>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</si>
  <si>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</si>
  <si>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</si>
  <si>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</si>
  <si>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</si>
  <si>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</si>
  <si>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</si>
  <si>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</si>
  <si>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</si>
  <si>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</si>
  <si>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</si>
  <si>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</si>
  <si>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</si>
  <si>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</si>
  <si>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</si>
  <si>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</si>
  <si>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</si>
  <si>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</si>
  <si>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</si>
  <si>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</si>
  <si>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</si>
  <si>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</si>
  <si>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</si>
  <si>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</si>
  <si>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</si>
  <si>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</si>
  <si>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</si>
  <si>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</si>
  <si>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</si>
  <si>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</si>
  <si>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</si>
  <si>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</si>
  <si>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</si>
  <si>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</si>
  <si>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</si>
  <si>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r>
      <rPr>
        <u/>
        <sz val="11"/>
        <color indexed="8"/>
        <rFont val="Calibri"/>
        <family val="2"/>
      </rPr>
      <t xml:space="preserve">Total Change in net position Business Type </t>
    </r>
    <r>
      <rPr>
        <sz val="11"/>
        <color theme="1"/>
        <rFont val="Calibri"/>
        <family val="2"/>
        <scheme val="minor"/>
      </rPr>
      <t xml:space="preserve">
</t>
    </r>
    <r>
      <rPr>
        <sz val="11"/>
        <color indexed="60"/>
        <rFont val="Calibri"/>
        <family val="2"/>
      </rPr>
      <t>(Increase in net position is recorded as a positive and a decrease in net position is recorded as a negative)</t>
    </r>
  </si>
  <si>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</si>
  <si>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</si>
  <si>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</si>
  <si>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</si>
  <si>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</si>
  <si>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</si>
  <si>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</si>
  <si>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</si>
  <si>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</si>
  <si>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</si>
  <si>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</si>
  <si>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</si>
  <si>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</si>
  <si>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</si>
  <si>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</si>
  <si>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</si>
  <si>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</si>
  <si>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</si>
  <si>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</si>
  <si>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</si>
  <si>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</si>
  <si>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</si>
  <si>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</si>
  <si>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</si>
  <si>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</si>
  <si>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</si>
  <si>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</si>
  <si>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</si>
  <si>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</si>
  <si>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</si>
  <si>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</si>
  <si>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</si>
  <si>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</si>
  <si>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</si>
  <si>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</si>
  <si>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</si>
  <si>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</si>
  <si>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</si>
  <si>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</si>
  <si>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</si>
  <si>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</si>
  <si>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</si>
  <si>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</si>
  <si>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</si>
  <si>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</si>
  <si>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</si>
  <si>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</si>
  <si>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</si>
  <si>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</si>
  <si>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</si>
  <si>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</si>
  <si>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</si>
  <si>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</si>
  <si>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</si>
  <si>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</si>
  <si>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</si>
  <si>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</si>
  <si>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</si>
  <si>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</si>
  <si>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</si>
  <si>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</si>
  <si>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</si>
  <si>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</si>
  <si>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</si>
  <si>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r>
      <t xml:space="preserve">Amount of interest income and investment income recognized as revenue in your audit report for all governmental and proprietary funds.  </t>
    </r>
    <r>
      <rPr>
        <sz val="11"/>
        <color indexed="60"/>
        <rFont val="Calibri"/>
        <family val="2"/>
      </rPr>
      <t xml:space="preserve">In the past we have asked you to adjust this number, but this year we would like the number as it appears on your Statement of Activities </t>
    </r>
    <r>
      <rPr>
        <u/>
        <sz val="11"/>
        <color indexed="60"/>
        <rFont val="Calibri"/>
        <family val="2"/>
      </rPr>
      <t>without</t>
    </r>
    <r>
      <rPr>
        <sz val="11"/>
        <color indexed="60"/>
        <rFont val="Calibri"/>
        <family val="2"/>
      </rPr>
      <t xml:space="preserve"> adjustment.</t>
    </r>
  </si>
  <si>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</si>
  <si>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Only for Review Summary</t>
  </si>
  <si>
    <t>https://www.nctreasurer.com/slg/lfm/financial-analysis/Pages/Analysis-by-Population.aspx</t>
  </si>
  <si>
    <r>
      <t xml:space="preserve">Long-Term Liability Note - </t>
    </r>
    <r>
      <rPr>
        <b/>
        <sz val="10"/>
        <color indexed="8"/>
        <rFont val="Century Schoolbook"/>
        <family val="1"/>
      </rPr>
      <t>Governmental Activities</t>
    </r>
  </si>
  <si>
    <t>Interest income from statement of activities</t>
  </si>
  <si>
    <t>Long-Term Liability Note - Governmental Activities</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</si>
  <si>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</si>
  <si>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</si>
  <si>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</si>
  <si>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</si>
  <si>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</si>
  <si>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</si>
  <si>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Unit Contact Question</t>
  </si>
  <si>
    <t>Interest income from statement of activitites</t>
  </si>
  <si>
    <t>https://efc.sog.unc.edu/reslib/item/north-carolina-water-and-wastewater-rates-dashboard#</t>
  </si>
  <si>
    <r>
      <t>Total Net Position, Unrestricted -</t>
    </r>
    <r>
      <rPr>
        <u/>
        <sz val="11"/>
        <color indexed="60"/>
        <rFont val="Calibri"/>
        <family val="2"/>
      </rPr>
      <t xml:space="preserve"> enter negative unrestricted net position as a negative)</t>
    </r>
  </si>
  <si>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</si>
  <si>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</si>
  <si>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</si>
  <si>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</si>
  <si>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</si>
  <si>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</si>
  <si>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</si>
  <si>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</si>
  <si>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</si>
  <si>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</si>
  <si>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</si>
  <si>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</si>
  <si>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</si>
  <si>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</si>
  <si>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</si>
  <si>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</si>
  <si>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</si>
  <si>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</si>
  <si>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</si>
  <si>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Data Import</t>
  </si>
  <si>
    <t>#VALUE!</t>
  </si>
  <si>
    <t/>
  </si>
  <si>
    <t>If you have LEO pension assets and are reporting under GASB 68 please enter "Plan Fiduciary Net Position" which can be found on your RSI schedules.</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</si>
  <si>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</si>
  <si>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</si>
  <si>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</si>
  <si>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</si>
  <si>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</si>
  <si>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</si>
  <si>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</si>
  <si>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</si>
  <si>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</si>
  <si>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</si>
  <si>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Year 2018</t>
  </si>
  <si>
    <t>Net OPEB Liability (RHBF)</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</si>
  <si>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</si>
  <si>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FS., OPEB note or RSI</t>
  </si>
  <si>
    <t>Does the County collect real estate property taxes on your behalf? Select "1" for "yes and "2" for "No"</t>
  </si>
  <si>
    <t>Not loaded to CCH</t>
  </si>
  <si>
    <t>County collects real estate property on your behalf</t>
  </si>
  <si>
    <t>CCH 385-CCH 576</t>
  </si>
  <si>
    <t>CCH 336-CCH 576</t>
  </si>
  <si>
    <t>CCH 338-CCH 576</t>
  </si>
  <si>
    <t>does not include rows 282-284</t>
  </si>
  <si>
    <t>Net Pension Liability</t>
  </si>
  <si>
    <t>Determination of Fiscal Health</t>
  </si>
  <si>
    <t>Fund Balance, Unassigned</t>
  </si>
  <si>
    <t>This information was not collected in 2019</t>
  </si>
  <si>
    <t>Debt Service Fund</t>
  </si>
  <si>
    <t>Please enter the Total Fund Balance for any Debt Service Funds</t>
  </si>
  <si>
    <t>Water Sewer Net Position Statement</t>
  </si>
  <si>
    <t>Total Revenue</t>
  </si>
  <si>
    <t>General Fund:</t>
  </si>
  <si>
    <t>Total Expenditures</t>
  </si>
  <si>
    <t>Increase (decrease) in Fund Balance</t>
  </si>
  <si>
    <t>Transfers-In</t>
  </si>
  <si>
    <t>Transfers-Out</t>
  </si>
  <si>
    <t>Cash</t>
  </si>
  <si>
    <t>Total Fund Balance</t>
  </si>
  <si>
    <t>Quick Ratio</t>
  </si>
  <si>
    <t>506+536</t>
  </si>
  <si>
    <t>Electric Fund</t>
  </si>
  <si>
    <t>Water Sewer All Funds:</t>
  </si>
  <si>
    <t>Total Operating Revenues</t>
  </si>
  <si>
    <t>Total Operating Expenditures</t>
  </si>
  <si>
    <t>Increase (decrease) in operating revenues</t>
  </si>
  <si>
    <t>84-85</t>
  </si>
  <si>
    <t>93-94</t>
  </si>
  <si>
    <t>Important Ratios:</t>
  </si>
  <si>
    <t>General fund:</t>
  </si>
  <si>
    <t>Available Fund Balance</t>
  </si>
  <si>
    <t>Current Assets</t>
  </si>
  <si>
    <t>Current Liabilities</t>
  </si>
  <si>
    <t>Cash Flow from Operations</t>
  </si>
  <si>
    <t>Debt Principal and Interest</t>
  </si>
  <si>
    <t>Cash Flow less Debt Service</t>
  </si>
  <si>
    <t>Additional Information:</t>
  </si>
  <si>
    <t>Electric Fund:</t>
  </si>
  <si>
    <t>Water Sewer Funds:</t>
  </si>
  <si>
    <t>Water and Sewer Operations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</si>
  <si>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</si>
  <si>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</si>
  <si>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</si>
  <si>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</si>
  <si>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</si>
  <si>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</si>
  <si>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</si>
  <si>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</si>
  <si>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</si>
  <si>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</si>
  <si>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</si>
  <si>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</si>
  <si>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</si>
  <si>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</si>
  <si>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</si>
  <si>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</si>
  <si>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</si>
  <si>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</si>
  <si>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</si>
  <si>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</si>
  <si>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</si>
  <si>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</si>
  <si>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</si>
  <si>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r>
      <rPr>
        <u/>
        <sz val="11"/>
        <color indexed="8"/>
        <rFont val="Calibri"/>
        <family val="2"/>
      </rPr>
      <t xml:space="preserve">Amount of Water Sewer revenues and other financing sources over expenditures and other uses
</t>
    </r>
    <r>
      <rPr>
        <b/>
        <u/>
        <sz val="11"/>
        <color indexed="8"/>
        <rFont val="Calibri"/>
        <family val="2"/>
      </rPr>
      <t xml:space="preserve">Exclude:  All transfers and capital contributions
Exclude:  Capital Project funds
</t>
    </r>
    <r>
      <rPr>
        <sz val="11"/>
        <color indexed="60"/>
        <rFont val="Calibri"/>
        <family val="2"/>
      </rPr>
      <t>This schedule is usually found behind the notes and should be entered as a positive or negative as indicated on your audit report</t>
    </r>
  </si>
  <si>
    <t>Fund balance, Assigned (total of all assigned components)</t>
  </si>
  <si>
    <r>
      <rPr>
        <u/>
        <sz val="11"/>
        <color indexed="8"/>
        <rFont val="Calibri"/>
        <family val="2"/>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rPr>
      <t>Exclude</t>
    </r>
    <r>
      <rPr>
        <sz val="11"/>
        <color indexed="60"/>
        <rFont val="Calibri"/>
        <family val="2"/>
      </rPr>
      <t xml:space="preserve"> </t>
    </r>
    <r>
      <rPr>
        <sz val="11"/>
        <color indexed="8"/>
        <rFont val="Calibri"/>
        <family val="2"/>
      </rPr>
      <t xml:space="preserve">all deferred inflows. 
</t>
    </r>
    <r>
      <rPr>
        <b/>
        <sz val="11"/>
        <color indexed="8"/>
        <rFont val="Calibri"/>
        <family val="2"/>
      </rPr>
      <t>Include</t>
    </r>
    <r>
      <rPr>
        <sz val="11"/>
        <color indexed="8"/>
        <rFont val="Calibri"/>
        <family val="2"/>
      </rPr>
      <t xml:space="preserve"> advance from(long-term portion of interfund loans)</t>
    </r>
  </si>
  <si>
    <t>Available Fund Balance / Total Expenditures and Transfers-out</t>
  </si>
  <si>
    <t>Amount of the General Fund Balance appropriated in next year's budget. As reported on the General Fund Balance Sheet.</t>
  </si>
  <si>
    <r>
      <rPr>
        <b/>
        <sz val="9"/>
        <color indexed="8"/>
        <rFont val="Century Schoolbook"/>
        <family val="1"/>
      </rPr>
      <t>Water Sewer</t>
    </r>
    <r>
      <rPr>
        <sz val="9"/>
        <color indexed="8"/>
        <rFont val="Century Schoolbook"/>
        <family val="1"/>
      </rPr>
      <t xml:space="preserve"> - Disclosed in the Notes or in the recently approved Budget for next year.</t>
    </r>
  </si>
  <si>
    <t>Municipalities</t>
  </si>
  <si>
    <t>The LGC is normally concerned about units with a Quick Ratio below 1</t>
  </si>
  <si>
    <t>The LGC is normally concerned about units with a negative cash flow from Operations</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</si>
  <si>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</si>
  <si>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</si>
  <si>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</si>
  <si>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</si>
  <si>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</si>
  <si>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</si>
  <si>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</si>
  <si>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</si>
  <si>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</si>
  <si>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</si>
  <si>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</si>
  <si>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</si>
  <si>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</si>
  <si>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</si>
  <si>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</si>
  <si>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</si>
  <si>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</si>
  <si>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</si>
  <si>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</si>
  <si>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</si>
  <si>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</si>
  <si>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</si>
  <si>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</si>
  <si>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</si>
  <si>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</si>
  <si>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</si>
  <si>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 xml:space="preserve"> (506+536-4-5-6)+647</t>
  </si>
  <si>
    <t>MANDATORY</t>
  </si>
  <si>
    <t>All Fields Must Be Completed</t>
  </si>
  <si>
    <t>Title of Official</t>
  </si>
  <si>
    <t>Date                        (Enter as "MM/DD/YYYY")</t>
  </si>
  <si>
    <t>Telephone number</t>
  </si>
  <si>
    <t>E-mail address</t>
  </si>
  <si>
    <t>Total FB for Debt Service Funds</t>
  </si>
  <si>
    <t>GF  FBA</t>
  </si>
  <si>
    <t>GF Exp and Tran out</t>
  </si>
  <si>
    <t>GF FBA% of Exp</t>
  </si>
  <si>
    <t>(506+536-4-5-6)+647</t>
  </si>
  <si>
    <t>WS debt service</t>
  </si>
  <si>
    <t>100+98</t>
  </si>
  <si>
    <t>55-100-98</t>
  </si>
  <si>
    <t>44-510</t>
  </si>
  <si>
    <t>WS Current asset</t>
  </si>
  <si>
    <t>(506+536-4-5-6)+647/(532+20+509-533-508)</t>
  </si>
  <si>
    <t>532+20+509-533-508</t>
  </si>
  <si>
    <t>Total Expenditures + Transfers-out to all funds less bond proceeds</t>
  </si>
  <si>
    <t>331+89</t>
  </si>
  <si>
    <t>WS Days in Sales</t>
  </si>
  <si>
    <t xml:space="preserve">Electric Days in Sales </t>
  </si>
  <si>
    <t>81*365/88</t>
  </si>
  <si>
    <t>91*365/97</t>
  </si>
  <si>
    <t>FORMULAS</t>
  </si>
  <si>
    <t>NOTES</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</si>
  <si>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</si>
  <si>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</si>
  <si>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</si>
  <si>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</si>
  <si>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</si>
  <si>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</si>
  <si>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</si>
  <si>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</si>
  <si>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</si>
  <si>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</si>
  <si>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The LGC is normally concerned about units with a negative cash flow from operation less debt service</t>
  </si>
  <si>
    <t>Days sales in Receivables</t>
  </si>
  <si>
    <t>This information was not collected in this format in 2019</t>
  </si>
  <si>
    <t>WS-Total Current Assets as presented on the Statement of Net Position</t>
  </si>
  <si>
    <t>532+509+20-533-508</t>
  </si>
  <si>
    <t>(506+536-4-5-6)+647/(532+509+20-533-508)</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</si>
  <si>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</si>
  <si>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</si>
  <si>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</si>
  <si>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</si>
  <si>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</si>
  <si>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</si>
  <si>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</si>
  <si>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</si>
  <si>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</si>
  <si>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</si>
  <si>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</si>
  <si>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</si>
  <si>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</si>
  <si>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</si>
  <si>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</si>
  <si>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</si>
  <si>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</si>
  <si>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</si>
  <si>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</si>
  <si>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Units that have a Tourism Development Authority reported in their audit report</t>
  </si>
  <si>
    <t>Do you use prepared food/occupancy tax revenue stream to support debt?  Select "1" for Yes and "2" for No</t>
  </si>
  <si>
    <t>Electric-Any current assets that are restricted (Cash, Accounts Rec., ect.) and included in account 657 above</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</si>
  <si>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</si>
  <si>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</si>
  <si>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</si>
  <si>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r>
      <rPr>
        <u/>
        <sz val="11"/>
        <color indexed="8"/>
        <rFont val="Calibri"/>
        <family val="2"/>
      </rPr>
      <t>Total Current assets as listed on the Electric Net Position Statement</t>
    </r>
    <r>
      <rPr>
        <sz val="11"/>
        <color indexed="8"/>
        <rFont val="Calibri"/>
        <family val="2"/>
      </rPr>
      <t xml:space="preserve">.  
</t>
    </r>
  </si>
  <si>
    <t xml:space="preserve">Total Current assets as listed on the Electric Net Position Statement.  
</t>
  </si>
  <si>
    <t>Unit was issued:
1) No UL
2) No UL but visit is needed
3) UL with response
4) SUL requiring written response
5) Communication to DPI</t>
  </si>
  <si>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</si>
  <si>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</si>
  <si>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</si>
  <si>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</si>
  <si>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</si>
  <si>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</si>
  <si>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</si>
  <si>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</si>
  <si>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</si>
  <si>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</si>
  <si>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</si>
  <si>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</si>
  <si>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</si>
  <si>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</si>
  <si>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</si>
  <si>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</si>
  <si>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</si>
  <si>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</si>
  <si>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</si>
  <si>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</si>
  <si>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</si>
  <si>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</si>
  <si>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</si>
  <si>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</si>
  <si>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</si>
  <si>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</si>
  <si>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</si>
  <si>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</si>
  <si>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</si>
  <si>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</si>
  <si>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</si>
  <si>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</si>
  <si>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</si>
  <si>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</si>
  <si>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</si>
  <si>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</si>
  <si>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</si>
  <si>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</si>
  <si>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OPEB-Plan's fiduciary net position as a % of total OPEB liability</t>
  </si>
  <si>
    <t>Do you use prepared food/occupancy tax revenue stream to support debt.  Yes =1 No=2</t>
  </si>
  <si>
    <t>51-331-89</t>
  </si>
  <si>
    <t>654-655-579-510</t>
  </si>
  <si>
    <t>657-658-581-511</t>
  </si>
  <si>
    <t>633-634-635-636-637-638-578</t>
  </si>
  <si>
    <r>
      <rPr>
        <u/>
        <sz val="11"/>
        <color indexed="8"/>
        <rFont val="Calibri"/>
        <family val="2"/>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</si>
  <si>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</si>
  <si>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</si>
  <si>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</si>
  <si>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</si>
  <si>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</si>
  <si>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</si>
  <si>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</si>
  <si>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</si>
  <si>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</si>
  <si>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</si>
  <si>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</si>
  <si>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(654-655-579-510)/(633-634-635-636-637-638-578)</t>
  </si>
  <si>
    <t>657-658-581-511/(639-640-641-642-643-644-580)</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</si>
  <si>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</si>
  <si>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</si>
  <si>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</si>
  <si>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</si>
  <si>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</si>
  <si>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</si>
  <si>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</si>
  <si>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</si>
  <si>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</si>
  <si>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</si>
  <si>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</si>
  <si>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</si>
  <si>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</si>
  <si>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</si>
  <si>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r>
      <t xml:space="preserve">Please enter any bond anticipation notes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</si>
  <si>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</si>
  <si>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</si>
  <si>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</si>
  <si>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633 above.</t>
  </si>
  <si>
    <t>Unearned revenue (arising from cash receipts) that were included in Current Liabilities in the question in account 633 above.</t>
  </si>
  <si>
    <r>
      <t xml:space="preserve">Please enter any bond anticipation notes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</si>
  <si>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</si>
  <si>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account in 639 above </t>
    </r>
    <r>
      <rPr>
        <sz val="11"/>
        <color theme="5" tint="-0.249977111117893"/>
        <rFont val="Calibri"/>
        <family val="2"/>
      </rPr>
      <t>(amounts entered should agree to the current amount included in the changes to long-term debt note)</t>
    </r>
  </si>
  <si>
    <t xml:space="preserve">Please enter any current liabilities that are payable from restricted assets and included in account 639 above. </t>
  </si>
  <si>
    <r>
      <t xml:space="preserve">Please enter any OPEB liabilities that are classified as current liabilities and included in account 639 above </t>
    </r>
    <r>
      <rPr>
        <sz val="11"/>
        <color theme="5" tint="-0.249977111117893"/>
        <rFont val="Calibri"/>
        <family val="2"/>
      </rPr>
      <t>(amounts entered should agree to the current amount included in the changes to long-term debt note)</t>
    </r>
  </si>
  <si>
    <t>Unearned revenue (arising from cash receipts) that were included in Current Liabilities in account 639 above.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</si>
  <si>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</si>
  <si>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</si>
  <si>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</si>
  <si>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r>
      <t xml:space="preserve">Please enter any bond anticipation notes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</si>
  <si>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</si>
  <si>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</si>
  <si>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626 above</t>
  </si>
  <si>
    <r>
      <t xml:space="preserve">Please enter any OPEB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</si>
  <si>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</si>
  <si>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</si>
  <si>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</si>
  <si>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</si>
  <si>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</si>
  <si>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</si>
  <si>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</si>
  <si>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</si>
  <si>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</si>
  <si>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</si>
  <si>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</si>
  <si>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</si>
  <si>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</si>
  <si>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</si>
  <si>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</si>
  <si>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Indian Trail</t>
  </si>
  <si>
    <t>Jackson</t>
  </si>
  <si>
    <t>Jacksonville</t>
  </si>
  <si>
    <t>Jamestown</t>
  </si>
  <si>
    <t>Jamesville</t>
  </si>
  <si>
    <t>Jefferson</t>
  </si>
  <si>
    <t>Jonesville</t>
  </si>
  <si>
    <t>Kannapolis</t>
  </si>
  <si>
    <t>Kelford</t>
  </si>
  <si>
    <t>Kenansville</t>
  </si>
  <si>
    <t>Kenly</t>
  </si>
  <si>
    <t>Kernersville</t>
  </si>
  <si>
    <t>Kill Devil Hills</t>
  </si>
  <si>
    <t>King</t>
  </si>
  <si>
    <t>Kings Mountain</t>
  </si>
  <si>
    <t>Kingstown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</si>
  <si>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</si>
  <si>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</si>
  <si>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</si>
  <si>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</si>
  <si>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</si>
  <si>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</si>
  <si>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</si>
  <si>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</si>
  <si>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</si>
  <si>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</si>
  <si>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</si>
  <si>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</si>
  <si>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</si>
  <si>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</si>
  <si>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</si>
  <si>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</si>
  <si>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</si>
  <si>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</si>
  <si>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</si>
  <si>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</si>
  <si>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</si>
  <si>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</si>
  <si>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</si>
  <si>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</si>
  <si>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</si>
  <si>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</si>
  <si>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</si>
  <si>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</si>
  <si>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</si>
  <si>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</si>
  <si>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</si>
  <si>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</si>
  <si>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Love Valley</t>
  </si>
  <si>
    <t>Lowell</t>
  </si>
  <si>
    <t>Lucama</t>
  </si>
  <si>
    <t>Lumber Bridge</t>
  </si>
  <si>
    <t>Lumberton</t>
  </si>
  <si>
    <t>Macclesfield</t>
  </si>
  <si>
    <t>Madison</t>
  </si>
  <si>
    <t>Maggie Valley</t>
  </si>
  <si>
    <t>Magnolia</t>
  </si>
  <si>
    <t>Maiden</t>
  </si>
  <si>
    <t>Manteo</t>
  </si>
  <si>
    <t>Marietta</t>
  </si>
  <si>
    <t>Marion</t>
  </si>
  <si>
    <t>Mars Hill</t>
  </si>
  <si>
    <t>Marshall</t>
  </si>
  <si>
    <t>Marshville</t>
  </si>
  <si>
    <t>Marvin</t>
  </si>
  <si>
    <t>Matthews</t>
  </si>
  <si>
    <t>Maxton</t>
  </si>
  <si>
    <t>Mayodan</t>
  </si>
  <si>
    <t>Maysville</t>
  </si>
  <si>
    <t>Mcadenville</t>
  </si>
  <si>
    <t>Mcdonald</t>
  </si>
  <si>
    <t>Mcfarlan</t>
  </si>
  <si>
    <t>Mebane</t>
  </si>
  <si>
    <t>Mesic</t>
  </si>
  <si>
    <t>Hospital-EF- Change in Net Assets</t>
  </si>
  <si>
    <t>OPEB- Annual Expenses</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</si>
  <si>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</si>
  <si>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</si>
  <si>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</si>
  <si>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</si>
  <si>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</si>
  <si>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</si>
  <si>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</si>
  <si>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</si>
  <si>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r>
      <t xml:space="preserve">Indicate if the </t>
    </r>
    <r>
      <rPr>
        <b/>
        <sz val="11"/>
        <color indexed="8"/>
        <rFont val="Calibri"/>
        <family val="2"/>
      </rPr>
      <t xml:space="preserve">Unit </t>
    </r>
    <r>
      <rPr>
        <sz val="11"/>
        <color indexed="8"/>
        <rFont val="Calibri"/>
        <family val="2"/>
      </rPr>
      <t xml:space="preserve">does not pay any portion of the retiree's cost other than implicit rate subsidy (1), does not have a plan (2),  has an OPEB plan for which the </t>
    </r>
    <r>
      <rPr>
        <b/>
        <sz val="11"/>
        <color indexed="8"/>
        <rFont val="Calibri"/>
        <family val="2"/>
      </rPr>
      <t>unit</t>
    </r>
    <r>
      <rPr>
        <sz val="11"/>
        <color indexed="8"/>
        <rFont val="Calibri"/>
        <family val="2"/>
      </rPr>
      <t xml:space="preserve"> pays at least a portion of retiree’s health care cost (3) or is part of the State Health System (4).  </t>
    </r>
  </si>
  <si>
    <t>The Unfunded actuarially accrued liability for the unit's Leo benefit.</t>
  </si>
  <si>
    <t>Internal Control-
1) no IC issues 
2)Immaterial 
3) Unit letter for IC 
4) Unit visit for IC</t>
  </si>
  <si>
    <r>
      <rPr>
        <b/>
        <sz val="11"/>
        <color indexed="8"/>
        <rFont val="Calibri"/>
        <family val="2"/>
      </rPr>
      <t>Single Audit Only</t>
    </r>
    <r>
      <rPr>
        <sz val="11"/>
        <color indexed="8"/>
        <rFont val="Century Schoolbook"/>
        <family val="2"/>
      </rPr>
      <t xml:space="preserve"> - total amount of federal awards and grants expended as found on SEFSA</t>
    </r>
  </si>
  <si>
    <r>
      <rPr>
        <b/>
        <sz val="11"/>
        <color indexed="8"/>
        <rFont val="Calibri"/>
        <family val="2"/>
      </rPr>
      <t>Single Audit Only</t>
    </r>
    <r>
      <rPr>
        <sz val="11"/>
        <color indexed="8"/>
        <rFont val="Century Schoolbook"/>
        <family val="2"/>
      </rPr>
      <t xml:space="preserve"> - Total amount of federal awards and grants that were audited as major as found on SEFSA</t>
    </r>
  </si>
  <si>
    <r>
      <rPr>
        <b/>
        <sz val="11"/>
        <color indexed="8"/>
        <rFont val="Calibri"/>
        <family val="2"/>
      </rPr>
      <t>Single Audit Only</t>
    </r>
    <r>
      <rPr>
        <sz val="11"/>
        <color indexed="8"/>
        <rFont val="Century Schoolbook"/>
        <family val="2"/>
      </rPr>
      <t xml:space="preserve"> - total amount of state awards and grants expended as found on SEFSA</t>
    </r>
  </si>
  <si>
    <r>
      <rPr>
        <b/>
        <sz val="11"/>
        <color indexed="8"/>
        <rFont val="Calibri"/>
        <family val="2"/>
      </rPr>
      <t>Single Audit Only</t>
    </r>
    <r>
      <rPr>
        <sz val="11"/>
        <color indexed="8"/>
        <rFont val="Century Schoolbook"/>
        <family val="2"/>
      </rPr>
      <t xml:space="preserve"> - Total amount of state awards and grants that were audited as major as found on SEFSA</t>
    </r>
  </si>
  <si>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</si>
  <si>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</si>
  <si>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</si>
  <si>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</si>
  <si>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Electric cash flow - debt service</t>
  </si>
  <si>
    <t>https://files.nc.gov/nctreasurer/documents/files/SLGFD/Memos/2020-09.pdf</t>
  </si>
  <si>
    <t>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t>
  </si>
  <si>
    <t>Dashboard; Determination of Fiscal Health</t>
  </si>
  <si>
    <t>WS-Any current assets that are restricted (Cash, Accounts Rec., etc..) and included in account 654 above</t>
  </si>
  <si>
    <t>Electric-Any current assets that are restricted (Cash, Accounts Rec., etc..) and included in account 657 above</t>
  </si>
  <si>
    <r>
      <rPr>
        <u/>
        <sz val="11"/>
        <rFont val="Calibri"/>
        <family val="2"/>
      </rPr>
      <t>Please enter the Net Current year's levy for property excluding registered motor vehicles</t>
    </r>
    <r>
      <rPr>
        <sz val="11"/>
        <rFont val="Calibri"/>
        <family val="2"/>
      </rPr>
      <t xml:space="preserve">-- </t>
    </r>
    <r>
      <rPr>
        <sz val="11"/>
        <color indexed="60"/>
        <rFont val="Calibri"/>
        <family val="2"/>
      </rPr>
      <t>(after adjusting for discoveries and abatements)</t>
    </r>
    <r>
      <rPr>
        <sz val="11"/>
        <rFont val="Calibri"/>
        <family val="2"/>
      </rPr>
      <t xml:space="preserve">
</t>
    </r>
    <r>
      <rPr>
        <b/>
        <sz val="11"/>
        <rFont val="Calibri"/>
        <family val="2"/>
      </rPr>
      <t>Exclude</t>
    </r>
    <r>
      <rPr>
        <sz val="11"/>
        <rFont val="Calibri"/>
        <family val="2"/>
      </rPr>
      <t xml:space="preserve"> Supplemental Taxes</t>
    </r>
  </si>
  <si>
    <t>WS-Any current assets that are restricted (Cash, Accounts Rec., etc..)</t>
  </si>
  <si>
    <t>LEO - plan's fiduciary net position as a % of total pension liability</t>
  </si>
  <si>
    <t>McAdenville</t>
  </si>
  <si>
    <t>McDonald</t>
  </si>
  <si>
    <t>McFarlan</t>
  </si>
  <si>
    <r>
      <t xml:space="preserve">Unit's share of RHBF Net OPEB Liability ($s)
- unit of government is a participating employer in the </t>
    </r>
    <r>
      <rPr>
        <b/>
        <sz val="11"/>
        <color theme="1"/>
        <rFont val="Calibri"/>
        <family val="2"/>
        <scheme val="minor"/>
      </rPr>
      <t>State's RHBF</t>
    </r>
    <r>
      <rPr>
        <sz val="11"/>
        <color theme="1"/>
        <rFont val="Calibri"/>
        <family val="2"/>
        <scheme val="minor"/>
      </rPr>
      <t xml:space="preserve"> (Retiree Health Benefit Fund)</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</si>
  <si>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</si>
  <si>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t>Single Audit Only - Type of compliance report(s) issued:  #1- all unmodified; #2- at least one other (qualified, adverse)</t>
  </si>
  <si>
    <t>Single Audit Only - Coronavirus Relief Fund expenditures (21.019)</t>
  </si>
  <si>
    <t xml:space="preserve">Single Audit Only - Other CARES Act /Coronavirus funding </t>
  </si>
  <si>
    <t>Data used in the worksheet was taken from data submitted from prior years data input worksheets.   If your audit reports were not received and reviewed by our office at the time when this worksheet was created, data from that fiscal year will not be available on this analysis tab.</t>
  </si>
  <si>
    <t>The below information must be completed 
in order to process your audit report.</t>
  </si>
  <si>
    <r>
      <rPr>
        <u/>
        <sz val="11"/>
        <color indexed="8"/>
        <rFont val="Calibri"/>
        <family val="2"/>
      </rPr>
      <t>Total Current assets as listed on the WS Net Position Statement</t>
    </r>
    <r>
      <rPr>
        <sz val="11"/>
        <color indexed="8"/>
        <rFont val="Calibri"/>
        <family val="2"/>
      </rPr>
      <t xml:space="preserve">.  
</t>
    </r>
  </si>
  <si>
    <t>Net OPEB Liability RHBF</t>
  </si>
  <si>
    <t>If unit is an employer participant in one of the State Cost Sharing Plans rows 171 - 173 should be blank.  Unless they have an additional single employer plan.</t>
  </si>
  <si>
    <r>
      <rPr>
        <u/>
        <sz val="11"/>
        <color indexed="8"/>
        <rFont val="Calibri"/>
        <family val="2"/>
      </rPr>
      <t>Current liabilities</t>
    </r>
    <r>
      <rPr>
        <u/>
        <sz val="11"/>
        <color rgb="FFFF0000"/>
        <rFont val="Calibri"/>
        <family val="2"/>
      </rPr>
      <t xml:space="preserve"> (as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</si>
  <si>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 xml:space="preserve">Current liabilities </t>
    </r>
    <r>
      <rPr>
        <u/>
        <sz val="11"/>
        <color rgb="FFFF0000"/>
        <rFont val="Calibri"/>
        <family val="2"/>
      </rPr>
      <t>(as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</si>
  <si>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</si>
  <si>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r>
      <t xml:space="preserve">Record any </t>
    </r>
    <r>
      <rPr>
        <b/>
        <u/>
        <sz val="11"/>
        <color indexed="8"/>
        <rFont val="Calibri"/>
        <family val="2"/>
      </rPr>
      <t>positive</t>
    </r>
    <r>
      <rPr>
        <u/>
        <sz val="11"/>
        <color indexed="8"/>
        <rFont val="Calibri"/>
        <family val="2"/>
      </rPr>
      <t xml:space="preserve"> Internal balances on the net position statements that appear in the Asset Section of the Net Position Statement</t>
    </r>
  </si>
  <si>
    <r>
      <t>Record any</t>
    </r>
    <r>
      <rPr>
        <b/>
        <u/>
        <sz val="11"/>
        <color indexed="8"/>
        <rFont val="Calibri"/>
        <family val="2"/>
      </rPr>
      <t xml:space="preserve"> negative</t>
    </r>
    <r>
      <rPr>
        <u/>
        <sz val="11"/>
        <color indexed="8"/>
        <rFont val="Calibri"/>
        <family val="2"/>
      </rPr>
      <t xml:space="preserve"> Internal balances on the net position statements that appear in the Asset Section of the Net Position Statement.
</t>
    </r>
    <r>
      <rPr>
        <b/>
        <sz val="11"/>
        <color indexed="60"/>
        <rFont val="Calibri"/>
        <family val="2"/>
      </rPr>
      <t xml:space="preserve">
Enter as a positive</t>
    </r>
  </si>
  <si>
    <r>
      <rPr>
        <u/>
        <sz val="11"/>
        <color indexed="8"/>
        <rFont val="Calibri"/>
        <family val="2"/>
      </rPr>
      <t xml:space="preserve">Total Current liabilities </t>
    </r>
    <r>
      <rPr>
        <u/>
        <sz val="11"/>
        <color rgb="FFFF0000"/>
        <rFont val="Calibri"/>
        <family val="2"/>
      </rPr>
      <t>(as reported on Statement of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</si>
  <si>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t>Introduction to the Unit Data from Audit Worksheet and the 3-Year Analysis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</si>
  <si>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</si>
  <si>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r>
      <t xml:space="preserve">3-Year Analysis Worksheet - </t>
    </r>
    <r>
      <rPr>
        <i/>
        <sz val="12"/>
        <rFont val="Cambria"/>
        <family val="1"/>
      </rPr>
      <t xml:space="preserve">The </t>
    </r>
    <r>
      <rPr>
        <i/>
        <sz val="12"/>
        <color rgb="FFFF0000"/>
        <rFont val="Cambria"/>
        <family val="1"/>
      </rPr>
      <t>self-reported</t>
    </r>
    <r>
      <rPr>
        <i/>
        <sz val="12"/>
        <rFont val="Cambria"/>
        <family val="1"/>
      </rPr>
      <t xml:space="preserve"> financial data uses past and current performance to identify changes and trends that will affect the operations of a unit of government.  Financial measures may be used to evaluate your performance to other comparable  units of governments.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</si>
  <si>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</si>
  <si>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</si>
  <si>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</si>
  <si>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</si>
  <si>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</si>
  <si>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r>
      <t xml:space="preserve">The </t>
    </r>
    <r>
      <rPr>
        <i/>
        <sz val="12"/>
        <color theme="1"/>
        <rFont val="Century Schoolbook"/>
        <family val="1"/>
      </rPr>
      <t xml:space="preserve">3-Year Analysis </t>
    </r>
    <r>
      <rPr>
        <sz val="12"/>
        <color theme="1"/>
        <rFont val="Century Schoolbook"/>
        <family val="1"/>
      </rPr>
      <t xml:space="preserve">worksheet has been included using </t>
    </r>
    <r>
      <rPr>
        <sz val="12"/>
        <color rgb="FFFF0000"/>
        <rFont val="Century Schoolbook"/>
        <family val="1"/>
      </rPr>
      <t>self-reported</t>
    </r>
    <r>
      <rPr>
        <sz val="12"/>
        <color theme="1"/>
        <rFont val="Century Schoolbook"/>
        <family val="1"/>
      </rPr>
      <t xml:space="preserve"> financial information that is intended to aid the auditor and local government in identifying important trends as well as potential strengths and weaknesses.  The Year 2020 column automatically populates when the Unit Data from Audit Worksheet is completed.</t>
    </r>
  </si>
  <si>
    <r>
      <t xml:space="preserve">The </t>
    </r>
    <r>
      <rPr>
        <i/>
        <sz val="12"/>
        <color theme="1"/>
        <rFont val="Century Schoolbook"/>
        <family val="1"/>
      </rPr>
      <t>Average FBA</t>
    </r>
    <r>
      <rPr>
        <sz val="12"/>
        <color theme="1"/>
        <rFont val="Century Schoolbook"/>
        <family val="1"/>
      </rPr>
      <t xml:space="preserve"> worksheet provides the General Fund Average FBA and the FBA % as a Percentage of  Average Expenditures by population group based on audit reports submitted for fiscal year ended as of 6/30/2019.</t>
    </r>
  </si>
  <si>
    <t>Links to Websites that provide financial data and ratios for Municipalities and Counties</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</si>
  <si>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</si>
  <si>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</si>
  <si>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</si>
  <si>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If you have any questions, please call 919-814-4299.</t>
  </si>
  <si>
    <t xml:space="preserve">Date                   </t>
  </si>
  <si>
    <t>unit code must be completed</t>
  </si>
  <si>
    <t xml:space="preserve">The self-reported information below is intended to aid the Auditor and Local Government in identifying trends and potential strengths and weaknesses. It might also help to detect a keying error made on the Unit Data from Audit Worksheet.   If the information below shows unexpected results, the auditor should verify the data entered into the Unit Data from Audit Worksheet, since it is the source of the data.  Accounts numbers are provided for each piece of data or ratio used in the calculation of the issue in column F (FORMULAS).  These account numbers are found in column A (Acct #) on the Unit Data from Audit Worksheet tab.   If the data is still producing negative trends after verifying the data, then the unit needs to address the fiscal weakness and develop a fiscal plan that will correct the fiscal weakness.  Revising the current budget and future budgets is normally the major tools used to do this along with any necessary fee revisions.  </t>
  </si>
  <si>
    <t xml:space="preserve">These formulas are used to calculate various ratios.  The numbers used in the formula are taken directly from the Unit Data from Audit Worksheet tab.  The formulas below show the LGC account number for each data element that is listed in Column A on the Unit Data from Audit Worksheet tab.  </t>
  </si>
  <si>
    <r>
      <t xml:space="preserve">The chart below shows the average fund balance available for the general fund by population group and the average fund balance as a percentage of average expenditures by population group.  If you are unsure of your population group, please click on the link below and it will take you to the </t>
    </r>
    <r>
      <rPr>
        <b/>
        <i/>
        <sz val="14"/>
        <color theme="0"/>
        <rFont val="Calibri"/>
        <family val="2"/>
        <scheme val="minor"/>
      </rPr>
      <t>Management of Cash and Taxes and Fund Balance Available</t>
    </r>
    <r>
      <rPr>
        <b/>
        <sz val="14"/>
        <color theme="0"/>
        <rFont val="Calibri"/>
        <family val="2"/>
        <scheme val="minor"/>
      </rPr>
      <t xml:space="preserve"> memo. </t>
    </r>
  </si>
  <si>
    <r>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t>
    </r>
    <r>
      <rPr>
        <sz val="11"/>
        <color rgb="FFFF0000"/>
        <rFont val="Calibri"/>
        <family val="2"/>
        <scheme val="minor"/>
      </rPr>
      <t xml:space="preserve"> </t>
    </r>
    <r>
      <rPr>
        <sz val="11"/>
        <rFont val="Calibri"/>
        <family val="2"/>
        <scheme val="minor"/>
      </rPr>
      <t xml:space="preserve">January 25, 2020 </t>
    </r>
    <r>
      <rPr>
        <sz val="11"/>
        <color theme="1"/>
        <rFont val="Calibri"/>
        <family val="2"/>
        <scheme val="minor"/>
      </rPr>
      <t>(N.C.G.S. 159-33), and the annual financial information report (AFIR) due by counites and municipalities October 31, 2019 (N.C.G.S. 159-33.1), and any other reports due  during the fiscal year corresponding to the audit report being submitted? (Y/N)</t>
    </r>
  </si>
  <si>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</si>
  <si>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</si>
  <si>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</si>
  <si>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</si>
  <si>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</si>
  <si>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</si>
  <si>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Version Date 9/17/2020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</si>
</sst>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s>
  <fonts count="203"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b/>
      <sz val="9"/>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b/>
      <sz val="11"/>
      <color indexed="8"/>
      <name val="Century Schoolbook"/>
      <family val="1"/>
    </font>
    <font>
      <sz val="9"/>
      <color indexed="8"/>
      <name val="Century Schoolbook"/>
      <family val="1"/>
    </font>
    <font>
      <sz val="9"/>
      <color indexed="8"/>
      <name val="Calibri"/>
      <family val="2"/>
    </font>
    <font>
      <b/>
      <sz val="11"/>
      <name val="Century Schoolbook"/>
      <family val="1"/>
    </font>
    <font>
      <b/>
      <u/>
      <sz val="11"/>
      <color indexed="8"/>
      <name val="Calibri"/>
      <family val="2"/>
    </font>
    <font>
      <u/>
      <sz val="11"/>
      <name val="Calibri"/>
      <family val="2"/>
    </font>
    <font>
      <b/>
      <sz val="9"/>
      <color indexed="8"/>
      <name val="Century Schoolbook"/>
      <family val="1"/>
    </font>
    <font>
      <sz val="9"/>
      <name val="Century Schoolbook"/>
      <family val="1"/>
    </font>
    <font>
      <b/>
      <sz val="11"/>
      <color indexed="60"/>
      <name val="Century Schoolbook"/>
      <family val="1"/>
    </font>
    <font>
      <b/>
      <sz val="10"/>
      <color indexed="8"/>
      <name val="Century Schoolbook"/>
      <family val="1"/>
    </font>
    <font>
      <sz val="9"/>
      <color indexed="60"/>
      <name val="Calibri"/>
      <family val="2"/>
    </font>
    <font>
      <sz val="8"/>
      <name val="Arial"/>
      <family val="2"/>
    </font>
    <font>
      <sz val="10"/>
      <name val="Arial"/>
      <family val="2"/>
    </font>
    <font>
      <sz val="12"/>
      <name val="Garamond"/>
      <family val="1"/>
    </font>
    <font>
      <u/>
      <sz val="11"/>
      <color indexed="60"/>
      <name val="Calibri"/>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b/>
      <sz val="11"/>
      <color indexed="60"/>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sz val="11"/>
      <color indexed="9"/>
      <name val="Calibri"/>
      <family val="2"/>
      <scheme val="minor"/>
    </font>
    <font>
      <b/>
      <sz val="11"/>
      <color theme="1"/>
      <name val="Garamond"/>
      <family val="1"/>
    </font>
    <font>
      <sz val="11"/>
      <color theme="1"/>
      <name val="Calibri"/>
      <family val="2"/>
    </font>
    <font>
      <sz val="8"/>
      <name val="Calibri"/>
      <family val="2"/>
      <scheme val="minor"/>
    </font>
    <font>
      <b/>
      <sz val="9"/>
      <color theme="1"/>
      <name val="Century Schoolbook"/>
      <family val="1"/>
    </font>
    <font>
      <sz val="11"/>
      <color rgb="FFC00000"/>
      <name val="Calibri"/>
      <family val="2"/>
      <scheme val="minor"/>
    </font>
    <font>
      <b/>
      <sz val="11"/>
      <color rgb="FFC00000"/>
      <name val="Century Schoolbook"/>
      <family val="1"/>
    </font>
    <font>
      <sz val="9"/>
      <color theme="1"/>
      <name val="Century Schoolbook"/>
      <family val="1"/>
    </font>
    <font>
      <sz val="8"/>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b/>
      <sz val="18"/>
      <color theme="1"/>
      <name val="Calibri"/>
      <family val="2"/>
      <scheme val="minor"/>
    </font>
    <font>
      <sz val="12"/>
      <color rgb="FFFF0000"/>
      <name val="Calibri"/>
      <family val="2"/>
      <scheme val="minor"/>
    </font>
    <font>
      <u/>
      <sz val="11"/>
      <color theme="1"/>
      <name val="Century Schoolbook"/>
      <family val="1"/>
    </font>
    <font>
      <sz val="10"/>
      <color rgb="FFFF0000"/>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11"/>
      <color rgb="FFFF0000"/>
      <name val="Century Schoolbook"/>
      <family val="1"/>
    </font>
    <font>
      <b/>
      <i/>
      <u/>
      <sz val="10"/>
      <color theme="1"/>
      <name val="Times New Roman"/>
      <family val="1"/>
    </font>
    <font>
      <sz val="8"/>
      <name val="Arial"/>
      <family val="2"/>
    </font>
    <font>
      <sz val="10"/>
      <name val="Arial"/>
      <family val="2"/>
    </font>
    <font>
      <sz val="12"/>
      <name val="Garamond"/>
      <family val="1"/>
    </font>
    <font>
      <b/>
      <sz val="11"/>
      <color rgb="FF000000"/>
      <name val="Calibri"/>
      <family val="2"/>
    </font>
    <font>
      <b/>
      <sz val="14"/>
      <color theme="9" tint="-0.249977111117893"/>
      <name val="Calibri"/>
      <family val="2"/>
      <scheme val="minor"/>
    </font>
    <font>
      <b/>
      <sz val="14"/>
      <color rgb="FF0070C0"/>
      <name val="Calibri"/>
      <family val="2"/>
      <scheme val="minor"/>
    </font>
    <font>
      <sz val="11"/>
      <color rgb="FFFF0000"/>
      <name val="Calibri"/>
      <family val="2"/>
      <scheme val="minor"/>
    </font>
    <font>
      <sz val="11"/>
      <color theme="5" tint="-0.249977111117893"/>
      <name val="Calibri"/>
      <family val="2"/>
    </font>
    <font>
      <sz val="24"/>
      <color rgb="FFFF0000"/>
      <name val="Calibri"/>
      <family val="2"/>
      <scheme val="minor"/>
    </font>
    <font>
      <sz val="18"/>
      <color theme="1"/>
      <name val="Calibri"/>
      <family val="2"/>
      <scheme val="minor"/>
    </font>
    <font>
      <u/>
      <sz val="11"/>
      <color rgb="FFFF0000"/>
      <name val="Calibri"/>
      <family val="2"/>
    </font>
    <font>
      <b/>
      <sz val="11"/>
      <color rgb="FFFF0000"/>
      <name val="Calibri"/>
      <family val="2"/>
      <scheme val="minor"/>
    </font>
    <font>
      <sz val="12"/>
      <color rgb="FFFF0000"/>
      <name val="Century Schoolbook"/>
      <family val="1"/>
    </font>
    <font>
      <b/>
      <sz val="14"/>
      <color theme="0"/>
      <name val="Calibri"/>
      <family val="2"/>
      <scheme val="minor"/>
    </font>
    <font>
      <b/>
      <sz val="24"/>
      <color theme="8" tint="-0.249977111117893"/>
      <name val="Calibri"/>
      <family val="2"/>
      <scheme val="minor"/>
    </font>
    <font>
      <b/>
      <i/>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sz val="9"/>
      <color theme="1"/>
      <name val="Century Schoolbook"/>
      <family val="2"/>
    </font>
    <font>
      <b/>
      <sz val="14"/>
      <color rgb="FFFF0000"/>
      <name val="Calibri"/>
      <family val="2"/>
      <scheme val="minor"/>
    </font>
    <font>
      <sz val="8"/>
      <color rgb="FFFF0000"/>
      <name val="Calibri"/>
      <family val="2"/>
      <scheme val="minor"/>
    </font>
    <font>
      <b/>
      <sz val="11"/>
      <color rgb="FFFF0000"/>
      <name val="Century Schoolbook"/>
      <family val="1"/>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sz val="8"/>
      <color theme="0"/>
      <name val="Calibri"/>
      <family val="2"/>
      <scheme val="minor"/>
    </font>
    <font>
      <b/>
      <sz val="10"/>
      <color indexed="8"/>
      <name val="Century Schoolbook"/>
      <family val="2"/>
    </font>
    <font>
      <b/>
      <sz val="10"/>
      <color theme="1"/>
      <name val="Century Schoolbook"/>
      <family val="2"/>
    </font>
    <font>
      <b/>
      <sz val="10"/>
      <color indexed="8"/>
      <name val="Calibri"/>
      <family val="2"/>
      <scheme val="minor"/>
    </font>
    <font>
      <sz val="8"/>
      <color indexed="8"/>
      <name val="Calibri"/>
      <family val="2"/>
    </font>
    <font>
      <b/>
      <i/>
      <sz val="12"/>
      <name val="Cambria"/>
      <family val="1"/>
    </font>
    <font>
      <sz val="18"/>
      <color theme="0"/>
      <name val="Calibri"/>
      <family val="2"/>
      <scheme val="minor"/>
    </font>
    <font>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entury Schoolbook"/>
      <family val="1"/>
    </font>
    <font>
      <i/>
      <sz val="14"/>
      <color theme="0"/>
      <name val="Cambria"/>
      <family val="1"/>
    </font>
    <font>
      <sz val="12"/>
      <color theme="0"/>
      <name val="Century Schoolbook"/>
      <family val="1"/>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1" tint="0.49998474074526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s>
  <cellStyleXfs count="3009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6"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5" borderId="1" applyNumberFormat="0" applyAlignment="0" applyProtection="0"/>
    <xf numFmtId="0" fontId="25" fillId="15" borderId="1" applyNumberFormat="0" applyAlignment="0" applyProtection="0"/>
    <xf numFmtId="0" fontId="16" fillId="7" borderId="2" applyNumberFormat="0" applyAlignment="0" applyProtection="0"/>
    <xf numFmtId="0" fontId="16" fillId="7" borderId="2" applyNumberFormat="0" applyAlignment="0" applyProtection="0"/>
    <xf numFmtId="43" fontId="5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54"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1" fillId="0" borderId="3"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9" fillId="12" borderId="1" applyNumberFormat="0" applyAlignment="0" applyProtection="0"/>
    <xf numFmtId="0" fontId="9" fillId="12" borderId="1" applyNumberFormat="0" applyAlignment="0" applyProtection="0"/>
    <xf numFmtId="0" fontId="26" fillId="0" borderId="6" applyNumberFormat="0" applyFill="0" applyAlignment="0" applyProtection="0"/>
    <xf numFmtId="0" fontId="26" fillId="0" borderId="6" applyNumberFormat="0" applyFill="0" applyAlignment="0" applyProtection="0"/>
    <xf numFmtId="0" fontId="10" fillId="19" borderId="0" applyNumberFormat="0" applyBorder="0" applyAlignment="0" applyProtection="0"/>
    <xf numFmtId="0" fontId="10" fillId="19"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6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27" fillId="0" borderId="0"/>
    <xf numFmtId="0" fontId="28" fillId="0" borderId="0"/>
    <xf numFmtId="0" fontId="27" fillId="0" borderId="0"/>
    <xf numFmtId="0" fontId="51" fillId="0" borderId="0"/>
    <xf numFmtId="0" fontId="27"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1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8"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8"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7" fillId="0" borderId="0"/>
    <xf numFmtId="0" fontId="27"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1"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51" fillId="0" borderId="0"/>
    <xf numFmtId="0" fontId="27" fillId="0" borderId="0"/>
    <xf numFmtId="0" fontId="27" fillId="0" borderId="0"/>
    <xf numFmtId="0" fontId="27" fillId="0" borderId="0"/>
    <xf numFmtId="0" fontId="27" fillId="0" borderId="0"/>
    <xf numFmtId="0" fontId="57" fillId="0" borderId="0"/>
    <xf numFmtId="0" fontId="51" fillId="0" borderId="0"/>
    <xf numFmtId="0" fontId="27" fillId="0" borderId="0"/>
    <xf numFmtId="0" fontId="27" fillId="0" borderId="0"/>
    <xf numFmtId="0" fontId="57" fillId="0" borderId="0"/>
    <xf numFmtId="0" fontId="19" fillId="0" borderId="0"/>
    <xf numFmtId="0" fontId="19" fillId="0" borderId="0"/>
    <xf numFmtId="0" fontId="57" fillId="0" borderId="0"/>
    <xf numFmtId="0" fontId="27" fillId="0" borderId="0"/>
    <xf numFmtId="0" fontId="27" fillId="0" borderId="0"/>
    <xf numFmtId="0" fontId="27" fillId="0" borderId="0"/>
    <xf numFmtId="0" fontId="57" fillId="0" borderId="0"/>
    <xf numFmtId="0" fontId="57" fillId="0" borderId="0"/>
    <xf numFmtId="0" fontId="57" fillId="0" borderId="0"/>
    <xf numFmtId="0" fontId="27" fillId="0" borderId="0"/>
    <xf numFmtId="0" fontId="57" fillId="0" borderId="0"/>
    <xf numFmtId="0" fontId="2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1"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19" fillId="0" borderId="0"/>
    <xf numFmtId="0" fontId="32" fillId="0" borderId="0"/>
    <xf numFmtId="0" fontId="31" fillId="0" borderId="0"/>
    <xf numFmtId="0" fontId="31" fillId="0" borderId="0"/>
    <xf numFmtId="0" fontId="52" fillId="0" borderId="0"/>
    <xf numFmtId="0" fontId="19" fillId="0" borderId="0"/>
    <xf numFmtId="0" fontId="19" fillId="0" borderId="0"/>
    <xf numFmtId="0" fontId="19" fillId="0" borderId="0"/>
    <xf numFmtId="0" fontId="19"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27" fillId="0" borderId="0"/>
    <xf numFmtId="0" fontId="52" fillId="0" borderId="0"/>
    <xf numFmtId="0" fontId="19" fillId="0" borderId="0"/>
    <xf numFmtId="0" fontId="19" fillId="0" borderId="0"/>
    <xf numFmtId="0" fontId="19" fillId="0" borderId="0"/>
    <xf numFmtId="0" fontId="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2" fillId="0" borderId="0"/>
    <xf numFmtId="0" fontId="31" fillId="0" borderId="0"/>
    <xf numFmtId="0" fontId="49"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3" fillId="0" borderId="0"/>
    <xf numFmtId="0" fontId="53" fillId="0" borderId="0"/>
    <xf numFmtId="0" fontId="31" fillId="0" borderId="0"/>
    <xf numFmtId="0" fontId="31" fillId="0" borderId="0"/>
    <xf numFmtId="0" fontId="31" fillId="0" borderId="0"/>
    <xf numFmtId="0" fontId="31" fillId="0" borderId="0"/>
    <xf numFmtId="0" fontId="57" fillId="0" borderId="0"/>
    <xf numFmtId="0" fontId="53" fillId="0" borderId="0"/>
    <xf numFmtId="0" fontId="31" fillId="0" borderId="0"/>
    <xf numFmtId="0" fontId="57" fillId="0" borderId="0"/>
    <xf numFmtId="0" fontId="31" fillId="0" borderId="0"/>
    <xf numFmtId="0" fontId="57"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31" fillId="0" borderId="0"/>
    <xf numFmtId="0" fontId="57" fillId="0" borderId="0"/>
    <xf numFmtId="0" fontId="57" fillId="0" borderId="0"/>
    <xf numFmtId="0" fontId="31" fillId="0" borderId="0"/>
    <xf numFmtId="0" fontId="57" fillId="0" borderId="0"/>
    <xf numFmtId="0" fontId="57" fillId="0" borderId="0"/>
    <xf numFmtId="0" fontId="57" fillId="0" borderId="0"/>
    <xf numFmtId="0" fontId="53"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8" fillId="0" borderId="0"/>
    <xf numFmtId="3" fontId="11" fillId="0" borderId="0"/>
    <xf numFmtId="0" fontId="19" fillId="5" borderId="7" applyNumberFormat="0" applyFont="0" applyAlignment="0" applyProtection="0"/>
    <xf numFmtId="0" fontId="19" fillId="5" borderId="7" applyNumberFormat="0" applyFont="0" applyAlignment="0" applyProtection="0"/>
    <xf numFmtId="0" fontId="52" fillId="5" borderId="7" applyNumberFormat="0" applyFont="0" applyAlignment="0" applyProtection="0"/>
    <xf numFmtId="0" fontId="19" fillId="5" borderId="7" applyNumberFormat="0" applyFont="0" applyAlignment="0" applyProtection="0"/>
    <xf numFmtId="0" fontId="19" fillId="5" borderId="7" applyNumberFormat="0" applyFont="0" applyAlignment="0" applyProtection="0"/>
    <xf numFmtId="0" fontId="18" fillId="15" borderId="8" applyNumberFormat="0" applyAlignment="0" applyProtection="0"/>
    <xf numFmtId="0" fontId="18" fillId="15" borderId="8" applyNumberFormat="0" applyAlignment="0" applyProtection="0"/>
    <xf numFmtId="9" fontId="32" fillId="0" borderId="0" applyFont="0" applyFill="0" applyBorder="0" applyAlignment="0" applyProtection="0"/>
    <xf numFmtId="9" fontId="31" fillId="0" borderId="0" applyFont="0" applyFill="0" applyBorder="0" applyAlignment="0" applyProtection="0"/>
    <xf numFmtId="9" fontId="58" fillId="0" borderId="0" applyFont="0" applyFill="0" applyBorder="0" applyAlignment="0" applyProtection="0"/>
    <xf numFmtId="9" fontId="57" fillId="0" borderId="0" applyFont="0" applyFill="0" applyBorder="0" applyAlignment="0" applyProtection="0"/>
    <xf numFmtId="0" fontId="20" fillId="0" borderId="0" applyNumberFormat="0" applyFill="0" applyBorder="0" applyAlignment="0" applyProtection="0"/>
    <xf numFmtId="0" fontId="62" fillId="20" borderId="0" applyFont="0" applyBorder="0" applyAlignment="0">
      <alignment horizontal="center" wrapText="1"/>
    </xf>
    <xf numFmtId="0" fontId="62" fillId="20" borderId="0" applyFont="0" applyBorder="0" applyAlignment="0">
      <alignment horizontal="center" wrapText="1"/>
    </xf>
    <xf numFmtId="0" fontId="55"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3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8" fillId="0" borderId="0"/>
    <xf numFmtId="0" fontId="119" fillId="0" borderId="0"/>
    <xf numFmtId="0" fontId="119" fillId="0" borderId="0"/>
    <xf numFmtId="0" fontId="118" fillId="0" borderId="0"/>
    <xf numFmtId="0" fontId="119" fillId="0" borderId="0"/>
    <xf numFmtId="0" fontId="119" fillId="0" borderId="0"/>
    <xf numFmtId="0" fontId="120" fillId="0" borderId="0"/>
    <xf numFmtId="0" fontId="11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20"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7"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5" borderId="7" applyNumberFormat="0" applyFont="0" applyAlignment="0" applyProtection="0"/>
    <xf numFmtId="0" fontId="1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3" fontId="1" fillId="0" borderId="0" applyFont="0" applyFill="0" applyBorder="0" applyAlignment="0" applyProtection="0"/>
    <xf numFmtId="0" fontId="5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5" borderId="7" applyNumberFormat="0" applyFont="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0" fontId="118"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9" fillId="0" borderId="0"/>
    <xf numFmtId="0" fontId="118" fillId="0" borderId="0"/>
    <xf numFmtId="0" fontId="11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57" fillId="0" borderId="0"/>
    <xf numFmtId="0" fontId="57" fillId="0" borderId="0"/>
    <xf numFmtId="0" fontId="31" fillId="0" borderId="0"/>
    <xf numFmtId="0" fontId="57" fillId="0" borderId="0"/>
    <xf numFmtId="0" fontId="57" fillId="0" borderId="0"/>
    <xf numFmtId="0" fontId="57" fillId="0" borderId="0"/>
    <xf numFmtId="0" fontId="118" fillId="0" borderId="0"/>
    <xf numFmtId="0" fontId="57" fillId="0" borderId="0"/>
    <xf numFmtId="0" fontId="57" fillId="0" borderId="0"/>
    <xf numFmtId="0" fontId="57" fillId="0" borderId="0"/>
    <xf numFmtId="0" fontId="57" fillId="0" borderId="0"/>
    <xf numFmtId="0" fontId="5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57" fillId="0" borderId="0"/>
    <xf numFmtId="0" fontId="19" fillId="0" borderId="0"/>
    <xf numFmtId="0" fontId="120" fillId="0" borderId="0"/>
    <xf numFmtId="0" fontId="120" fillId="0" borderId="0"/>
    <xf numFmtId="0" fontId="120" fillId="0" borderId="0"/>
    <xf numFmtId="0" fontId="120" fillId="0" borderId="0"/>
    <xf numFmtId="0" fontId="12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20" fillId="0" borderId="0"/>
    <xf numFmtId="0" fontId="120" fillId="0" borderId="0"/>
    <xf numFmtId="0" fontId="57" fillId="0" borderId="0"/>
    <xf numFmtId="0" fontId="57" fillId="0" borderId="0"/>
    <xf numFmtId="0" fontId="57" fillId="0" borderId="0"/>
    <xf numFmtId="0" fontId="57" fillId="0" borderId="0"/>
    <xf numFmtId="0" fontId="12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31"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20"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19" fillId="0" borderId="0"/>
    <xf numFmtId="0" fontId="19" fillId="0" borderId="0"/>
    <xf numFmtId="0" fontId="19"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19" fillId="0" borderId="0"/>
    <xf numFmtId="0" fontId="31" fillId="0" borderId="0"/>
    <xf numFmtId="0" fontId="19" fillId="0" borderId="0"/>
    <xf numFmtId="0" fontId="19" fillId="0" borderId="0"/>
    <xf numFmtId="44" fontId="57" fillId="0" borderId="0" applyFont="0" applyFill="0" applyBorder="0" applyAlignment="0" applyProtection="0"/>
    <xf numFmtId="0" fontId="31" fillId="0" borderId="0"/>
    <xf numFmtId="0" fontId="19" fillId="0" borderId="0"/>
    <xf numFmtId="0" fontId="19" fillId="0" borderId="0"/>
    <xf numFmtId="0" fontId="27" fillId="0" borderId="0"/>
    <xf numFmtId="0" fontId="19" fillId="0" borderId="0"/>
    <xf numFmtId="43" fontId="57" fillId="0" borderId="0" applyFont="0" applyFill="0" applyBorder="0" applyAlignment="0" applyProtection="0"/>
    <xf numFmtId="0" fontId="27" fillId="0" borderId="0"/>
    <xf numFmtId="0" fontId="19" fillId="0" borderId="0"/>
    <xf numFmtId="43" fontId="57" fillId="0" borderId="0" applyFont="0" applyFill="0" applyBorder="0" applyAlignment="0" applyProtection="0"/>
    <xf numFmtId="0" fontId="19" fillId="0" borderId="0"/>
    <xf numFmtId="0" fontId="27" fillId="0" borderId="0"/>
    <xf numFmtId="0" fontId="27"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20" fillId="0" borderId="0"/>
    <xf numFmtId="0" fontId="19"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43" fontId="57" fillId="0" borderId="0" applyFont="0" applyFill="0" applyBorder="0" applyAlignment="0" applyProtection="0"/>
    <xf numFmtId="0" fontId="19" fillId="0" borderId="0"/>
    <xf numFmtId="0" fontId="27" fillId="0" borderId="0"/>
    <xf numFmtId="0" fontId="27" fillId="0" borderId="0"/>
    <xf numFmtId="0" fontId="19" fillId="0" borderId="0"/>
    <xf numFmtId="0" fontId="31" fillId="0" borderId="0"/>
    <xf numFmtId="0" fontId="27" fillId="0" borderId="0"/>
    <xf numFmtId="0" fontId="27" fillId="0" borderId="0"/>
    <xf numFmtId="0" fontId="19"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31"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9" fillId="0" borderId="0"/>
    <xf numFmtId="0" fontId="31"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0" fontId="119" fillId="0" borderId="0"/>
    <xf numFmtId="0" fontId="27" fillId="0" borderId="0"/>
    <xf numFmtId="44" fontId="57" fillId="0" borderId="0" applyFont="0" applyFill="0" applyBorder="0" applyAlignment="0" applyProtection="0"/>
    <xf numFmtId="9" fontId="57" fillId="0" borderId="0" applyFont="0" applyFill="0" applyBorder="0" applyAlignment="0" applyProtection="0"/>
    <xf numFmtId="0" fontId="27" fillId="0" borderId="0"/>
    <xf numFmtId="0" fontId="31"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27" fillId="0" borderId="0"/>
    <xf numFmtId="0" fontId="19" fillId="0" borderId="0"/>
    <xf numFmtId="0" fontId="27" fillId="0" borderId="0"/>
    <xf numFmtId="0" fontId="19" fillId="0" borderId="0"/>
    <xf numFmtId="0" fontId="27"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19"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31" fillId="0" borderId="0"/>
    <xf numFmtId="0" fontId="27" fillId="0" borderId="0"/>
    <xf numFmtId="0" fontId="19"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27" fillId="0" borderId="0"/>
    <xf numFmtId="0" fontId="31" fillId="0" borderId="0"/>
    <xf numFmtId="0" fontId="31"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19" fillId="0" borderId="0"/>
    <xf numFmtId="0" fontId="27" fillId="0" borderId="0"/>
    <xf numFmtId="0" fontId="27" fillId="0" borderId="0"/>
    <xf numFmtId="0" fontId="19" fillId="0" borderId="0"/>
    <xf numFmtId="0" fontId="19" fillId="0" borderId="0"/>
    <xf numFmtId="0" fontId="19" fillId="0" borderId="0"/>
    <xf numFmtId="0" fontId="31" fillId="0" borderId="0"/>
    <xf numFmtId="0" fontId="31" fillId="0" borderId="0"/>
    <xf numFmtId="0" fontId="19" fillId="0" borderId="0"/>
    <xf numFmtId="0" fontId="27" fillId="0" borderId="0"/>
    <xf numFmtId="0" fontId="27" fillId="0" borderId="0"/>
    <xf numFmtId="0" fontId="19" fillId="0" borderId="0"/>
    <xf numFmtId="0" fontId="19" fillId="0" borderId="0"/>
    <xf numFmtId="0" fontId="19" fillId="0" borderId="0"/>
    <xf numFmtId="0" fontId="27" fillId="0" borderId="0"/>
    <xf numFmtId="0" fontId="27" fillId="0" borderId="0"/>
    <xf numFmtId="0" fontId="31" fillId="0" borderId="0"/>
    <xf numFmtId="0" fontId="19" fillId="5" borderId="7" applyNumberFormat="0" applyFont="0" applyAlignment="0" applyProtection="0"/>
    <xf numFmtId="0" fontId="19" fillId="0" borderId="0"/>
    <xf numFmtId="0" fontId="19" fillId="0" borderId="0"/>
    <xf numFmtId="0" fontId="19" fillId="0" borderId="0"/>
    <xf numFmtId="0" fontId="19" fillId="0" borderId="0"/>
    <xf numFmtId="0" fontId="31" fillId="0" borderId="0"/>
    <xf numFmtId="0" fontId="31" fillId="0" borderId="0"/>
    <xf numFmtId="0" fontId="19" fillId="0" borderId="0"/>
    <xf numFmtId="0" fontId="19" fillId="0" borderId="0"/>
    <xf numFmtId="0" fontId="31" fillId="0" borderId="0"/>
    <xf numFmtId="0" fontId="27" fillId="0" borderId="0"/>
    <xf numFmtId="0" fontId="19" fillId="5" borderId="7" applyNumberFormat="0" applyFont="0" applyAlignment="0" applyProtection="0"/>
    <xf numFmtId="0" fontId="19" fillId="0" borderId="0"/>
    <xf numFmtId="0" fontId="27" fillId="0" borderId="0"/>
    <xf numFmtId="0" fontId="19" fillId="0" borderId="0"/>
    <xf numFmtId="0" fontId="27" fillId="0" borderId="0"/>
    <xf numFmtId="0" fontId="27" fillId="0" borderId="0"/>
    <xf numFmtId="0" fontId="27"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27" fillId="0" borderId="0"/>
    <xf numFmtId="0" fontId="27" fillId="0" borderId="0"/>
    <xf numFmtId="0" fontId="31" fillId="0" borderId="0"/>
    <xf numFmtId="0" fontId="27" fillId="0" borderId="0"/>
    <xf numFmtId="0" fontId="31" fillId="0" borderId="0"/>
    <xf numFmtId="0" fontId="19" fillId="0" borderId="0"/>
    <xf numFmtId="0" fontId="19" fillId="0" borderId="0"/>
    <xf numFmtId="0" fontId="31" fillId="0" borderId="0"/>
    <xf numFmtId="0" fontId="27" fillId="0" borderId="0"/>
    <xf numFmtId="0" fontId="19" fillId="0" borderId="0"/>
    <xf numFmtId="0" fontId="134" fillId="0" borderId="47" applyNumberFormat="0" applyFill="0" applyAlignment="0" applyProtection="0"/>
    <xf numFmtId="0" fontId="135" fillId="0" borderId="48" applyNumberFormat="0" applyFill="0" applyAlignment="0" applyProtection="0"/>
    <xf numFmtId="0" fontId="136" fillId="0" borderId="49" applyNumberFormat="0" applyFill="0" applyAlignment="0" applyProtection="0"/>
    <xf numFmtId="0" fontId="136" fillId="0" borderId="0" applyNumberFormat="0" applyFill="0" applyBorder="0" applyAlignment="0" applyProtection="0"/>
    <xf numFmtId="0" fontId="137" fillId="39" borderId="0" applyNumberFormat="0" applyBorder="0" applyAlignment="0" applyProtection="0"/>
    <xf numFmtId="0" fontId="138" fillId="40" borderId="0" applyNumberFormat="0" applyBorder="0" applyAlignment="0" applyProtection="0"/>
    <xf numFmtId="0" fontId="139" fillId="42" borderId="50" applyNumberFormat="0" applyAlignment="0" applyProtection="0"/>
    <xf numFmtId="0" fontId="140" fillId="43" borderId="51" applyNumberFormat="0" applyAlignment="0" applyProtection="0"/>
    <xf numFmtId="0" fontId="141" fillId="43" borderId="50" applyNumberFormat="0" applyAlignment="0" applyProtection="0"/>
    <xf numFmtId="0" fontId="142" fillId="0" borderId="52" applyNumberFormat="0" applyFill="0" applyAlignment="0" applyProtection="0"/>
    <xf numFmtId="0" fontId="143" fillId="44" borderId="53" applyNumberFormat="0" applyAlignment="0" applyProtection="0"/>
    <xf numFmtId="0" fontId="124" fillId="0" borderId="0" applyNumberFormat="0" applyFill="0" applyBorder="0" applyAlignment="0" applyProtection="0"/>
    <xf numFmtId="0" fontId="63" fillId="0" borderId="55" applyNumberFormat="0" applyFill="0" applyAlignment="0" applyProtection="0"/>
    <xf numFmtId="0" fontId="144" fillId="46" borderId="0" applyNumberFormat="0" applyBorder="0" applyAlignment="0" applyProtection="0"/>
    <xf numFmtId="0" fontId="144" fillId="47" borderId="0" applyNumberFormat="0" applyBorder="0" applyAlignment="0" applyProtection="0"/>
    <xf numFmtId="0" fontId="144" fillId="48" borderId="0" applyNumberFormat="0" applyBorder="0" applyAlignment="0" applyProtection="0"/>
    <xf numFmtId="0" fontId="144" fillId="49" borderId="0" applyNumberFormat="0" applyBorder="0" applyAlignment="0" applyProtection="0"/>
    <xf numFmtId="0" fontId="144" fillId="50" borderId="0" applyNumberFormat="0" applyBorder="0" applyAlignment="0" applyProtection="0"/>
    <xf numFmtId="0" fontId="144" fillId="51" borderId="0" applyNumberFormat="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155" fillId="41" borderId="0" applyNumberFormat="0" applyBorder="0" applyAlignment="0" applyProtection="0"/>
    <xf numFmtId="0" fontId="57" fillId="45" borderId="54" applyNumberFormat="0" applyFont="0" applyAlignment="0" applyProtection="0"/>
    <xf numFmtId="40" fontId="148" fillId="0" borderId="17">
      <alignment horizontal="right"/>
    </xf>
    <xf numFmtId="0" fontId="149" fillId="0" borderId="0">
      <alignment horizontal="left"/>
    </xf>
    <xf numFmtId="49" fontId="19" fillId="0" borderId="0"/>
    <xf numFmtId="0" fontId="149" fillId="0" borderId="0">
      <alignment horizontal="left"/>
    </xf>
    <xf numFmtId="177" fontId="148" fillId="0" borderId="17">
      <alignment horizontal="right"/>
    </xf>
    <xf numFmtId="49" fontId="148" fillId="0" borderId="0">
      <alignment horizontal="right"/>
    </xf>
    <xf numFmtId="40" fontId="19" fillId="0" borderId="0">
      <alignment horizontal="right"/>
    </xf>
    <xf numFmtId="49" fontId="19" fillId="0" borderId="0">
      <alignment horizontal="left"/>
    </xf>
    <xf numFmtId="40" fontId="19" fillId="0" borderId="0"/>
    <xf numFmtId="49" fontId="19" fillId="0" borderId="0">
      <alignment horizontal="left"/>
    </xf>
    <xf numFmtId="177" fontId="19" fillId="0" borderId="0">
      <alignment horizontal="right"/>
    </xf>
    <xf numFmtId="49" fontId="19" fillId="0" borderId="0"/>
    <xf numFmtId="49" fontId="147" fillId="52" borderId="0">
      <alignment horizontal="right" vertical="center"/>
    </xf>
    <xf numFmtId="49" fontId="147" fillId="52" borderId="0">
      <alignment horizontal="left" vertical="center"/>
    </xf>
    <xf numFmtId="49" fontId="147" fillId="52" borderId="0">
      <alignment horizontal="center" vertical="center"/>
    </xf>
    <xf numFmtId="49" fontId="147" fillId="52" borderId="0">
      <alignment horizontal="center" vertical="center"/>
    </xf>
    <xf numFmtId="49" fontId="147" fillId="52" borderId="0">
      <alignment horizontal="right" vertical="center"/>
    </xf>
    <xf numFmtId="40" fontId="147" fillId="52" borderId="0">
      <alignment horizontal="right"/>
    </xf>
    <xf numFmtId="49" fontId="147" fillId="52" borderId="0">
      <alignment horizontal="center" vertical="center"/>
    </xf>
    <xf numFmtId="40" fontId="19" fillId="0" borderId="0"/>
    <xf numFmtId="0" fontId="19" fillId="0" borderId="0">
      <alignment horizontal="left"/>
    </xf>
    <xf numFmtId="49" fontId="19" fillId="0" borderId="0"/>
    <xf numFmtId="49" fontId="19" fillId="0" borderId="0">
      <alignment horizontal="center" vertical="center"/>
    </xf>
    <xf numFmtId="177" fontId="19" fillId="0" borderId="0">
      <alignment horizontal="right"/>
    </xf>
    <xf numFmtId="49" fontId="19" fillId="0" borderId="0"/>
    <xf numFmtId="49" fontId="147" fillId="52" borderId="0">
      <alignment horizontal="center" vertical="center"/>
    </xf>
    <xf numFmtId="49" fontId="147" fillId="52" borderId="0">
      <alignment horizontal="center" vertical="center"/>
    </xf>
    <xf numFmtId="177" fontId="147" fillId="52" borderId="0">
      <alignment horizontal="center" vertical="center"/>
    </xf>
    <xf numFmtId="49" fontId="147" fillId="52" borderId="0">
      <alignment horizontal="right"/>
    </xf>
    <xf numFmtId="40" fontId="148" fillId="0" borderId="19">
      <alignment horizontal="right"/>
    </xf>
    <xf numFmtId="0" fontId="149" fillId="0" borderId="0">
      <alignment horizontal="left"/>
    </xf>
    <xf numFmtId="49" fontId="19" fillId="0" borderId="0"/>
    <xf numFmtId="0" fontId="149" fillId="0" borderId="0">
      <alignment horizontal="left"/>
    </xf>
    <xf numFmtId="177" fontId="148" fillId="0" borderId="19">
      <alignment horizontal="right"/>
    </xf>
    <xf numFmtId="49" fontId="148" fillId="0" borderId="0">
      <alignment horizontal="right"/>
    </xf>
    <xf numFmtId="49" fontId="19" fillId="0" borderId="0"/>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9" fillId="0" borderId="0"/>
    <xf numFmtId="49" fontId="19" fillId="0" borderId="0"/>
    <xf numFmtId="49" fontId="19" fillId="0" borderId="0"/>
    <xf numFmtId="49" fontId="19" fillId="0" borderId="0"/>
    <xf numFmtId="49" fontId="19" fillId="0" borderId="0"/>
    <xf numFmtId="49" fontId="19" fillId="0" borderId="0"/>
    <xf numFmtId="0" fontId="148" fillId="53" borderId="0">
      <alignment horizontal="center" vertical="center"/>
    </xf>
    <xf numFmtId="49" fontId="19" fillId="53" borderId="0">
      <alignment horizontal="left" vertical="center"/>
    </xf>
    <xf numFmtId="49" fontId="148" fillId="53" borderId="0">
      <alignment horizontal="center" vertical="center"/>
    </xf>
    <xf numFmtId="0" fontId="148" fillId="54" borderId="0">
      <alignment horizontal="left"/>
    </xf>
    <xf numFmtId="49" fontId="19" fillId="0" borderId="0"/>
    <xf numFmtId="0" fontId="148" fillId="54" borderId="0">
      <alignment horizontal="left"/>
    </xf>
    <xf numFmtId="40" fontId="148" fillId="0" borderId="0">
      <alignment horizontal="right"/>
    </xf>
    <xf numFmtId="49" fontId="147" fillId="52" borderId="0"/>
    <xf numFmtId="49" fontId="147" fillId="52" borderId="0"/>
    <xf numFmtId="49" fontId="19" fillId="0" borderId="0"/>
    <xf numFmtId="0" fontId="150" fillId="55" borderId="0" applyFont="0" applyFill="0">
      <alignment horizontal="left" vertical="top" wrapText="1"/>
    </xf>
    <xf numFmtId="40" fontId="150" fillId="0" borderId="0"/>
    <xf numFmtId="40" fontId="150" fillId="0" borderId="0"/>
    <xf numFmtId="0" fontId="150" fillId="0" borderId="0">
      <alignment horizontal="left"/>
    </xf>
    <xf numFmtId="0" fontId="150" fillId="0" borderId="0">
      <alignment horizontal="center"/>
    </xf>
    <xf numFmtId="0" fontId="151" fillId="0" borderId="0">
      <alignment horizontal="center"/>
    </xf>
    <xf numFmtId="0" fontId="152" fillId="52" borderId="0">
      <alignment horizontal="left"/>
    </xf>
    <xf numFmtId="0" fontId="152" fillId="52" borderId="0">
      <alignment horizontal="left"/>
    </xf>
    <xf numFmtId="0" fontId="151" fillId="0" borderId="0">
      <alignment horizontal="center"/>
    </xf>
    <xf numFmtId="40" fontId="153" fillId="0" borderId="18"/>
    <xf numFmtId="40" fontId="153" fillId="0" borderId="18"/>
    <xf numFmtId="0" fontId="153" fillId="0" borderId="0"/>
    <xf numFmtId="0" fontId="153" fillId="0" borderId="0"/>
    <xf numFmtId="0" fontId="151" fillId="0" borderId="0">
      <alignment horizontal="center"/>
    </xf>
    <xf numFmtId="0" fontId="154" fillId="56" borderId="0">
      <alignment horizontal="left"/>
    </xf>
    <xf numFmtId="0" fontId="154" fillId="56" borderId="0">
      <alignment horizontal="left"/>
    </xf>
    <xf numFmtId="40" fontId="148" fillId="0" borderId="0">
      <alignment horizontal="right"/>
    </xf>
    <xf numFmtId="0" fontId="149" fillId="0" borderId="0">
      <alignment horizontal="left"/>
    </xf>
    <xf numFmtId="49" fontId="19" fillId="0" borderId="0"/>
    <xf numFmtId="0" fontId="149" fillId="0" borderId="0">
      <alignment horizontal="left"/>
    </xf>
    <xf numFmtId="177" fontId="148" fillId="0" borderId="0">
      <alignment horizontal="right"/>
    </xf>
    <xf numFmtId="49" fontId="148" fillId="0" borderId="0" applyBorder="0">
      <alignment horizontal="right"/>
    </xf>
    <xf numFmtId="0" fontId="19" fillId="0" borderId="0"/>
    <xf numFmtId="49" fontId="156" fillId="55" borderId="0">
      <alignment horizontal="left"/>
    </xf>
    <xf numFmtId="49" fontId="156" fillId="55" borderId="0">
      <alignment horizontal="left"/>
    </xf>
    <xf numFmtId="0" fontId="157" fillId="55" borderId="0">
      <alignment horizontal="left"/>
    </xf>
    <xf numFmtId="178" fontId="157" fillId="55" borderId="0">
      <alignment horizontal="left"/>
    </xf>
    <xf numFmtId="40" fontId="148" fillId="0" borderId="0">
      <alignment horizontal="right"/>
    </xf>
    <xf numFmtId="49" fontId="158" fillId="55" borderId="0">
      <alignment horizontal="left"/>
    </xf>
    <xf numFmtId="49" fontId="158" fillId="55" borderId="0">
      <alignment horizontal="left"/>
    </xf>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0" fontId="148" fillId="0" borderId="14">
      <alignment horizontal="right"/>
    </xf>
    <xf numFmtId="0" fontId="148" fillId="54" borderId="0">
      <alignment horizontal="left"/>
    </xf>
    <xf numFmtId="49" fontId="19" fillId="0" borderId="0"/>
    <xf numFmtId="0" fontId="148" fillId="54" borderId="0">
      <alignment horizontal="left"/>
    </xf>
    <xf numFmtId="177" fontId="148" fillId="0" borderId="14">
      <alignment horizontal="right"/>
    </xf>
    <xf numFmtId="49" fontId="148" fillId="0" borderId="0">
      <alignment horizontal="right"/>
    </xf>
    <xf numFmtId="0" fontId="153" fillId="0" borderId="0"/>
    <xf numFmtId="40" fontId="150" fillId="0" borderId="18"/>
    <xf numFmtId="40" fontId="150" fillId="0" borderId="18"/>
    <xf numFmtId="0" fontId="150" fillId="0" borderId="0"/>
    <xf numFmtId="0" fontId="150" fillId="0" borderId="0"/>
    <xf numFmtId="40" fontId="150" fillId="0" borderId="0"/>
    <xf numFmtId="179" fontId="150" fillId="0" borderId="0"/>
    <xf numFmtId="40" fontId="150" fillId="0" borderId="0"/>
    <xf numFmtId="0" fontId="150" fillId="0" borderId="0"/>
    <xf numFmtId="0" fontId="150" fillId="0" borderId="0"/>
    <xf numFmtId="40" fontId="148" fillId="0" borderId="18">
      <alignment horizontal="right"/>
    </xf>
    <xf numFmtId="49" fontId="148" fillId="0" borderId="0">
      <alignment horizontal="left"/>
    </xf>
    <xf numFmtId="49" fontId="19" fillId="0" borderId="0"/>
    <xf numFmtId="49" fontId="148" fillId="0" borderId="0">
      <alignment horizontal="left"/>
    </xf>
    <xf numFmtId="177" fontId="148" fillId="0" borderId="18">
      <alignment horizontal="right"/>
    </xf>
    <xf numFmtId="49" fontId="148" fillId="0" borderId="0">
      <alignment horizontal="right"/>
    </xf>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45" borderId="54" applyNumberFormat="0" applyFont="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31"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5" fillId="11"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8"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19" fillId="0" borderId="0"/>
    <xf numFmtId="0" fontId="31"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5" fillId="13"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5" fillId="7" borderId="0" applyNumberFormat="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31"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11"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9" fontId="58"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9" fontId="54"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5" fillId="20" borderId="0" applyFont="0" applyBorder="0" applyAlignment="0">
      <alignment horizontal="center" wrapText="1"/>
    </xf>
    <xf numFmtId="0" fontId="57" fillId="0" borderId="0"/>
    <xf numFmtId="43" fontId="1" fillId="0" borderId="0" applyFont="0" applyFill="0" applyBorder="0" applyAlignment="0" applyProtection="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27" fillId="0" borderId="0"/>
    <xf numFmtId="0" fontId="57" fillId="0" borderId="0"/>
    <xf numFmtId="0" fontId="57" fillId="0" borderId="0"/>
    <xf numFmtId="0" fontId="57" fillId="0" borderId="0"/>
    <xf numFmtId="0" fontId="27" fillId="0" borderId="0"/>
    <xf numFmtId="44"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31"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2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19" fillId="0" borderId="0"/>
    <xf numFmtId="43" fontId="57" fillId="0" borderId="0" applyFont="0" applyFill="0" applyBorder="0" applyAlignment="0" applyProtection="0"/>
    <xf numFmtId="0" fontId="15" fillId="7" borderId="0" applyNumberFormat="0" applyBorder="0" applyAlignment="0" applyProtection="0"/>
    <xf numFmtId="0" fontId="57" fillId="0" borderId="0"/>
    <xf numFmtId="0" fontId="15" fillId="11" borderId="0" applyNumberFormat="0" applyBorder="0" applyAlignment="0" applyProtection="0"/>
    <xf numFmtId="0" fontId="57" fillId="0" borderId="0"/>
    <xf numFmtId="0" fontId="27"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19" fillId="0" borderId="0"/>
    <xf numFmtId="0" fontId="19"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7" borderId="0" applyNumberFormat="0" applyBorder="0" applyAlignment="0" applyProtection="0"/>
    <xf numFmtId="0" fontId="19" fillId="0" borderId="0"/>
    <xf numFmtId="0" fontId="62" fillId="20" borderId="0" applyFont="0" applyBorder="0" applyAlignment="0">
      <alignment horizontal="center" wrapText="1"/>
    </xf>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0" fontId="31" fillId="0" borderId="0"/>
    <xf numFmtId="0" fontId="27" fillId="0" borderId="0"/>
    <xf numFmtId="0" fontId="19" fillId="0" borderId="0"/>
    <xf numFmtId="0" fontId="19"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19" fillId="0" borderId="0"/>
    <xf numFmtId="0" fontId="5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43" fontId="1"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27" fillId="0" borderId="0"/>
    <xf numFmtId="0" fontId="31" fillId="0" borderId="0"/>
    <xf numFmtId="44" fontId="58" fillId="0" borderId="0" applyFont="0" applyFill="0" applyBorder="0" applyAlignment="0" applyProtection="0"/>
    <xf numFmtId="43" fontId="57" fillId="0" borderId="0" applyFont="0" applyFill="0" applyBorder="0" applyAlignment="0" applyProtection="0"/>
    <xf numFmtId="0" fontId="27" fillId="0" borderId="0"/>
    <xf numFmtId="0" fontId="19"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0" fontId="31" fillId="0" borderId="0"/>
    <xf numFmtId="0" fontId="19" fillId="0" borderId="0"/>
    <xf numFmtId="43" fontId="1"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27" fillId="0" borderId="0"/>
    <xf numFmtId="0" fontId="19" fillId="0" borderId="0"/>
    <xf numFmtId="0" fontId="57" fillId="0" borderId="0"/>
    <xf numFmtId="0" fontId="55" fillId="20" borderId="0" applyFont="0" applyBorder="0" applyAlignment="0">
      <alignment horizontal="center" wrapText="1"/>
    </xf>
    <xf numFmtId="0" fontId="57" fillId="0" borderId="0"/>
    <xf numFmtId="0" fontId="57"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19" fillId="0" borderId="0"/>
    <xf numFmtId="44" fontId="1"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31"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57" fillId="0" borderId="0"/>
    <xf numFmtId="0" fontId="27" fillId="0" borderId="0"/>
    <xf numFmtId="0" fontId="19"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19"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31"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19" fillId="0" borderId="0"/>
    <xf numFmtId="0" fontId="19" fillId="0" borderId="0"/>
    <xf numFmtId="0" fontId="27" fillId="0" borderId="0"/>
    <xf numFmtId="0" fontId="19" fillId="0" borderId="0"/>
    <xf numFmtId="0" fontId="19" fillId="0" borderId="0"/>
    <xf numFmtId="0" fontId="31"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31"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9"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45" borderId="54" applyNumberFormat="0" applyFont="0" applyAlignment="0" applyProtection="0"/>
    <xf numFmtId="0" fontId="159" fillId="0" borderId="0" applyNumberFormat="0" applyFill="0" applyBorder="0" applyAlignment="0" applyProtection="0"/>
    <xf numFmtId="0" fontId="57" fillId="57" borderId="0" applyNumberFormat="0" applyBorder="0" applyAlignment="0" applyProtection="0"/>
    <xf numFmtId="0" fontId="57" fillId="58" borderId="0" applyNumberFormat="0" applyBorder="0" applyAlignment="0" applyProtection="0"/>
    <xf numFmtId="0" fontId="57" fillId="60" borderId="0" applyNumberFormat="0" applyBorder="0" applyAlignment="0" applyProtection="0"/>
    <xf numFmtId="0" fontId="57" fillId="61" borderId="0" applyNumberFormat="0" applyBorder="0" applyAlignment="0" applyProtection="0"/>
    <xf numFmtId="0" fontId="57" fillId="63" borderId="0" applyNumberFormat="0" applyBorder="0" applyAlignment="0" applyProtection="0"/>
    <xf numFmtId="0" fontId="57" fillId="64" borderId="0" applyNumberFormat="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69" borderId="0" applyNumberFormat="0" applyBorder="0" applyAlignment="0" applyProtection="0"/>
    <xf numFmtId="0" fontId="57" fillId="70" borderId="0" applyNumberFormat="0" applyBorder="0" applyAlignment="0" applyProtection="0"/>
    <xf numFmtId="0" fontId="57" fillId="72" borderId="0" applyNumberFormat="0" applyBorder="0" applyAlignment="0" applyProtection="0"/>
    <xf numFmtId="0" fontId="57" fillId="73" borderId="0" applyNumberFormat="0" applyBorder="0" applyAlignment="0" applyProtection="0"/>
    <xf numFmtId="0" fontId="58" fillId="57" borderId="0" applyNumberFormat="0" applyBorder="0" applyAlignment="0" applyProtection="0"/>
    <xf numFmtId="0" fontId="58" fillId="60" borderId="0" applyNumberFormat="0" applyBorder="0" applyAlignment="0" applyProtection="0"/>
    <xf numFmtId="0" fontId="58" fillId="63" borderId="0" applyNumberFormat="0" applyBorder="0" applyAlignment="0" applyProtection="0"/>
    <xf numFmtId="0" fontId="58" fillId="66" borderId="0" applyNumberFormat="0" applyBorder="0" applyAlignment="0" applyProtection="0"/>
    <xf numFmtId="0" fontId="58" fillId="69" borderId="0" applyNumberFormat="0" applyBorder="0" applyAlignment="0" applyProtection="0"/>
    <xf numFmtId="0" fontId="58" fillId="72" borderId="0" applyNumberFormat="0" applyBorder="0" applyAlignment="0" applyProtection="0"/>
    <xf numFmtId="0" fontId="58" fillId="58" borderId="0" applyNumberFormat="0" applyBorder="0" applyAlignment="0" applyProtection="0"/>
    <xf numFmtId="0" fontId="58" fillId="61" borderId="0" applyNumberFormat="0" applyBorder="0" applyAlignment="0" applyProtection="0"/>
    <xf numFmtId="0" fontId="58" fillId="64" borderId="0" applyNumberFormat="0" applyBorder="0" applyAlignment="0" applyProtection="0"/>
    <xf numFmtId="0" fontId="58" fillId="67" borderId="0" applyNumberFormat="0" applyBorder="0" applyAlignment="0" applyProtection="0"/>
    <xf numFmtId="0" fontId="58" fillId="70" borderId="0" applyNumberFormat="0" applyBorder="0" applyAlignment="0" applyProtection="0"/>
    <xf numFmtId="0" fontId="58" fillId="73" borderId="0" applyNumberFormat="0" applyBorder="0" applyAlignment="0" applyProtection="0"/>
    <xf numFmtId="0" fontId="144" fillId="59" borderId="0" applyNumberFormat="0" applyBorder="0" applyAlignment="0" applyProtection="0"/>
    <xf numFmtId="0" fontId="160" fillId="59" borderId="0" applyNumberFormat="0" applyBorder="0" applyAlignment="0" applyProtection="0"/>
    <xf numFmtId="0" fontId="144" fillId="62" borderId="0" applyNumberFormat="0" applyBorder="0" applyAlignment="0" applyProtection="0"/>
    <xf numFmtId="0" fontId="160" fillId="62" borderId="0" applyNumberFormat="0" applyBorder="0" applyAlignment="0" applyProtection="0"/>
    <xf numFmtId="0" fontId="144" fillId="65" borderId="0" applyNumberFormat="0" applyBorder="0" applyAlignment="0" applyProtection="0"/>
    <xf numFmtId="0" fontId="160" fillId="65" borderId="0" applyNumberFormat="0" applyBorder="0" applyAlignment="0" applyProtection="0"/>
    <xf numFmtId="0" fontId="144" fillId="68" borderId="0" applyNumberFormat="0" applyBorder="0" applyAlignment="0" applyProtection="0"/>
    <xf numFmtId="0" fontId="160" fillId="68" borderId="0" applyNumberFormat="0" applyBorder="0" applyAlignment="0" applyProtection="0"/>
    <xf numFmtId="0" fontId="144" fillId="71" borderId="0" applyNumberFormat="0" applyBorder="0" applyAlignment="0" applyProtection="0"/>
    <xf numFmtId="0" fontId="160" fillId="71" borderId="0" applyNumberFormat="0" applyBorder="0" applyAlignment="0" applyProtection="0"/>
    <xf numFmtId="0" fontId="144" fillId="74" borderId="0" applyNumberFormat="0" applyBorder="0" applyAlignment="0" applyProtection="0"/>
    <xf numFmtId="0" fontId="160" fillId="74"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8" borderId="0" applyNumberFormat="0" applyBorder="0" applyAlignment="0" applyProtection="0"/>
    <xf numFmtId="0" fontId="160" fillId="48"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40" borderId="0" applyNumberFormat="0" applyBorder="0" applyAlignment="0" applyProtection="0"/>
    <xf numFmtId="0" fontId="162" fillId="43" borderId="50" applyNumberFormat="0" applyAlignment="0" applyProtection="0"/>
    <xf numFmtId="0" fontId="163" fillId="44" borderId="5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7"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64" fillId="0" borderId="0" applyNumberFormat="0" applyFill="0" applyBorder="0" applyAlignment="0" applyProtection="0"/>
    <xf numFmtId="0" fontId="165" fillId="39" borderId="0" applyNumberFormat="0" applyBorder="0" applyAlignment="0" applyProtection="0"/>
    <xf numFmtId="0" fontId="166" fillId="0" borderId="47" applyNumberFormat="0" applyFill="0" applyAlignment="0" applyProtection="0"/>
    <xf numFmtId="0" fontId="167" fillId="0" borderId="48" applyNumberFormat="0" applyFill="0" applyAlignment="0" applyProtection="0"/>
    <xf numFmtId="0" fontId="23" fillId="0" borderId="58" applyNumberFormat="0" applyFill="0" applyAlignment="0" applyProtection="0"/>
    <xf numFmtId="0" fontId="23" fillId="0" borderId="58" applyNumberFormat="0" applyFill="0" applyAlignment="0" applyProtection="0"/>
    <xf numFmtId="0" fontId="168" fillId="0" borderId="49" applyNumberFormat="0" applyFill="0" applyAlignment="0" applyProtection="0"/>
    <xf numFmtId="0" fontId="168" fillId="0" borderId="0" applyNumberFormat="0" applyFill="0" applyBorder="0" applyAlignment="0" applyProtection="0"/>
    <xf numFmtId="0" fontId="169" fillId="42" borderId="50" applyNumberFormat="0" applyAlignment="0" applyProtection="0"/>
    <xf numFmtId="0" fontId="170" fillId="0" borderId="52" applyNumberFormat="0" applyFill="0" applyAlignment="0" applyProtection="0"/>
    <xf numFmtId="0" fontId="171" fillId="41" borderId="0" applyNumberFormat="0" applyBorder="0" applyAlignment="0" applyProtection="0"/>
    <xf numFmtId="0" fontId="11" fillId="0" borderId="0"/>
    <xf numFmtId="0" fontId="58" fillId="0" borderId="0"/>
    <xf numFmtId="0" fontId="58" fillId="0" borderId="0"/>
    <xf numFmtId="0" fontId="58" fillId="0" borderId="0"/>
    <xf numFmtId="0" fontId="58" fillId="0" borderId="0"/>
    <xf numFmtId="0" fontId="11" fillId="0" borderId="0"/>
    <xf numFmtId="0" fontId="11" fillId="0" borderId="0"/>
    <xf numFmtId="0" fontId="19" fillId="0" borderId="0"/>
    <xf numFmtId="0" fontId="27" fillId="0" borderId="0"/>
    <xf numFmtId="0" fontId="19" fillId="0" borderId="0"/>
    <xf numFmtId="0" fontId="58" fillId="0" borderId="0"/>
    <xf numFmtId="0" fontId="57" fillId="0" borderId="0"/>
    <xf numFmtId="0" fontId="19" fillId="0" borderId="0"/>
    <xf numFmtId="0" fontId="57" fillId="0" borderId="0"/>
    <xf numFmtId="0" fontId="19" fillId="0" borderId="0"/>
    <xf numFmtId="0" fontId="19" fillId="0" borderId="0"/>
    <xf numFmtId="0" fontId="19" fillId="0" borderId="0"/>
    <xf numFmtId="0" fontId="19" fillId="0" borderId="0"/>
    <xf numFmtId="0" fontId="19" fillId="0" borderId="0"/>
    <xf numFmtId="0" fontId="58" fillId="45" borderId="54" applyNumberFormat="0" applyFont="0" applyAlignment="0" applyProtection="0"/>
    <xf numFmtId="0" fontId="172" fillId="43" borderId="51" applyNumberFormat="0" applyAlignment="0" applyProtection="0"/>
    <xf numFmtId="9" fontId="11" fillId="0" borderId="0" applyFont="0" applyFill="0" applyBorder="0" applyAlignment="0" applyProtection="0"/>
    <xf numFmtId="0" fontId="173" fillId="0" borderId="0" applyNumberFormat="0" applyFill="0" applyBorder="0" applyAlignment="0" applyProtection="0"/>
    <xf numFmtId="0" fontId="174" fillId="0" borderId="55" applyNumberFormat="0" applyFill="0" applyAlignment="0" applyProtection="0"/>
    <xf numFmtId="0" fontId="175" fillId="0" borderId="0" applyNumberFormat="0" applyFill="0" applyBorder="0" applyAlignment="0" applyProtection="0"/>
    <xf numFmtId="0" fontId="184" fillId="0" borderId="0"/>
    <xf numFmtId="43" fontId="185" fillId="0" borderId="0" applyFont="0" applyFill="0" applyBorder="0" applyAlignment="0" applyProtection="0"/>
    <xf numFmtId="0" fontId="185"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1" fillId="0" borderId="0"/>
    <xf numFmtId="0" fontId="186" fillId="0" borderId="0" applyNumberFormat="0" applyFill="0" applyBorder="0" applyAlignment="0" applyProtection="0">
      <alignment vertical="top"/>
      <protection locked="0"/>
    </xf>
    <xf numFmtId="0" fontId="187" fillId="0" borderId="0" applyNumberFormat="0" applyFill="0" applyBorder="0" applyAlignment="0" applyProtection="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57" fillId="0" borderId="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31" fillId="0" borderId="0"/>
    <xf numFmtId="0" fontId="19" fillId="0" borderId="0"/>
    <xf numFmtId="0" fontId="27" fillId="0" borderId="0"/>
    <xf numFmtId="43" fontId="11" fillId="0" borderId="0" applyFont="0" applyFill="0" applyBorder="0" applyAlignment="0" applyProtection="0"/>
    <xf numFmtId="43" fontId="1" fillId="0" borderId="0" applyFont="0" applyFill="0" applyBorder="0" applyAlignment="0" applyProtection="0"/>
    <xf numFmtId="0" fontId="58" fillId="0" borderId="0"/>
    <xf numFmtId="0" fontId="19" fillId="0" borderId="0"/>
    <xf numFmtId="0" fontId="19" fillId="0" borderId="0"/>
    <xf numFmtId="0" fontId="57" fillId="0" borderId="0"/>
    <xf numFmtId="0" fontId="19" fillId="0" borderId="0"/>
    <xf numFmtId="0" fontId="27" fillId="0" borderId="0"/>
    <xf numFmtId="0" fontId="31" fillId="0" borderId="0"/>
    <xf numFmtId="0" fontId="19" fillId="0" borderId="0"/>
    <xf numFmtId="0" fontId="19" fillId="0" borderId="0"/>
    <xf numFmtId="0" fontId="27" fillId="0" borderId="0"/>
    <xf numFmtId="0" fontId="185" fillId="0" borderId="0"/>
    <xf numFmtId="0" fontId="19" fillId="0" borderId="0"/>
    <xf numFmtId="0" fontId="185"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43" fontId="57" fillId="0" borderId="0" applyFon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9" fontId="57" fillId="0" borderId="0" applyFont="0" applyFill="0" applyBorder="0" applyAlignment="0" applyProtection="0"/>
    <xf numFmtId="0" fontId="27" fillId="0" borderId="0"/>
    <xf numFmtId="0" fontId="31" fillId="0" borderId="0"/>
    <xf numFmtId="0" fontId="57" fillId="0" borderId="0"/>
    <xf numFmtId="43" fontId="57" fillId="0" borderId="0" applyFont="0" applyFill="0" applyBorder="0" applyAlignment="0" applyProtection="0"/>
    <xf numFmtId="0" fontId="27" fillId="0" borderId="0"/>
    <xf numFmtId="0" fontId="31" fillId="0" borderId="0"/>
    <xf numFmtId="43" fontId="57" fillId="0" borderId="0" applyFont="0" applyFill="0" applyBorder="0" applyAlignment="0" applyProtection="0"/>
    <xf numFmtId="44"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9"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1"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8" fillId="0" borderId="0" applyFont="0" applyFill="0" applyBorder="0" applyAlignment="0" applyProtection="0"/>
    <xf numFmtId="43" fontId="58" fillId="0" borderId="0" applyFont="0" applyFill="0" applyBorder="0" applyAlignment="0" applyProtection="0"/>
    <xf numFmtId="0" fontId="27" fillId="0" borderId="0"/>
    <xf numFmtId="43"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0" fontId="31"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0" fontId="19" fillId="0" borderId="0"/>
    <xf numFmtId="0" fontId="27" fillId="0" borderId="0"/>
    <xf numFmtId="0" fontId="2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19" fillId="5" borderId="7" applyNumberFormat="0" applyFont="0" applyAlignment="0" applyProtection="0"/>
  </cellStyleXfs>
  <cellXfs count="986">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64" fillId="21" borderId="10" xfId="0" applyFont="1" applyFill="1" applyBorder="1" applyAlignment="1" applyProtection="1">
      <alignment horizontal="center" wrapText="1"/>
    </xf>
    <xf numFmtId="164" fontId="63" fillId="0" borderId="0" xfId="439" applyNumberFormat="1" applyFont="1" applyFill="1" applyAlignment="1" applyProtection="1">
      <alignment horizontal="center" wrapText="1"/>
    </xf>
    <xf numFmtId="41" fontId="65" fillId="0" borderId="0" xfId="0" applyNumberFormat="1" applyFont="1" applyFill="1" applyAlignment="1" applyProtection="1">
      <alignment wrapText="1"/>
    </xf>
    <xf numFmtId="41" fontId="65" fillId="0" borderId="0" xfId="0" applyNumberFormat="1" applyFont="1" applyAlignment="1" applyProtection="1">
      <alignment wrapText="1"/>
    </xf>
    <xf numFmtId="164" fontId="63" fillId="22" borderId="0" xfId="439" applyNumberFormat="1" applyFont="1" applyFill="1" applyAlignment="1" applyProtection="1">
      <alignment horizontal="center" wrapText="1"/>
    </xf>
    <xf numFmtId="41" fontId="65" fillId="21" borderId="11" xfId="0" applyNumberFormat="1" applyFont="1" applyFill="1" applyBorder="1" applyAlignment="1" applyProtection="1">
      <alignment wrapText="1"/>
    </xf>
    <xf numFmtId="41" fontId="65"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67" fillId="0" borderId="0" xfId="0" applyFont="1" applyProtection="1"/>
    <xf numFmtId="0" fontId="0" fillId="0" borderId="0" xfId="0" applyAlignment="1" applyProtection="1">
      <protection locked="0"/>
    </xf>
    <xf numFmtId="0" fontId="62" fillId="0" borderId="0" xfId="0" applyFont="1" applyFill="1" applyBorder="1" applyAlignment="1" applyProtection="1">
      <alignment horizontal="center"/>
    </xf>
    <xf numFmtId="0" fontId="0" fillId="0" borderId="0" xfId="0" applyFill="1" applyAlignment="1" applyProtection="1">
      <alignment wrapText="1"/>
      <protection locked="0"/>
    </xf>
    <xf numFmtId="0" fontId="68" fillId="21" borderId="10" xfId="0" applyFont="1" applyFill="1" applyBorder="1" applyAlignment="1" applyProtection="1">
      <alignment horizontal="center" vertical="center" wrapText="1"/>
    </xf>
    <xf numFmtId="0" fontId="68" fillId="0" borderId="0" xfId="0" applyFont="1" applyAlignment="1" applyProtection="1">
      <alignment horizontal="center" vertical="center"/>
    </xf>
    <xf numFmtId="0" fontId="68" fillId="21" borderId="13" xfId="0" applyFont="1" applyFill="1" applyBorder="1" applyAlignment="1" applyProtection="1">
      <alignment horizontal="left" vertical="center"/>
    </xf>
    <xf numFmtId="0" fontId="0" fillId="0" borderId="0" xfId="0" applyNumberFormat="1" applyFill="1" applyAlignment="1" applyProtection="1">
      <alignment horizontal="left" vertical="center" wrapText="1" indent="6"/>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0" fillId="0" borderId="0" xfId="0" applyAlignment="1" applyProtection="1">
      <alignment vertical="center"/>
    </xf>
    <xf numFmtId="0" fontId="70" fillId="21" borderId="0" xfId="0" applyFont="1" applyFill="1" applyBorder="1" applyProtection="1"/>
    <xf numFmtId="0" fontId="68" fillId="21" borderId="15" xfId="0" applyFont="1" applyFill="1" applyBorder="1" applyAlignment="1" applyProtection="1">
      <alignment horizontal="left" vertical="center"/>
    </xf>
    <xf numFmtId="0" fontId="71" fillId="0" borderId="0" xfId="0" applyFont="1" applyFill="1" applyBorder="1" applyAlignment="1" applyProtection="1">
      <alignment horizontal="left" vertical="center"/>
    </xf>
    <xf numFmtId="0" fontId="0" fillId="0" borderId="0" xfId="0" applyAlignment="1" applyProtection="1">
      <alignment vertical="center"/>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72" fillId="0" borderId="0" xfId="0" applyFont="1" applyAlignment="1" applyProtection="1">
      <alignment horizontal="right"/>
    </xf>
    <xf numFmtId="0" fontId="68" fillId="21" borderId="0" xfId="0" applyFont="1" applyFill="1" applyBorder="1" applyAlignment="1" applyProtection="1">
      <alignment horizontal="center" vertical="center" wrapText="1"/>
    </xf>
    <xf numFmtId="0" fontId="64" fillId="21" borderId="0" xfId="0" applyFont="1" applyFill="1" applyBorder="1" applyAlignment="1" applyProtection="1">
      <alignment horizontal="center" wrapText="1"/>
    </xf>
    <xf numFmtId="0" fontId="59" fillId="0" borderId="0" xfId="611" applyAlignment="1">
      <alignment vertical="center"/>
    </xf>
    <xf numFmtId="0" fontId="73" fillId="0" borderId="0" xfId="0" applyFont="1" applyAlignment="1">
      <alignment vertical="center"/>
    </xf>
    <xf numFmtId="0" fontId="0" fillId="23" borderId="0" xfId="0" applyFill="1" applyProtection="1"/>
    <xf numFmtId="40" fontId="74" fillId="21" borderId="16" xfId="0" applyNumberFormat="1" applyFont="1" applyFill="1" applyBorder="1" applyProtection="1"/>
    <xf numFmtId="0" fontId="71" fillId="0" borderId="0" xfId="0" applyFont="1" applyFill="1" applyAlignment="1" applyProtection="1">
      <alignment horizontal="center" vertical="center"/>
    </xf>
    <xf numFmtId="0" fontId="75" fillId="22" borderId="0" xfId="0" applyFont="1" applyFill="1" applyAlignment="1" applyProtection="1">
      <alignment horizontal="left" vertical="center"/>
    </xf>
    <xf numFmtId="0" fontId="76" fillId="24" borderId="10" xfId="0" applyFont="1" applyFill="1" applyBorder="1" applyAlignment="1" applyProtection="1">
      <alignment horizontal="center" wrapText="1"/>
    </xf>
    <xf numFmtId="0" fontId="65" fillId="0" borderId="0" xfId="0" applyFont="1" applyAlignment="1" applyProtection="1">
      <alignment horizontal="left" wrapText="1"/>
    </xf>
    <xf numFmtId="0" fontId="65" fillId="0" borderId="0" xfId="0" applyFont="1" applyAlignment="1" applyProtection="1">
      <alignment horizontal="left" vertical="center" wrapText="1"/>
    </xf>
    <xf numFmtId="0" fontId="65" fillId="24" borderId="0" xfId="0" applyFont="1" applyFill="1" applyBorder="1" applyAlignment="1" applyProtection="1">
      <alignment horizontal="left" wrapText="1"/>
    </xf>
    <xf numFmtId="0" fontId="63" fillId="0" borderId="0" xfId="0" applyFont="1" applyAlignment="1" applyProtection="1">
      <alignment horizontal="center"/>
    </xf>
    <xf numFmtId="0" fontId="77" fillId="21" borderId="10" xfId="0" applyFont="1" applyFill="1" applyBorder="1" applyAlignment="1" applyProtection="1">
      <alignment horizontal="center" wrapText="1"/>
    </xf>
    <xf numFmtId="164" fontId="69" fillId="22" borderId="0" xfId="439" applyNumberFormat="1" applyFont="1" applyFill="1" applyProtection="1"/>
    <xf numFmtId="0" fontId="78" fillId="22" borderId="0" xfId="0" applyFont="1" applyFill="1" applyAlignment="1" applyProtection="1">
      <alignment vertical="center"/>
    </xf>
    <xf numFmtId="0" fontId="79" fillId="22" borderId="0" xfId="0" applyFont="1" applyFill="1" applyAlignment="1" applyProtection="1">
      <alignment vertical="center"/>
    </xf>
    <xf numFmtId="0" fontId="80" fillId="0" borderId="0" xfId="0" applyFont="1" applyFill="1" applyAlignment="1" applyProtection="1">
      <alignment horizontal="center" vertical="center" wrapText="1"/>
    </xf>
    <xf numFmtId="167" fontId="63" fillId="23" borderId="0" xfId="545" applyNumberFormat="1" applyFont="1" applyFill="1" applyProtection="1"/>
    <xf numFmtId="0" fontId="8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82" fillId="25" borderId="0" xfId="0" applyFont="1" applyFill="1" applyAlignment="1" applyProtection="1">
      <alignment horizontal="center" wrapText="1"/>
    </xf>
    <xf numFmtId="0" fontId="83" fillId="21" borderId="10" xfId="0" applyFont="1" applyFill="1" applyBorder="1" applyAlignment="1" applyProtection="1">
      <alignment horizontal="center" wrapText="1"/>
    </xf>
    <xf numFmtId="0" fontId="83" fillId="21" borderId="0" xfId="0" applyFont="1" applyFill="1" applyBorder="1" applyAlignment="1" applyProtection="1">
      <alignment horizontal="center" wrapText="1"/>
    </xf>
    <xf numFmtId="0" fontId="84" fillId="0" borderId="0" xfId="0" applyFont="1" applyBorder="1" applyAlignment="1" applyProtection="1">
      <alignment wrapText="1"/>
    </xf>
    <xf numFmtId="0" fontId="0" fillId="0" borderId="0" xfId="0" applyFont="1" applyAlignment="1" applyProtection="1">
      <alignment wrapText="1"/>
      <protection locked="0"/>
    </xf>
    <xf numFmtId="0" fontId="0" fillId="0" borderId="0" xfId="0" applyFont="1" applyFill="1" applyProtection="1"/>
    <xf numFmtId="0" fontId="85" fillId="0" borderId="0" xfId="0" applyFont="1" applyAlignment="1" applyProtection="1">
      <alignment horizontal="center" vertical="center" wrapText="1"/>
    </xf>
    <xf numFmtId="0" fontId="29" fillId="0" borderId="0" xfId="0" applyFont="1" applyFill="1" applyAlignment="1" applyProtection="1">
      <alignment horizontal="center" vertical="center" wrapText="1"/>
    </xf>
    <xf numFmtId="0" fontId="85" fillId="0" borderId="0" xfId="0" applyFont="1" applyAlignment="1" applyProtection="1">
      <alignment horizontal="center" vertical="center"/>
    </xf>
    <xf numFmtId="0" fontId="0" fillId="0" borderId="0" xfId="0" applyAlignment="1" applyProtection="1">
      <alignment wrapText="1"/>
      <protection locked="0"/>
    </xf>
    <xf numFmtId="0" fontId="0" fillId="0" borderId="0" xfId="0"/>
    <xf numFmtId="0" fontId="0" fillId="0" borderId="0" xfId="0" applyProtection="1"/>
    <xf numFmtId="41" fontId="66" fillId="0" borderId="0" xfId="0" applyNumberFormat="1" applyFont="1" applyFill="1" applyAlignment="1" applyProtection="1">
      <alignment wrapText="1"/>
    </xf>
    <xf numFmtId="0" fontId="58" fillId="0" borderId="0" xfId="682"/>
    <xf numFmtId="0" fontId="86" fillId="26" borderId="0" xfId="682" applyFont="1" applyFill="1"/>
    <xf numFmtId="0" fontId="58" fillId="26" borderId="0" xfId="682" applyFill="1"/>
    <xf numFmtId="0" fontId="87" fillId="26" borderId="0" xfId="682" applyFont="1" applyFill="1"/>
    <xf numFmtId="0" fontId="87" fillId="0" borderId="0" xfId="682" applyFont="1" applyFill="1"/>
    <xf numFmtId="0" fontId="88" fillId="0" borderId="0" xfId="682" applyFont="1"/>
    <xf numFmtId="0" fontId="88" fillId="0" borderId="0" xfId="682" applyFont="1" applyAlignment="1">
      <alignment vertical="center"/>
    </xf>
    <xf numFmtId="0" fontId="89" fillId="0" borderId="17" xfId="682" applyFont="1" applyBorder="1" applyAlignment="1">
      <alignment horizontal="center"/>
    </xf>
    <xf numFmtId="0" fontId="89" fillId="0" borderId="14" xfId="682" applyFont="1" applyBorder="1" applyAlignment="1">
      <alignment horizontal="center" vertical="center" wrapText="1"/>
    </xf>
    <xf numFmtId="0" fontId="90" fillId="0" borderId="0" xfId="682" applyFont="1"/>
    <xf numFmtId="0" fontId="91" fillId="0" borderId="0" xfId="682" applyFont="1"/>
    <xf numFmtId="167" fontId="30" fillId="26" borderId="0" xfId="546" applyNumberFormat="1" applyFont="1" applyFill="1"/>
    <xf numFmtId="167" fontId="91" fillId="0" borderId="0" xfId="546" applyNumberFormat="1" applyFont="1"/>
    <xf numFmtId="38" fontId="30" fillId="26" borderId="0" xfId="682" applyNumberFormat="1" applyFont="1" applyFill="1"/>
    <xf numFmtId="38" fontId="91" fillId="0" borderId="0" xfId="682" applyNumberFormat="1" applyFont="1"/>
    <xf numFmtId="38" fontId="91" fillId="26" borderId="0" xfId="682" applyNumberFormat="1" applyFont="1" applyFill="1"/>
    <xf numFmtId="38" fontId="91" fillId="26" borderId="17" xfId="449" applyNumberFormat="1" applyFont="1" applyFill="1" applyBorder="1"/>
    <xf numFmtId="38" fontId="91" fillId="0" borderId="0" xfId="449" applyNumberFormat="1" applyFont="1"/>
    <xf numFmtId="0" fontId="92" fillId="0" borderId="0" xfId="682" applyFont="1"/>
    <xf numFmtId="0" fontId="89" fillId="27" borderId="0" xfId="682" applyFont="1" applyFill="1"/>
    <xf numFmtId="0" fontId="58" fillId="27" borderId="0" xfId="682" applyFill="1"/>
    <xf numFmtId="0" fontId="91" fillId="27" borderId="0" xfId="682" applyFont="1" applyFill="1"/>
    <xf numFmtId="167" fontId="89" fillId="27" borderId="0" xfId="546" applyNumberFormat="1" applyFont="1" applyFill="1"/>
    <xf numFmtId="167" fontId="91" fillId="27" borderId="0" xfId="546" applyNumberFormat="1" applyFont="1" applyFill="1"/>
    <xf numFmtId="164" fontId="91" fillId="26" borderId="17" xfId="449" applyNumberFormat="1" applyFont="1" applyFill="1" applyBorder="1"/>
    <xf numFmtId="164" fontId="91" fillId="0" borderId="0" xfId="449" applyNumberFormat="1" applyFont="1"/>
    <xf numFmtId="0" fontId="90" fillId="0" borderId="0" xfId="682" applyFont="1" applyAlignment="1">
      <alignment vertical="center"/>
    </xf>
    <xf numFmtId="0" fontId="93" fillId="0" borderId="0" xfId="682" applyFont="1"/>
    <xf numFmtId="38" fontId="91" fillId="26" borderId="0" xfId="449" applyNumberFormat="1" applyFont="1" applyFill="1"/>
    <xf numFmtId="167" fontId="89" fillId="27" borderId="18" xfId="546" applyNumberFormat="1" applyFont="1" applyFill="1" applyBorder="1"/>
    <xf numFmtId="167" fontId="91" fillId="26" borderId="19" xfId="546" applyNumberFormat="1" applyFont="1" applyFill="1" applyBorder="1"/>
    <xf numFmtId="0" fontId="89" fillId="0" borderId="0" xfId="682" applyFont="1"/>
    <xf numFmtId="167" fontId="89" fillId="0" borderId="20" xfId="546" applyNumberFormat="1" applyFont="1" applyBorder="1"/>
    <xf numFmtId="0" fontId="89" fillId="0" borderId="0" xfId="682" applyFont="1" applyAlignment="1">
      <alignment horizontal="center"/>
    </xf>
    <xf numFmtId="167" fontId="30" fillId="0" borderId="0" xfId="546" applyNumberFormat="1" applyFont="1" applyFill="1"/>
    <xf numFmtId="38" fontId="30" fillId="0" borderId="0" xfId="449" applyNumberFormat="1" applyFont="1" applyFill="1"/>
    <xf numFmtId="38" fontId="30" fillId="0" borderId="17" xfId="449" applyNumberFormat="1" applyFont="1" applyFill="1" applyBorder="1"/>
    <xf numFmtId="167" fontId="91" fillId="0" borderId="19" xfId="546" applyNumberFormat="1" applyFont="1" applyBorder="1"/>
    <xf numFmtId="0" fontId="63" fillId="0" borderId="0" xfId="682" applyFont="1"/>
    <xf numFmtId="10" fontId="89" fillId="0" borderId="19" xfId="682" applyNumberFormat="1" applyFont="1" applyBorder="1"/>
    <xf numFmtId="164" fontId="57" fillId="0" borderId="0" xfId="439" applyNumberFormat="1" applyFont="1"/>
    <xf numFmtId="40" fontId="94" fillId="0" borderId="0" xfId="0" applyNumberFormat="1" applyFont="1"/>
    <xf numFmtId="0" fontId="83" fillId="0" borderId="0" xfId="0" applyFont="1"/>
    <xf numFmtId="2" fontId="0" fillId="0" borderId="0" xfId="0" applyNumberFormat="1"/>
    <xf numFmtId="38" fontId="30" fillId="26" borderId="0" xfId="0" applyNumberFormat="1" applyFont="1" applyFill="1"/>
    <xf numFmtId="38" fontId="30" fillId="26" borderId="17" xfId="0" applyNumberFormat="1" applyFont="1" applyFill="1" applyBorder="1"/>
    <xf numFmtId="0" fontId="83" fillId="0" borderId="0" xfId="0" applyFont="1" applyAlignment="1" applyProtection="1">
      <alignment wrapText="1"/>
      <protection locked="0"/>
    </xf>
    <xf numFmtId="0" fontId="77" fillId="21" borderId="0" xfId="0" applyFont="1" applyFill="1" applyBorder="1" applyAlignment="1" applyProtection="1">
      <alignment horizontal="center"/>
    </xf>
    <xf numFmtId="0" fontId="58" fillId="0" borderId="0" xfId="682"/>
    <xf numFmtId="0" fontId="95" fillId="0" borderId="0" xfId="682" applyFont="1" applyFill="1" applyAlignment="1">
      <alignment wrapText="1"/>
    </xf>
    <xf numFmtId="166" fontId="70" fillId="21" borderId="16" xfId="0" applyNumberFormat="1" applyFont="1" applyFill="1" applyBorder="1" applyProtection="1"/>
    <xf numFmtId="0" fontId="68" fillId="21" borderId="16" xfId="0" applyFont="1" applyFill="1" applyBorder="1" applyAlignment="1" applyProtection="1">
      <alignment horizontal="left" vertical="center"/>
    </xf>
    <xf numFmtId="0" fontId="68" fillId="21" borderId="0" xfId="0" applyFont="1" applyFill="1" applyBorder="1" applyAlignment="1" applyProtection="1">
      <alignment horizontal="left" vertical="center"/>
    </xf>
    <xf numFmtId="0" fontId="96" fillId="0" borderId="0" xfId="0" applyFont="1" applyFill="1" applyAlignment="1" applyProtection="1">
      <alignment horizontal="left" vertical="center" wrapText="1"/>
    </xf>
    <xf numFmtId="0" fontId="0" fillId="28" borderId="0" xfId="0" applyFill="1" applyAlignment="1" applyProtection="1">
      <alignment vertical="center"/>
    </xf>
    <xf numFmtId="0" fontId="8" fillId="28" borderId="0" xfId="0" applyFont="1" applyFill="1" applyAlignment="1" applyProtection="1">
      <alignment horizontal="left" vertical="center"/>
    </xf>
    <xf numFmtId="0" fontId="0" fillId="28" borderId="0" xfId="0" applyNumberFormat="1" applyFill="1" applyAlignment="1" applyProtection="1">
      <alignment wrapText="1"/>
    </xf>
    <xf numFmtId="164" fontId="0" fillId="28" borderId="0" xfId="0" applyNumberFormat="1" applyFill="1" applyAlignment="1" applyProtection="1">
      <alignment vertical="center"/>
    </xf>
    <xf numFmtId="0" fontId="70" fillId="28" borderId="0" xfId="0" applyNumberFormat="1" applyFont="1" applyFill="1" applyAlignment="1" applyProtection="1">
      <alignment vertical="center" wrapText="1"/>
    </xf>
    <xf numFmtId="0" fontId="96" fillId="0" borderId="0" xfId="0" applyNumberFormat="1" applyFont="1" applyFill="1" applyAlignment="1" applyProtection="1">
      <alignment vertical="center" wrapText="1"/>
    </xf>
    <xf numFmtId="0" fontId="87" fillId="0" borderId="0" xfId="0" applyFont="1" applyFill="1" applyAlignment="1" applyProtection="1">
      <alignment vertical="center" wrapText="1"/>
    </xf>
    <xf numFmtId="0" fontId="39" fillId="28" borderId="0" xfId="0" applyFont="1" applyFill="1" applyAlignment="1" applyProtection="1">
      <alignment horizontal="left" vertical="center"/>
    </xf>
    <xf numFmtId="0" fontId="63" fillId="28" borderId="0" xfId="0" applyNumberFormat="1" applyFont="1" applyFill="1" applyAlignment="1" applyProtection="1">
      <alignment vertical="center" wrapText="1"/>
    </xf>
    <xf numFmtId="0" fontId="43" fillId="0" borderId="0" xfId="0" applyFont="1" applyFill="1" applyAlignment="1" applyProtection="1">
      <alignment horizontal="center" vertical="center" wrapText="1"/>
    </xf>
    <xf numFmtId="0" fontId="6" fillId="0" borderId="0" xfId="0" applyFont="1" applyFill="1" applyAlignment="1" applyProtection="1">
      <alignment vertical="center" wrapText="1"/>
      <protection hidden="1"/>
    </xf>
    <xf numFmtId="0" fontId="69" fillId="0" borderId="0" xfId="0" applyFont="1" applyFill="1" applyAlignment="1" applyProtection="1">
      <alignment vertical="center" wrapText="1"/>
      <protection hidden="1"/>
    </xf>
    <xf numFmtId="0" fontId="71" fillId="28" borderId="0" xfId="0" applyFont="1" applyFill="1" applyAlignment="1" applyProtection="1">
      <alignment vertical="center"/>
    </xf>
    <xf numFmtId="0" fontId="64" fillId="28" borderId="0" xfId="0" applyFont="1" applyFill="1" applyAlignment="1" applyProtection="1">
      <alignment vertical="center" wrapText="1"/>
    </xf>
    <xf numFmtId="0" fontId="0" fillId="0" borderId="0" xfId="0" applyNumberFormat="1" applyFont="1" applyFill="1" applyAlignment="1" applyProtection="1">
      <alignment vertical="center" wrapText="1"/>
    </xf>
    <xf numFmtId="0" fontId="68" fillId="28" borderId="0" xfId="0" applyFont="1" applyFill="1" applyAlignment="1" applyProtection="1">
      <alignment vertical="center"/>
    </xf>
    <xf numFmtId="0" fontId="87"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96" fillId="0" borderId="0" xfId="0" applyNumberFormat="1" applyFont="1" applyFill="1" applyAlignment="1" applyProtection="1">
      <alignment horizontal="left" vertical="center" wrapText="1"/>
    </xf>
    <xf numFmtId="164" fontId="57" fillId="28" borderId="0" xfId="439" applyNumberFormat="1" applyFont="1" applyFill="1" applyAlignment="1" applyProtection="1">
      <alignment vertical="center"/>
    </xf>
    <xf numFmtId="0" fontId="0" fillId="28" borderId="0" xfId="0" applyFont="1" applyFill="1" applyAlignment="1" applyProtection="1">
      <alignment vertical="center"/>
    </xf>
    <xf numFmtId="0" fontId="64" fillId="28" borderId="0" xfId="0" applyFont="1" applyFill="1" applyAlignment="1" applyProtection="1">
      <alignment horizontal="left" vertical="center" wrapText="1"/>
    </xf>
    <xf numFmtId="38" fontId="97" fillId="28" borderId="0" xfId="439" applyNumberFormat="1" applyFont="1" applyFill="1" applyAlignment="1" applyProtection="1">
      <alignment horizontal="center" vertical="center" wrapText="1"/>
    </xf>
    <xf numFmtId="0" fontId="98" fillId="0" borderId="0" xfId="0" applyFont="1" applyAlignment="1" applyProtection="1">
      <alignment horizontal="center" vertical="center" wrapText="1"/>
    </xf>
    <xf numFmtId="164" fontId="57" fillId="28" borderId="0" xfId="439" applyNumberFormat="1" applyFont="1" applyFill="1" applyProtection="1"/>
    <xf numFmtId="0" fontId="0" fillId="0" borderId="0" xfId="0" applyFill="1" applyAlignment="1" applyProtection="1">
      <alignment wrapText="1"/>
      <protection locked="0"/>
    </xf>
    <xf numFmtId="0" fontId="85" fillId="0" borderId="0" xfId="0" applyFont="1" applyFill="1" applyAlignment="1" applyProtection="1">
      <alignment horizontal="center" vertical="center" wrapText="1"/>
    </xf>
    <xf numFmtId="0" fontId="99" fillId="0" borderId="0" xfId="0" applyNumberFormat="1" applyFont="1" applyFill="1" applyAlignment="1" applyProtection="1">
      <alignment vertical="center" wrapText="1"/>
    </xf>
    <xf numFmtId="38" fontId="69" fillId="28" borderId="0" xfId="439" applyNumberFormat="1" applyFont="1" applyFill="1" applyProtection="1"/>
    <xf numFmtId="41" fontId="66" fillId="28" borderId="0" xfId="0" applyNumberFormat="1" applyFont="1" applyFill="1" applyAlignment="1" applyProtection="1">
      <alignment wrapText="1"/>
    </xf>
    <xf numFmtId="0" fontId="0" fillId="28" borderId="0" xfId="0" applyNumberFormat="1" applyFill="1" applyAlignment="1" applyProtection="1">
      <alignment vertical="center" wrapText="1"/>
    </xf>
    <xf numFmtId="0" fontId="64" fillId="28" borderId="0" xfId="0" applyFont="1" applyFill="1" applyAlignment="1" applyProtection="1">
      <alignment vertical="center"/>
    </xf>
    <xf numFmtId="0" fontId="100" fillId="28" borderId="0" xfId="0" applyFont="1" applyFill="1" applyAlignment="1" applyProtection="1">
      <alignment horizontal="left" vertical="center"/>
    </xf>
    <xf numFmtId="3" fontId="6" fillId="0" borderId="0" xfId="1540" applyFont="1" applyFill="1" applyAlignment="1" applyProtection="1">
      <alignment vertical="center" wrapText="1"/>
    </xf>
    <xf numFmtId="3" fontId="41" fillId="0" borderId="0" xfId="1540" applyFont="1" applyFill="1" applyAlignment="1" applyProtection="1">
      <alignment vertical="center" wrapText="1"/>
    </xf>
    <xf numFmtId="0" fontId="101" fillId="0" borderId="0" xfId="0" applyFont="1" applyAlignment="1" applyProtection="1">
      <alignment horizontal="center" vertical="center" wrapText="1"/>
    </xf>
    <xf numFmtId="0" fontId="68" fillId="28" borderId="0" xfId="0" applyFont="1" applyFill="1" applyAlignment="1" applyProtection="1">
      <alignment horizontal="left" vertical="center"/>
    </xf>
    <xf numFmtId="0" fontId="71" fillId="28" borderId="0" xfId="0" applyFont="1" applyFill="1" applyAlignment="1" applyProtection="1">
      <alignment horizontal="left" vertical="center"/>
    </xf>
    <xf numFmtId="0" fontId="64" fillId="28" borderId="0" xfId="0" applyFont="1" applyFill="1" applyAlignment="1" applyProtection="1"/>
    <xf numFmtId="0" fontId="0" fillId="0" borderId="0" xfId="0" applyNumberFormat="1" applyFill="1" applyAlignment="1" applyProtection="1">
      <alignment wrapText="1"/>
    </xf>
    <xf numFmtId="0" fontId="102"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64" fillId="0" borderId="0" xfId="0" applyNumberFormat="1" applyFont="1" applyFill="1" applyAlignment="1" applyProtection="1">
      <alignment wrapText="1"/>
    </xf>
    <xf numFmtId="0" fontId="64" fillId="22" borderId="0" xfId="0" applyNumberFormat="1" applyFont="1" applyFill="1" applyAlignment="1" applyProtection="1">
      <alignment wrapText="1"/>
    </xf>
    <xf numFmtId="0" fontId="0" fillId="0" borderId="0" xfId="0" applyNumberFormat="1" applyFill="1" applyAlignment="1" applyProtection="1">
      <alignment horizontal="left" vertical="center" wrapText="1" indent="3"/>
    </xf>
    <xf numFmtId="0" fontId="0" fillId="0" borderId="14" xfId="0" applyNumberFormat="1" applyFill="1" applyBorder="1" applyAlignment="1" applyProtection="1">
      <alignment horizontal="left" vertical="center" wrapText="1" indent="3"/>
    </xf>
    <xf numFmtId="0" fontId="0" fillId="0" borderId="14" xfId="0" applyNumberFormat="1" applyFill="1" applyBorder="1" applyAlignment="1" applyProtection="1">
      <alignment horizontal="left" vertical="center" wrapText="1" indent="6"/>
    </xf>
    <xf numFmtId="0" fontId="0" fillId="0" borderId="14" xfId="0" applyNumberFormat="1" applyFill="1" applyBorder="1" applyAlignment="1" applyProtection="1">
      <alignment vertical="center" wrapText="1"/>
    </xf>
    <xf numFmtId="0" fontId="63" fillId="0" borderId="0" xfId="0" applyNumberFormat="1" applyFont="1" applyFill="1" applyAlignment="1" applyProtection="1">
      <alignment horizontal="left" vertical="center" wrapText="1" indent="3"/>
    </xf>
    <xf numFmtId="0" fontId="64"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xf>
    <xf numFmtId="0" fontId="87"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indent="3"/>
    </xf>
    <xf numFmtId="0" fontId="87" fillId="0" borderId="14" xfId="0" applyNumberFormat="1" applyFont="1" applyFill="1" applyBorder="1" applyAlignment="1" applyProtection="1">
      <alignment horizontal="left" vertical="center" wrapText="1" indent="3"/>
    </xf>
    <xf numFmtId="0" fontId="87" fillId="0" borderId="0" xfId="0" applyNumberFormat="1" applyFont="1" applyFill="1" applyAlignment="1" applyProtection="1">
      <alignment horizontal="left" vertical="center" wrapText="1" indent="6"/>
    </xf>
    <xf numFmtId="0" fontId="68" fillId="0" borderId="0" xfId="0" applyFont="1" applyFill="1" applyAlignment="1" applyProtection="1">
      <alignment horizontal="center" vertical="center"/>
    </xf>
    <xf numFmtId="0" fontId="68" fillId="22" borderId="0" xfId="0" applyFont="1" applyFill="1" applyAlignment="1" applyProtection="1">
      <alignment horizontal="center" vertical="center"/>
    </xf>
    <xf numFmtId="0" fontId="68" fillId="0" borderId="14" xfId="0" applyFont="1" applyFill="1" applyBorder="1" applyAlignment="1" applyProtection="1">
      <alignment horizontal="center" vertical="center"/>
    </xf>
    <xf numFmtId="0" fontId="101" fillId="0" borderId="0" xfId="0" applyFont="1" applyFill="1" applyAlignment="1" applyProtection="1">
      <alignment horizontal="center" vertical="center" wrapText="1"/>
    </xf>
    <xf numFmtId="0" fontId="101" fillId="0" borderId="0" xfId="0" applyFont="1" applyFill="1" applyAlignment="1" applyProtection="1">
      <alignment horizontal="center" vertical="center"/>
    </xf>
    <xf numFmtId="0" fontId="102" fillId="0" borderId="0" xfId="0" applyFont="1" applyFill="1" applyAlignment="1" applyProtection="1">
      <alignment horizontal="center" vertical="center" wrapText="1"/>
    </xf>
    <xf numFmtId="0" fontId="102" fillId="0" borderId="0" xfId="0" applyFont="1" applyFill="1" applyAlignment="1" applyProtection="1">
      <alignment horizontal="center" vertical="center"/>
    </xf>
    <xf numFmtId="0" fontId="70" fillId="21" borderId="16"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69"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164" fontId="0" fillId="0" borderId="0" xfId="0" applyNumberFormat="1" applyFill="1" applyAlignment="1" applyProtection="1">
      <alignment wrapText="1"/>
      <protection locked="0"/>
    </xf>
    <xf numFmtId="164" fontId="0" fillId="0" borderId="0" xfId="0" applyNumberFormat="1" applyAlignment="1" applyProtection="1">
      <alignment wrapText="1"/>
      <protection locked="0"/>
    </xf>
    <xf numFmtId="40" fontId="69" fillId="0" borderId="0" xfId="439" applyNumberFormat="1" applyFont="1" applyFill="1" applyAlignment="1" applyProtection="1">
      <alignment horizontal="center" vertical="center" wrapText="1"/>
    </xf>
    <xf numFmtId="173" fontId="69" fillId="0" borderId="0" xfId="439" applyNumberFormat="1" applyFont="1" applyFill="1" applyAlignment="1" applyProtection="1">
      <alignment horizontal="center" vertical="center" wrapText="1"/>
    </xf>
    <xf numFmtId="0" fontId="0" fillId="0" borderId="23" xfId="0" applyFont="1" applyFill="1" applyBorder="1" applyAlignment="1" applyProtection="1">
      <alignment vertical="center" wrapText="1"/>
    </xf>
    <xf numFmtId="164" fontId="103"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0" fillId="22" borderId="0" xfId="0" applyFill="1" applyBorder="1" applyProtection="1"/>
    <xf numFmtId="0" fontId="104" fillId="0" borderId="25" xfId="0" applyNumberFormat="1" applyFont="1" applyFill="1" applyBorder="1" applyAlignment="1" applyProtection="1">
      <alignment horizontal="center" vertical="center"/>
    </xf>
    <xf numFmtId="0" fontId="105" fillId="0" borderId="25" xfId="0" applyNumberFormat="1" applyFont="1" applyFill="1" applyBorder="1" applyAlignment="1" applyProtection="1">
      <alignment horizontal="center" vertical="center"/>
    </xf>
    <xf numFmtId="0" fontId="63" fillId="23" borderId="25" xfId="0" applyNumberFormat="1" applyFont="1" applyFill="1" applyBorder="1" applyAlignment="1" applyProtection="1">
      <alignment horizontal="center" vertical="center"/>
    </xf>
    <xf numFmtId="0" fontId="63" fillId="0" borderId="25" xfId="0" applyNumberFormat="1" applyFont="1" applyFill="1" applyBorder="1" applyAlignment="1" applyProtection="1">
      <alignment horizontal="center" vertical="center"/>
    </xf>
    <xf numFmtId="0" fontId="63" fillId="0" borderId="26" xfId="0" applyNumberFormat="1" applyFont="1" applyFill="1" applyBorder="1" applyAlignment="1" applyProtection="1">
      <alignment horizontal="center" vertical="center"/>
    </xf>
    <xf numFmtId="0" fontId="80" fillId="24" borderId="21" xfId="0" applyFont="1" applyFill="1" applyBorder="1" applyAlignment="1" applyProtection="1">
      <alignment horizontal="center" vertical="center" wrapText="1"/>
    </xf>
    <xf numFmtId="0" fontId="0" fillId="22" borderId="28" xfId="0" applyFill="1" applyBorder="1" applyAlignment="1" applyProtection="1">
      <alignment vertical="center"/>
    </xf>
    <xf numFmtId="164" fontId="103" fillId="0" borderId="29" xfId="439" applyNumberFormat="1"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0" fillId="22" borderId="30" xfId="0" applyFill="1" applyBorder="1" applyAlignment="1" applyProtection="1">
      <alignment vertical="center"/>
    </xf>
    <xf numFmtId="0" fontId="0" fillId="22" borderId="23" xfId="0" applyFill="1" applyBorder="1" applyAlignment="1" applyProtection="1">
      <alignment vertical="center"/>
      <protection locked="0"/>
    </xf>
    <xf numFmtId="172" fontId="103" fillId="0" borderId="23" xfId="439" applyNumberFormat="1" applyFont="1" applyFill="1" applyBorder="1" applyAlignment="1" applyProtection="1">
      <alignment horizontal="center" vertical="center" wrapText="1"/>
    </xf>
    <xf numFmtId="0" fontId="0" fillId="23" borderId="25" xfId="0" applyNumberFormat="1" applyFill="1" applyBorder="1" applyAlignment="1" applyProtection="1">
      <alignment horizontal="left" vertical="center" wrapText="1"/>
    </xf>
    <xf numFmtId="3" fontId="6" fillId="0" borderId="23" xfId="1540" applyFont="1" applyFill="1" applyBorder="1" applyAlignment="1" applyProtection="1">
      <alignment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31" xfId="0" applyNumberFormat="1" applyFill="1" applyBorder="1" applyAlignment="1" applyProtection="1">
      <alignment horizontal="left" vertical="center" wrapText="1"/>
    </xf>
    <xf numFmtId="0" fontId="64" fillId="24" borderId="0" xfId="0" applyFont="1" applyFill="1" applyBorder="1" applyAlignment="1" applyProtection="1">
      <alignment horizontal="center" vertical="center" wrapText="1"/>
    </xf>
    <xf numFmtId="0" fontId="0" fillId="23" borderId="23" xfId="0" applyNumberFormat="1" applyFill="1" applyBorder="1" applyAlignment="1" applyProtection="1">
      <alignment horizontal="left" vertical="center" wrapText="1"/>
    </xf>
    <xf numFmtId="0" fontId="83" fillId="21" borderId="10" xfId="0" applyFont="1" applyFill="1" applyBorder="1" applyAlignment="1" applyProtection="1">
      <alignment horizontal="center" vertical="center" wrapText="1"/>
    </xf>
    <xf numFmtId="164" fontId="103" fillId="0" borderId="31" xfId="439" applyNumberFormat="1" applyFont="1" applyFill="1" applyBorder="1" applyAlignment="1" applyProtection="1">
      <alignment horizontal="center" vertical="center" wrapText="1"/>
    </xf>
    <xf numFmtId="0" fontId="0" fillId="0" borderId="26" xfId="0" applyNumberFormat="1" applyFill="1" applyBorder="1" applyAlignment="1" applyProtection="1">
      <alignment horizontal="left" vertical="center" wrapText="1"/>
    </xf>
    <xf numFmtId="0" fontId="82" fillId="25" borderId="0" xfId="0" applyFont="1" applyFill="1" applyAlignment="1" applyProtection="1">
      <alignment horizontal="center" vertical="center"/>
    </xf>
    <xf numFmtId="0" fontId="0" fillId="22" borderId="23" xfId="0" applyFill="1" applyBorder="1" applyAlignment="1" applyProtection="1">
      <alignment vertical="center"/>
    </xf>
    <xf numFmtId="0" fontId="0" fillId="0" borderId="23" xfId="0" applyNumberFormat="1" applyFill="1" applyBorder="1" applyAlignment="1" applyProtection="1">
      <alignment horizontal="left" vertical="center" wrapText="1"/>
    </xf>
    <xf numFmtId="0" fontId="0" fillId="0" borderId="0" xfId="0" applyProtection="1"/>
    <xf numFmtId="0" fontId="0" fillId="0" borderId="25"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64" fillId="23" borderId="0" xfId="0" applyFont="1" applyFill="1" applyAlignment="1" applyProtection="1">
      <alignment vertical="center" wrapText="1"/>
    </xf>
    <xf numFmtId="0" fontId="64"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103" fillId="0" borderId="0" xfId="0" applyFont="1" applyProtection="1"/>
    <xf numFmtId="0" fontId="102" fillId="21" borderId="10" xfId="0" applyFont="1" applyFill="1" applyBorder="1" applyAlignment="1" applyProtection="1">
      <alignment horizontal="center" vertical="center" wrapText="1"/>
    </xf>
    <xf numFmtId="0" fontId="102" fillId="21" borderId="0" xfId="0" applyFont="1" applyFill="1" applyBorder="1" applyAlignment="1" applyProtection="1">
      <alignment horizontal="center" vertical="center" wrapText="1"/>
    </xf>
    <xf numFmtId="0" fontId="103" fillId="0" borderId="23" xfId="0" applyNumberFormat="1" applyFont="1" applyFill="1" applyBorder="1" applyAlignment="1" applyProtection="1">
      <alignment horizontal="left" vertical="center" wrapText="1"/>
    </xf>
    <xf numFmtId="0" fontId="103" fillId="23" borderId="23" xfId="0" applyNumberFormat="1" applyFont="1" applyFill="1" applyBorder="1" applyAlignment="1" applyProtection="1">
      <alignment horizontal="left" vertical="center" wrapText="1"/>
    </xf>
    <xf numFmtId="0" fontId="102" fillId="0" borderId="0" xfId="0" applyFont="1" applyAlignment="1" applyProtection="1">
      <alignment horizontal="center" vertical="center"/>
    </xf>
    <xf numFmtId="0" fontId="103" fillId="0" borderId="31" xfId="0" applyNumberFormat="1" applyFont="1" applyFill="1" applyBorder="1" applyAlignment="1" applyProtection="1">
      <alignment horizontal="left" vertical="center" wrapText="1"/>
    </xf>
    <xf numFmtId="0" fontId="103" fillId="0" borderId="32" xfId="0" applyFont="1" applyFill="1" applyBorder="1" applyAlignment="1">
      <alignment horizont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106" fillId="29" borderId="16" xfId="439" applyNumberFormat="1" applyFont="1" applyFill="1" applyBorder="1" applyAlignment="1" applyProtection="1">
      <alignment horizontal="center" wrapText="1"/>
      <protection locked="0"/>
    </xf>
    <xf numFmtId="164" fontId="103"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69" fillId="0" borderId="0" xfId="439" applyNumberFormat="1" applyFont="1" applyFill="1" applyAlignment="1" applyProtection="1">
      <alignment horizontal="center" vertical="center" wrapText="1"/>
    </xf>
    <xf numFmtId="0" fontId="108" fillId="0" borderId="0" xfId="0" applyNumberFormat="1" applyFont="1" applyFill="1" applyAlignment="1" applyProtection="1">
      <alignment horizontal="left" vertical="center" wrapText="1"/>
    </xf>
    <xf numFmtId="0" fontId="96" fillId="0" borderId="0" xfId="0" applyFont="1" applyFill="1" applyAlignment="1" applyProtection="1">
      <alignment vertical="center" wrapText="1"/>
    </xf>
    <xf numFmtId="0" fontId="83" fillId="21" borderId="22" xfId="0" applyFont="1" applyFill="1" applyBorder="1" applyAlignment="1" applyProtection="1">
      <alignment horizontal="center" wrapText="1"/>
    </xf>
    <xf numFmtId="0" fontId="64" fillId="0" borderId="0" xfId="0" applyFont="1" applyFill="1" applyBorder="1" applyAlignment="1" applyProtection="1">
      <alignment horizontal="center"/>
    </xf>
    <xf numFmtId="0" fontId="110" fillId="0" borderId="0" xfId="0" applyNumberFormat="1" applyFont="1" applyFill="1" applyAlignment="1" applyProtection="1">
      <alignment vertical="center" wrapText="1"/>
    </xf>
    <xf numFmtId="0" fontId="80" fillId="0" borderId="0" xfId="0" applyFont="1" applyAlignment="1" applyProtection="1">
      <alignment wrapText="1"/>
    </xf>
    <xf numFmtId="0" fontId="69" fillId="0" borderId="23" xfId="1243" applyFont="1" applyFill="1" applyBorder="1" applyAlignment="1" applyProtection="1">
      <alignment horizontal="left" vertical="center" wrapText="1"/>
    </xf>
    <xf numFmtId="0" fontId="0" fillId="0" borderId="34" xfId="0" applyNumberFormat="1" applyFill="1" applyBorder="1" applyAlignment="1" applyProtection="1">
      <alignment horizontal="left" vertical="center" wrapText="1"/>
    </xf>
    <xf numFmtId="0" fontId="0" fillId="0" borderId="35" xfId="0" applyNumberFormat="1" applyFill="1" applyBorder="1" applyAlignment="1" applyProtection="1">
      <alignment horizontal="left" vertical="center" wrapText="1"/>
    </xf>
    <xf numFmtId="0" fontId="0" fillId="0" borderId="23" xfId="0" applyFill="1" applyBorder="1" applyAlignment="1">
      <alignment vertical="center" wrapText="1"/>
    </xf>
    <xf numFmtId="164" fontId="82" fillId="25" borderId="0" xfId="439" applyNumberFormat="1" applyFont="1" applyFill="1" applyAlignment="1" applyProtection="1">
      <alignment horizontal="center"/>
    </xf>
    <xf numFmtId="0" fontId="111"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103" fillId="22" borderId="23" xfId="439" applyNumberFormat="1" applyFont="1" applyFill="1" applyBorder="1" applyAlignment="1" applyProtection="1">
      <alignment horizontal="center" vertical="center" wrapText="1"/>
    </xf>
    <xf numFmtId="164" fontId="57" fillId="0" borderId="0" xfId="439" applyNumberFormat="1" applyFont="1" applyAlignment="1" applyProtection="1">
      <alignment vertical="center"/>
    </xf>
    <xf numFmtId="0" fontId="80" fillId="30" borderId="25" xfId="0" applyNumberFormat="1" applyFont="1" applyFill="1" applyBorder="1" applyAlignment="1" applyProtection="1">
      <alignment horizontal="center" vertical="center" wrapText="1"/>
    </xf>
    <xf numFmtId="164" fontId="80" fillId="24" borderId="10" xfId="439" applyNumberFormat="1" applyFont="1" applyFill="1" applyBorder="1" applyAlignment="1" applyProtection="1">
      <alignment horizontal="center" wrapText="1"/>
    </xf>
    <xf numFmtId="164" fontId="57" fillId="0" borderId="0" xfId="439" applyNumberFormat="1" applyFont="1" applyProtection="1"/>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112" fillId="0" borderId="0" xfId="720" applyNumberFormat="1" applyFont="1" applyFill="1" applyAlignment="1" applyProtection="1">
      <alignment horizontal="left" vertical="center" wrapText="1"/>
    </xf>
    <xf numFmtId="0" fontId="68" fillId="0" borderId="0" xfId="0" applyFont="1" applyFill="1" applyAlignment="1" applyProtection="1">
      <alignment vertical="center" wrapText="1"/>
    </xf>
    <xf numFmtId="3" fontId="8" fillId="0" borderId="0" xfId="1540" applyFont="1" applyFill="1" applyAlignment="1" applyProtection="1">
      <alignment vertical="center" wrapText="1"/>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39" fontId="0" fillId="0" borderId="0" xfId="0" applyNumberFormat="1" applyProtection="1"/>
    <xf numFmtId="39" fontId="63" fillId="0" borderId="0" xfId="0" applyNumberFormat="1" applyFont="1" applyAlignment="1" applyProtection="1">
      <alignment horizontal="center"/>
    </xf>
    <xf numFmtId="39" fontId="64" fillId="21" borderId="0" xfId="0" applyNumberFormat="1" applyFont="1" applyFill="1" applyBorder="1" applyAlignment="1" applyProtection="1">
      <alignment horizontal="center" wrapText="1"/>
    </xf>
    <xf numFmtId="39" fontId="103" fillId="0" borderId="29" xfId="439" applyNumberFormat="1" applyFont="1" applyFill="1" applyBorder="1" applyAlignment="1" applyProtection="1">
      <alignment horizontal="center" vertical="center" wrapText="1"/>
    </xf>
    <xf numFmtId="39" fontId="103" fillId="0" borderId="28" xfId="439" applyNumberFormat="1" applyFont="1" applyFill="1" applyBorder="1" applyAlignment="1" applyProtection="1">
      <alignment horizontal="center" vertical="center" wrapText="1"/>
    </xf>
    <xf numFmtId="39" fontId="103" fillId="23" borderId="28" xfId="439" applyNumberFormat="1" applyFont="1" applyFill="1" applyBorder="1" applyAlignment="1" applyProtection="1">
      <alignment horizontal="center" vertical="center" wrapText="1"/>
    </xf>
    <xf numFmtId="39" fontId="0" fillId="22" borderId="28" xfId="0" applyNumberFormat="1" applyFill="1" applyBorder="1" applyAlignment="1" applyProtection="1">
      <alignment vertical="center"/>
    </xf>
    <xf numFmtId="39" fontId="0" fillId="0" borderId="0" xfId="0" applyNumberFormat="1" applyAlignment="1" applyProtection="1">
      <alignment vertical="center"/>
    </xf>
    <xf numFmtId="0" fontId="64" fillId="0" borderId="0" xfId="0" applyFont="1" applyFill="1" applyAlignment="1" applyProtection="1">
      <alignment vertical="center" wrapText="1"/>
    </xf>
    <xf numFmtId="38" fontId="0" fillId="0" borderId="0" xfId="0" applyNumberFormat="1" applyFill="1" applyAlignment="1" applyProtection="1">
      <alignment wrapText="1"/>
      <protection locked="0"/>
    </xf>
    <xf numFmtId="39" fontId="83" fillId="31" borderId="0" xfId="0" applyNumberFormat="1" applyFont="1" applyFill="1" applyBorder="1" applyAlignment="1" applyProtection="1">
      <alignment horizontal="center" wrapText="1"/>
    </xf>
    <xf numFmtId="0" fontId="63"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111" fillId="32" borderId="0" xfId="0" applyFont="1" applyFill="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ill="1" applyProtection="1">
      <protection locked="0"/>
    </xf>
    <xf numFmtId="0" fontId="65" fillId="0" borderId="0" xfId="0" applyFont="1" applyFill="1" applyAlignment="1" applyProtection="1">
      <alignment wrapText="1"/>
      <protection locked="0"/>
    </xf>
    <xf numFmtId="0" fontId="109" fillId="0" borderId="0" xfId="0" applyFont="1" applyFill="1" applyAlignment="1" applyProtection="1">
      <alignment wrapText="1"/>
      <protection locked="0"/>
    </xf>
    <xf numFmtId="0" fontId="107" fillId="0" borderId="0" xfId="0" applyFont="1" applyAlignment="1" applyProtection="1">
      <alignment wrapText="1"/>
      <protection locked="0"/>
    </xf>
    <xf numFmtId="0" fontId="0" fillId="0" borderId="0" xfId="0" applyFont="1" applyProtection="1">
      <protection locked="0"/>
    </xf>
    <xf numFmtId="0" fontId="0" fillId="0" borderId="0" xfId="0" applyAlignment="1" applyProtection="1">
      <alignment horizontal="center"/>
    </xf>
    <xf numFmtId="0" fontId="0" fillId="0" borderId="0" xfId="0"/>
    <xf numFmtId="39" fontId="103" fillId="0" borderId="28" xfId="439" applyNumberFormat="1" applyFont="1" applyFill="1" applyBorder="1" applyAlignment="1" applyProtection="1">
      <alignment horizontal="center" vertical="center" wrapText="1"/>
    </xf>
    <xf numFmtId="0" fontId="84" fillId="0" borderId="25" xfId="0" applyNumberFormat="1" applyFont="1" applyFill="1" applyBorder="1" applyAlignment="1" applyProtection="1">
      <alignment horizontal="left" vertical="center" wrapText="1"/>
    </xf>
    <xf numFmtId="0" fontId="65" fillId="0" borderId="25" xfId="0" applyNumberFormat="1" applyFont="1" applyFill="1" applyBorder="1" applyAlignment="1" applyProtection="1">
      <alignment horizontal="left" vertical="center" wrapText="1"/>
    </xf>
    <xf numFmtId="0" fontId="5" fillId="0" borderId="0" xfId="0" applyNumberFormat="1" applyFont="1" applyFill="1" applyAlignment="1" applyProtection="1">
      <alignment vertical="center" wrapText="1"/>
    </xf>
    <xf numFmtId="0" fontId="69" fillId="0" borderId="0" xfId="0" applyNumberFormat="1" applyFont="1" applyFill="1" applyAlignment="1" applyProtection="1">
      <alignment vertical="center" wrapText="1"/>
    </xf>
    <xf numFmtId="164" fontId="97" fillId="22" borderId="0" xfId="439" applyNumberFormat="1" applyFont="1" applyFill="1" applyAlignment="1" applyProtection="1">
      <alignment horizontal="center" vertical="center" wrapText="1"/>
    </xf>
    <xf numFmtId="0" fontId="68" fillId="0" borderId="0" xfId="0" applyFont="1" applyFill="1" applyBorder="1" applyAlignment="1" applyProtection="1">
      <alignment vertical="center" wrapText="1"/>
    </xf>
    <xf numFmtId="0" fontId="6" fillId="0" borderId="0" xfId="0" applyNumberFormat="1" applyFont="1" applyFill="1" applyAlignment="1" applyProtection="1">
      <alignment vertical="center" wrapText="1"/>
    </xf>
    <xf numFmtId="38" fontId="69" fillId="22" borderId="0" xfId="439" applyNumberFormat="1" applyFont="1" applyFill="1" applyAlignment="1" applyProtection="1">
      <alignment horizontal="center" vertical="center" wrapText="1"/>
    </xf>
    <xf numFmtId="41" fontId="66" fillId="0" borderId="0" xfId="0" applyNumberFormat="1" applyFont="1" applyFill="1" applyBorder="1" applyAlignment="1" applyProtection="1">
      <alignment wrapText="1"/>
      <protection locked="0"/>
    </xf>
    <xf numFmtId="41" fontId="103" fillId="0" borderId="23" xfId="439" applyNumberFormat="1" applyFont="1" applyFill="1" applyBorder="1" applyAlignment="1" applyProtection="1">
      <alignment horizontal="center" vertical="center" wrapText="1"/>
    </xf>
    <xf numFmtId="0" fontId="76" fillId="0" borderId="23" xfId="439" applyNumberFormat="1" applyFont="1" applyFill="1" applyBorder="1" applyAlignment="1" applyProtection="1">
      <alignment horizontal="center" vertical="center" wrapText="1"/>
    </xf>
    <xf numFmtId="41" fontId="114" fillId="0" borderId="0" xfId="0" applyNumberFormat="1" applyFont="1" applyFill="1" applyAlignment="1" applyProtection="1">
      <alignment wrapText="1"/>
    </xf>
    <xf numFmtId="0" fontId="113" fillId="0" borderId="0" xfId="0" applyFont="1" applyFill="1" applyAlignment="1" applyProtection="1">
      <alignment horizontal="center" vertical="center"/>
    </xf>
    <xf numFmtId="41" fontId="115" fillId="0" borderId="0" xfId="0" applyNumberFormat="1" applyFont="1" applyFill="1" applyAlignment="1" applyProtection="1">
      <alignment wrapText="1"/>
    </xf>
    <xf numFmtId="0" fontId="0" fillId="0" borderId="0" xfId="0" applyProtection="1"/>
    <xf numFmtId="0" fontId="0" fillId="0" borderId="0" xfId="0" applyFill="1" applyProtection="1"/>
    <xf numFmtId="0" fontId="0" fillId="0" borderId="0" xfId="0" applyProtection="1">
      <protection locked="0"/>
    </xf>
    <xf numFmtId="0" fontId="80" fillId="0" borderId="0" xfId="0" applyFont="1" applyFill="1" applyAlignment="1" applyProtection="1">
      <alignment horizontal="center"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164" fontId="103" fillId="0" borderId="0" xfId="439" applyNumberFormat="1" applyFont="1" applyFill="1" applyBorder="1" applyAlignment="1" applyProtection="1">
      <alignment horizontal="center" vertical="center" wrapText="1"/>
    </xf>
    <xf numFmtId="170" fontId="103" fillId="29" borderId="23" xfId="439" applyNumberFormat="1" applyFont="1" applyFill="1" applyBorder="1" applyAlignment="1" applyProtection="1">
      <alignment horizontal="center" vertical="center" wrapText="1"/>
      <protection locked="0"/>
    </xf>
    <xf numFmtId="164" fontId="103" fillId="0" borderId="23" xfId="439" applyNumberFormat="1" applyFont="1" applyFill="1" applyBorder="1" applyAlignment="1" applyProtection="1">
      <alignment horizontal="center" vertical="center" wrapText="1"/>
    </xf>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164" fontId="103" fillId="0" borderId="0" xfId="439" applyNumberFormat="1" applyFont="1" applyFill="1" applyBorder="1" applyAlignment="1" applyProtection="1">
      <alignment horizontal="center" vertical="center" wrapText="1"/>
    </xf>
    <xf numFmtId="0" fontId="0" fillId="0" borderId="0" xfId="0" applyNumberFormat="1" applyFill="1" applyAlignment="1" applyProtection="1">
      <alignment vertical="center" wrapText="1"/>
    </xf>
    <xf numFmtId="0" fontId="5" fillId="0" borderId="0" xfId="0" applyFont="1" applyFill="1" applyAlignment="1" applyProtection="1">
      <alignment vertical="center" wrapText="1"/>
    </xf>
    <xf numFmtId="0" fontId="68" fillId="0" borderId="0" xfId="0" applyFont="1" applyFill="1" applyAlignment="1" applyProtection="1">
      <alignment horizontal="left" vertical="center"/>
    </xf>
    <xf numFmtId="0" fontId="68" fillId="0" borderId="0" xfId="0" applyFont="1" applyFill="1" applyAlignment="1" applyProtection="1">
      <alignment vertical="center"/>
    </xf>
    <xf numFmtId="0" fontId="0" fillId="0" borderId="0" xfId="0" applyFont="1" applyFill="1" applyBorder="1" applyAlignment="1" applyProtection="1">
      <alignment vertical="center" wrapText="1"/>
    </xf>
    <xf numFmtId="37" fontId="104" fillId="33" borderId="28" xfId="439" applyNumberFormat="1" applyFont="1" applyFill="1" applyBorder="1" applyAlignment="1" applyProtection="1">
      <alignment horizontal="center" vertical="center" wrapText="1"/>
    </xf>
    <xf numFmtId="37" fontId="63" fillId="0" borderId="28" xfId="439" applyNumberFormat="1" applyFont="1" applyFill="1" applyBorder="1" applyAlignment="1" applyProtection="1">
      <alignment horizontal="center" vertical="center" wrapText="1"/>
    </xf>
    <xf numFmtId="37" fontId="104"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0" fontId="68" fillId="0" borderId="0" xfId="0" applyNumberFormat="1" applyFont="1" applyFill="1" applyAlignment="1" applyProtection="1">
      <alignment horizontal="left" vertical="center" wrapText="1"/>
    </xf>
    <xf numFmtId="0" fontId="0" fillId="34" borderId="25" xfId="0" applyNumberFormat="1" applyFill="1" applyBorder="1" applyAlignment="1" applyProtection="1">
      <alignment horizontal="left" vertical="center" wrapText="1"/>
    </xf>
    <xf numFmtId="0" fontId="103" fillId="34" borderId="23" xfId="0" applyNumberFormat="1" applyFont="1" applyFill="1" applyBorder="1" applyAlignment="1" applyProtection="1">
      <alignment horizontal="left"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103" fillId="29" borderId="23" xfId="439" applyNumberFormat="1" applyFont="1" applyFill="1" applyBorder="1" applyAlignment="1" applyProtection="1">
      <alignment horizontal="center" vertical="center" wrapText="1"/>
      <protection locked="0"/>
    </xf>
    <xf numFmtId="168" fontId="0" fillId="0" borderId="0" xfId="0" applyNumberFormat="1" applyProtection="1"/>
    <xf numFmtId="0" fontId="0" fillId="35" borderId="0" xfId="0" applyFill="1" applyAlignment="1" applyProtection="1">
      <alignment horizontal="center" vertical="center"/>
    </xf>
    <xf numFmtId="39" fontId="103" fillId="34" borderId="28" xfId="439" applyNumberFormat="1" applyFont="1" applyFill="1" applyBorder="1" applyAlignment="1" applyProtection="1">
      <alignment horizontal="center" vertical="center" wrapText="1"/>
    </xf>
    <xf numFmtId="0" fontId="0" fillId="28" borderId="0" xfId="0" applyNumberFormat="1" applyFont="1" applyFill="1" applyAlignment="1" applyProtection="1">
      <alignment vertical="center" wrapText="1"/>
    </xf>
    <xf numFmtId="41" fontId="115" fillId="28" borderId="0" xfId="0" applyNumberFormat="1" applyFont="1" applyFill="1" applyAlignment="1" applyProtection="1">
      <alignment wrapText="1"/>
    </xf>
    <xf numFmtId="0" fontId="0" fillId="22" borderId="25" xfId="0" applyNumberFormat="1" applyFill="1" applyBorder="1" applyAlignment="1" applyProtection="1">
      <alignment horizontal="left" vertical="center" wrapText="1"/>
    </xf>
    <xf numFmtId="0" fontId="103" fillId="22" borderId="25" xfId="0" applyNumberFormat="1" applyFont="1" applyFill="1" applyBorder="1" applyAlignment="1" applyProtection="1">
      <alignment horizontal="left" vertical="center" wrapText="1"/>
    </xf>
    <xf numFmtId="0" fontId="0" fillId="22" borderId="23" xfId="0" applyNumberFormat="1" applyFill="1" applyBorder="1" applyAlignment="1" applyProtection="1">
      <alignment horizontal="left" vertical="center" wrapText="1"/>
    </xf>
    <xf numFmtId="168" fontId="0" fillId="35" borderId="0" xfId="0" applyNumberFormat="1" applyFill="1" applyAlignment="1" applyProtection="1">
      <alignment wrapText="1"/>
    </xf>
    <xf numFmtId="39" fontId="103" fillId="0" borderId="0" xfId="439"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164" fontId="0" fillId="0" borderId="0" xfId="0" applyNumberFormat="1" applyFont="1" applyFill="1" applyProtection="1"/>
    <xf numFmtId="164" fontId="103" fillId="34"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164" fontId="103" fillId="34" borderId="29" xfId="439" applyNumberFormat="1" applyFont="1" applyFill="1" applyBorder="1" applyAlignment="1" applyProtection="1">
      <alignment horizontal="center" vertical="center" wrapText="1"/>
    </xf>
    <xf numFmtId="3" fontId="0" fillId="0" borderId="0" xfId="0" applyNumberFormat="1" applyFill="1" applyProtection="1"/>
    <xf numFmtId="40" fontId="0" fillId="0" borderId="0" xfId="0" applyNumberFormat="1"/>
    <xf numFmtId="0" fontId="0" fillId="0" borderId="0" xfId="0" applyFill="1" applyAlignment="1">
      <alignment vertical="center" wrapText="1"/>
    </xf>
    <xf numFmtId="0" fontId="0" fillId="23" borderId="0" xfId="0" applyFill="1"/>
    <xf numFmtId="40" fontId="0" fillId="23" borderId="0" xfId="0" applyNumberFormat="1" applyFill="1"/>
    <xf numFmtId="0" fontId="0" fillId="0" borderId="0" xfId="0" applyFill="1"/>
    <xf numFmtId="0" fontId="68" fillId="0" borderId="0" xfId="659" applyNumberFormat="1" applyFont="1" applyFill="1"/>
    <xf numFmtId="0" fontId="35" fillId="0" borderId="0" xfId="659" applyNumberFormat="1" applyFont="1" applyFill="1" applyAlignment="1" applyProtection="1">
      <alignment horizontal="left" vertical="center" wrapText="1"/>
    </xf>
    <xf numFmtId="0" fontId="68" fillId="0" borderId="0" xfId="659" applyFont="1" applyFill="1" applyAlignment="1">
      <alignment horizontal="center"/>
    </xf>
    <xf numFmtId="169" fontId="63" fillId="0" borderId="0" xfId="439" applyNumberFormat="1" applyFont="1" applyFill="1" applyAlignment="1" applyProtection="1">
      <alignment horizontal="center" vertical="center"/>
      <protection locked="0"/>
    </xf>
    <xf numFmtId="38" fontId="69" fillId="0" borderId="14" xfId="439" applyNumberFormat="1" applyFont="1" applyFill="1" applyBorder="1" applyAlignment="1" applyProtection="1">
      <alignment horizontal="center" vertical="center" wrapText="1"/>
    </xf>
    <xf numFmtId="0" fontId="0" fillId="0" borderId="0" xfId="0" applyAlignment="1" applyProtection="1">
      <alignment horizontal="center" vertical="center" wrapText="1"/>
    </xf>
    <xf numFmtId="176" fontId="65" fillId="0" borderId="0" xfId="0" applyNumberFormat="1" applyFont="1" applyAlignment="1" applyProtection="1">
      <alignment wrapText="1"/>
    </xf>
    <xf numFmtId="0" fontId="0" fillId="0" borderId="25" xfId="0" applyNumberForma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103" fillId="0" borderId="29" xfId="439" applyNumberFormat="1" applyFont="1" applyFill="1" applyBorder="1" applyAlignment="1" applyProtection="1">
      <alignment horizontal="center" vertical="center" wrapText="1"/>
    </xf>
    <xf numFmtId="0" fontId="63" fillId="0" borderId="0" xfId="0" applyFont="1" applyProtection="1"/>
    <xf numFmtId="14" fontId="0" fillId="0" borderId="0" xfId="0" applyNumberFormat="1" applyFill="1" applyProtection="1"/>
    <xf numFmtId="0" fontId="63" fillId="34" borderId="25" xfId="0" applyNumberFormat="1" applyFont="1" applyFill="1" applyBorder="1" applyAlignment="1" applyProtection="1">
      <alignment horizontal="center" vertical="center"/>
    </xf>
    <xf numFmtId="38" fontId="36" fillId="0" borderId="0" xfId="440" applyNumberFormat="1" applyFont="1" applyFill="1" applyAlignment="1" applyProtection="1">
      <alignment horizontal="right" vertical="center"/>
    </xf>
    <xf numFmtId="0" fontId="0" fillId="37" borderId="0" xfId="0" applyFill="1"/>
    <xf numFmtId="0" fontId="35" fillId="37" borderId="0" xfId="659" applyNumberFormat="1" applyFont="1" applyFill="1" applyAlignment="1" applyProtection="1">
      <alignment horizontal="left" vertical="center" wrapText="1"/>
    </xf>
    <xf numFmtId="0" fontId="68" fillId="37" borderId="0" xfId="659" applyFont="1" applyFill="1" applyAlignment="1">
      <alignment horizontal="center"/>
    </xf>
    <xf numFmtId="0" fontId="68" fillId="37" borderId="0" xfId="659" applyNumberFormat="1" applyFont="1" applyFill="1"/>
    <xf numFmtId="38" fontId="36" fillId="37" borderId="0" xfId="440" applyNumberFormat="1" applyFont="1" applyFill="1" applyAlignment="1" applyProtection="1">
      <alignment horizontal="right" vertical="center"/>
    </xf>
    <xf numFmtId="0" fontId="0" fillId="0" borderId="0" xfId="0" applyProtection="1"/>
    <xf numFmtId="41" fontId="65" fillId="0" borderId="0" xfId="439" applyNumberFormat="1" applyFont="1" applyFill="1" applyAlignment="1" applyProtection="1">
      <alignment vertical="center" wrapText="1"/>
    </xf>
    <xf numFmtId="164" fontId="103" fillId="0" borderId="29" xfId="439" applyNumberFormat="1" applyFont="1" applyFill="1" applyBorder="1" applyAlignment="1" applyProtection="1">
      <alignment horizontal="center" vertical="center" wrapText="1"/>
    </xf>
    <xf numFmtId="172"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164" fontId="103" fillId="29" borderId="23" xfId="439"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0" fontId="68" fillId="0" borderId="0" xfId="0" applyFont="1" applyFill="1" applyAlignment="1" applyProtection="1">
      <alignment vertical="center" wrapText="1"/>
      <protection locked="0"/>
    </xf>
    <xf numFmtId="39" fontId="103"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40" fontId="0" fillId="0" borderId="0" xfId="0" applyNumberFormat="1"/>
    <xf numFmtId="43" fontId="0" fillId="0" borderId="0" xfId="439" applyFont="1"/>
    <xf numFmtId="43" fontId="0" fillId="0" borderId="0" xfId="0" applyNumberFormat="1"/>
    <xf numFmtId="0" fontId="0" fillId="32" borderId="0" xfId="0" applyFill="1" applyProtection="1"/>
    <xf numFmtId="0" fontId="124" fillId="0" borderId="0" xfId="0" applyFont="1"/>
    <xf numFmtId="0" fontId="0" fillId="0" borderId="0" xfId="0"/>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85" fillId="0" borderId="0" xfId="0" applyFont="1" applyAlignment="1" applyProtection="1">
      <alignment horizontal="center" vertical="center" wrapText="1"/>
    </xf>
    <xf numFmtId="0" fontId="87" fillId="0" borderId="0" xfId="0" applyFont="1" applyFill="1" applyAlignment="1" applyProtection="1">
      <alignment vertical="center" wrapText="1"/>
    </xf>
    <xf numFmtId="0" fontId="85" fillId="0" borderId="0" xfId="0" applyFont="1" applyFill="1" applyAlignment="1" applyProtection="1">
      <alignment horizontal="center" vertical="center" wrapText="1"/>
    </xf>
    <xf numFmtId="0" fontId="101" fillId="0" borderId="0" xfId="0" applyFont="1" applyAlignment="1" applyProtection="1">
      <alignment horizontal="center" vertical="center" wrapText="1"/>
    </xf>
    <xf numFmtId="0" fontId="87" fillId="0" borderId="0" xfId="0" applyNumberFormat="1" applyFont="1" applyFill="1" applyAlignment="1" applyProtection="1">
      <alignment horizontal="left" vertical="center" wrapText="1"/>
    </xf>
    <xf numFmtId="0" fontId="101"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57" fillId="0" borderId="28" xfId="439" applyNumberFormat="1" applyFont="1" applyFill="1" applyBorder="1" applyAlignment="1" applyProtection="1">
      <alignment vertical="center"/>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6" fillId="0" borderId="0" xfId="0" applyNumberFormat="1" applyFont="1" applyFill="1" applyAlignment="1" applyProtection="1">
      <alignment vertical="center" wrapText="1"/>
    </xf>
    <xf numFmtId="0" fontId="0" fillId="0" borderId="0" xfId="0" applyFill="1" applyAlignment="1" applyProtection="1">
      <alignment horizontal="center" vertical="center"/>
    </xf>
    <xf numFmtId="164" fontId="0" fillId="0" borderId="0" xfId="0" applyNumberFormat="1" applyProtection="1"/>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Font="1" applyFill="1" applyBorder="1" applyAlignment="1" applyProtection="1">
      <alignment vertical="center" wrapText="1"/>
      <protection locked="0"/>
    </xf>
    <xf numFmtId="164" fontId="103" fillId="29" borderId="44" xfId="439" applyNumberFormat="1" applyFont="1" applyFill="1" applyBorder="1" applyAlignment="1" applyProtection="1">
      <alignment horizontal="center" vertical="center" wrapText="1"/>
      <protection locked="0"/>
    </xf>
    <xf numFmtId="164" fontId="103" fillId="0" borderId="30" xfId="439" applyNumberFormat="1" applyFont="1" applyFill="1" applyBorder="1" applyAlignment="1" applyProtection="1">
      <alignment horizontal="center" vertical="center" wrapText="1"/>
    </xf>
    <xf numFmtId="39" fontId="103" fillId="0" borderId="27" xfId="439" applyNumberFormat="1" applyFont="1" applyFill="1" applyBorder="1" applyAlignment="1" applyProtection="1">
      <alignment horizontal="center" vertical="center" wrapText="1"/>
    </xf>
    <xf numFmtId="164" fontId="103" fillId="0" borderId="46" xfId="439" applyNumberFormat="1" applyFont="1" applyFill="1" applyBorder="1" applyAlignment="1" applyProtection="1">
      <alignment horizontal="center" vertical="center" wrapText="1"/>
    </xf>
    <xf numFmtId="0" fontId="63"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103" fillId="29" borderId="45" xfId="439" applyNumberFormat="1" applyFont="1" applyFill="1" applyBorder="1" applyAlignment="1" applyProtection="1">
      <alignment horizontal="center" vertical="center" wrapText="1"/>
      <protection locked="0"/>
    </xf>
    <xf numFmtId="0" fontId="0" fillId="0" borderId="24" xfId="0" applyNumberFormat="1" applyFill="1" applyBorder="1" applyAlignment="1" applyProtection="1">
      <alignment horizontal="left" vertical="center" wrapText="1"/>
    </xf>
    <xf numFmtId="0" fontId="103" fillId="0" borderId="30" xfId="0" applyNumberFormat="1" applyFont="1" applyFill="1" applyBorder="1" applyAlignment="1" applyProtection="1">
      <alignment horizontal="left" vertical="center" wrapText="1"/>
    </xf>
    <xf numFmtId="0" fontId="0" fillId="0" borderId="30" xfId="0" applyNumberFormat="1" applyFill="1" applyBorder="1" applyAlignment="1" applyProtection="1">
      <alignment horizontal="left" vertical="center" wrapText="1"/>
    </xf>
    <xf numFmtId="0" fontId="103" fillId="23" borderId="31" xfId="0" applyNumberFormat="1" applyFont="1" applyFill="1" applyBorder="1" applyAlignment="1" applyProtection="1">
      <alignment horizontal="left" vertical="center" wrapText="1"/>
    </xf>
    <xf numFmtId="0" fontId="0" fillId="23" borderId="31" xfId="0" applyNumberFormat="1" applyFill="1" applyBorder="1" applyAlignment="1" applyProtection="1">
      <alignment horizontal="left" vertical="center" wrapText="1"/>
    </xf>
    <xf numFmtId="0" fontId="103" fillId="23" borderId="31" xfId="439" applyNumberFormat="1" applyFont="1" applyFill="1" applyBorder="1" applyAlignment="1" applyProtection="1">
      <alignment horizontal="center" vertical="center" wrapText="1"/>
    </xf>
    <xf numFmtId="37" fontId="63" fillId="23" borderId="29" xfId="439" applyNumberFormat="1" applyFont="1" applyFill="1" applyBorder="1" applyAlignment="1" applyProtection="1">
      <alignment horizontal="center" vertical="center" wrapText="1"/>
    </xf>
    <xf numFmtId="0" fontId="63" fillId="23" borderId="26" xfId="0" applyNumberFormat="1" applyFont="1" applyFill="1" applyBorder="1" applyAlignment="1" applyProtection="1">
      <alignment horizontal="center" vertical="center"/>
    </xf>
    <xf numFmtId="37" fontId="63" fillId="0" borderId="27" xfId="439" applyNumberFormat="1" applyFont="1" applyFill="1" applyBorder="1" applyAlignment="1" applyProtection="1">
      <alignment horizontal="center" vertical="center" wrapText="1"/>
    </xf>
    <xf numFmtId="0" fontId="126" fillId="0" borderId="0" xfId="0" applyFont="1" applyFill="1" applyProtection="1"/>
    <xf numFmtId="0" fontId="0" fillId="36" borderId="23" xfId="0" applyNumberFormat="1" applyFill="1" applyBorder="1" applyAlignment="1" applyProtection="1">
      <alignment horizontal="left" vertical="center" wrapText="1"/>
    </xf>
    <xf numFmtId="41" fontId="66" fillId="0" borderId="45" xfId="0" applyNumberFormat="1" applyFont="1" applyFill="1" applyBorder="1" applyAlignment="1" applyProtection="1">
      <alignment wrapText="1"/>
    </xf>
    <xf numFmtId="0" fontId="0" fillId="0" borderId="45" xfId="0" applyFill="1" applyBorder="1" applyAlignment="1" applyProtection="1">
      <alignment wrapText="1"/>
      <protection locked="0"/>
    </xf>
    <xf numFmtId="0" fontId="65" fillId="0" borderId="45" xfId="0" applyFont="1" applyFill="1" applyBorder="1" applyAlignment="1" applyProtection="1">
      <alignment wrapText="1"/>
      <protection locked="0"/>
    </xf>
    <xf numFmtId="0" fontId="84" fillId="0" borderId="45" xfId="0" applyFont="1" applyFill="1" applyBorder="1" applyAlignment="1" applyProtection="1">
      <alignment wrapText="1"/>
      <protection locked="0"/>
    </xf>
    <xf numFmtId="0" fontId="37" fillId="0" borderId="0" xfId="0" applyFont="1" applyFill="1" applyAlignment="1" applyProtection="1">
      <alignment horizontal="center" vertical="center" wrapText="1"/>
    </xf>
    <xf numFmtId="0" fontId="127" fillId="0" borderId="0" xfId="0" applyFont="1" applyFill="1" applyProtection="1"/>
    <xf numFmtId="0" fontId="70" fillId="0" borderId="0" xfId="0" applyFont="1" applyFill="1" applyProtection="1"/>
    <xf numFmtId="2" fontId="0" fillId="0" borderId="0" xfId="0" applyNumberFormat="1" applyFill="1" applyProtection="1"/>
    <xf numFmtId="9" fontId="0" fillId="0" borderId="0" xfId="0" applyNumberFormat="1" applyAlignment="1">
      <alignment horizontal="center"/>
    </xf>
    <xf numFmtId="0" fontId="132" fillId="0" borderId="0" xfId="0" applyFont="1"/>
    <xf numFmtId="0" fontId="63" fillId="34" borderId="0" xfId="0" applyFont="1" applyFill="1" applyProtection="1"/>
    <xf numFmtId="0" fontId="0" fillId="34" borderId="0" xfId="0" applyFill="1" applyAlignment="1" applyProtection="1">
      <alignment wrapText="1"/>
    </xf>
    <xf numFmtId="0" fontId="0" fillId="34" borderId="0" xfId="0" applyFill="1" applyProtection="1"/>
    <xf numFmtId="0" fontId="0" fillId="34" borderId="45" xfId="0" applyNumberFormat="1" applyFont="1" applyFill="1" applyBorder="1" applyAlignment="1" applyProtection="1">
      <alignment horizontal="center" vertical="center" wrapText="1"/>
    </xf>
    <xf numFmtId="0" fontId="85" fillId="34" borderId="45" xfId="0" applyFont="1" applyFill="1" applyBorder="1" applyAlignment="1" applyProtection="1">
      <alignment horizontal="center" vertical="center" wrapText="1"/>
    </xf>
    <xf numFmtId="0" fontId="101" fillId="34" borderId="45" xfId="0" applyFont="1" applyFill="1" applyBorder="1" applyAlignment="1" applyProtection="1">
      <alignment horizontal="center" vertical="center" wrapText="1"/>
    </xf>
    <xf numFmtId="0" fontId="1" fillId="34" borderId="45" xfId="0" applyNumberFormat="1" applyFont="1" applyFill="1" applyBorder="1" applyAlignment="1" applyProtection="1">
      <alignment horizontal="left" vertical="center" wrapText="1"/>
    </xf>
    <xf numFmtId="38" fontId="69" fillId="34" borderId="45" xfId="439" applyNumberFormat="1" applyFont="1" applyFill="1" applyBorder="1" applyAlignment="1" applyProtection="1">
      <alignment horizontal="center" vertical="center" wrapText="1"/>
    </xf>
    <xf numFmtId="0" fontId="0" fillId="34" borderId="45" xfId="0" applyNumberFormat="1" applyFont="1" applyFill="1" applyBorder="1" applyAlignment="1" applyProtection="1">
      <alignment horizontal="center" vertical="center"/>
    </xf>
    <xf numFmtId="0" fontId="29" fillId="34" borderId="45" xfId="0" applyFont="1" applyFill="1" applyBorder="1" applyAlignment="1" applyProtection="1">
      <alignment horizontal="center" vertical="center" wrapText="1"/>
    </xf>
    <xf numFmtId="41" fontId="66" fillId="34" borderId="0" xfId="0" applyNumberFormat="1" applyFont="1" applyFill="1" applyAlignment="1" applyProtection="1">
      <alignment wrapText="1"/>
    </xf>
    <xf numFmtId="0" fontId="0" fillId="34" borderId="45" xfId="0" applyNumberFormat="1" applyFill="1" applyBorder="1" applyAlignment="1" applyProtection="1">
      <alignment vertical="center" wrapText="1"/>
    </xf>
    <xf numFmtId="164" fontId="0" fillId="0" borderId="45" xfId="0" applyNumberFormat="1" applyFill="1" applyBorder="1" applyAlignment="1" applyProtection="1">
      <alignment wrapText="1"/>
      <protection locked="0"/>
    </xf>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45" xfId="0" applyNumberFormat="1" applyFill="1" applyBorder="1" applyAlignment="1" applyProtection="1">
      <alignment horizontal="left" vertical="center" wrapText="1"/>
    </xf>
    <xf numFmtId="0" fontId="103" fillId="34" borderId="45" xfId="0" applyNumberFormat="1" applyFont="1" applyFill="1" applyBorder="1" applyAlignment="1" applyProtection="1">
      <alignment horizontal="left" vertical="center" wrapText="1"/>
    </xf>
    <xf numFmtId="164" fontId="103" fillId="34" borderId="45" xfId="439" applyNumberFormat="1" applyFont="1" applyFill="1" applyBorder="1" applyAlignment="1" applyProtection="1">
      <alignment horizontal="center" vertical="center" wrapText="1"/>
    </xf>
    <xf numFmtId="39" fontId="103" fillId="34" borderId="45" xfId="439" applyNumberFormat="1" applyFont="1" applyFill="1" applyBorder="1" applyAlignment="1" applyProtection="1">
      <alignment horizontal="center" vertical="center" wrapText="1"/>
    </xf>
    <xf numFmtId="0" fontId="63" fillId="34" borderId="45" xfId="0" applyNumberFormat="1" applyFont="1" applyFill="1" applyBorder="1" applyAlignment="1" applyProtection="1">
      <alignment horizontal="center" vertical="center"/>
    </xf>
    <xf numFmtId="0" fontId="0" fillId="34" borderId="45" xfId="0" applyFont="1" applyFill="1" applyBorder="1" applyAlignment="1" applyProtection="1">
      <alignment vertical="center" wrapText="1"/>
    </xf>
    <xf numFmtId="0" fontId="0" fillId="34" borderId="23" xfId="0" applyNumberFormat="1" applyFill="1" applyBorder="1" applyAlignment="1" applyProtection="1">
      <alignment horizontal="left" vertical="center" wrapText="1"/>
    </xf>
    <xf numFmtId="0" fontId="0" fillId="34" borderId="23" xfId="0" applyFont="1" applyFill="1" applyBorder="1" applyAlignment="1" applyProtection="1">
      <alignment vertical="center" wrapText="1"/>
    </xf>
    <xf numFmtId="0" fontId="63" fillId="34" borderId="43" xfId="0" applyNumberFormat="1" applyFont="1" applyFill="1" applyBorder="1" applyAlignment="1" applyProtection="1">
      <alignment horizontal="center" vertical="center"/>
    </xf>
    <xf numFmtId="0" fontId="0" fillId="0" borderId="0" xfId="0" applyFill="1" applyAlignment="1">
      <alignment horizontal="left" vertical="center" wrapText="1"/>
    </xf>
    <xf numFmtId="37" fontId="57"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0" fontId="63" fillId="0" borderId="0" xfId="439" applyNumberFormat="1" applyFont="1" applyAlignment="1">
      <alignment horizontal="center" vertical="center"/>
    </xf>
    <xf numFmtId="164" fontId="0" fillId="0" borderId="0" xfId="439" applyNumberFormat="1" applyFont="1"/>
    <xf numFmtId="0" fontId="145" fillId="0" borderId="0" xfId="0" applyFont="1" applyAlignment="1">
      <alignment vertical="center"/>
    </xf>
    <xf numFmtId="164" fontId="65" fillId="0" borderId="0" xfId="439" applyNumberFormat="1" applyFont="1" applyAlignment="1">
      <alignment horizontal="center" vertical="center" wrapText="1"/>
    </xf>
    <xf numFmtId="0" fontId="65" fillId="0" borderId="0" xfId="0" applyFont="1" applyAlignment="1">
      <alignment horizontal="center" vertical="center" wrapText="1"/>
    </xf>
    <xf numFmtId="0" fontId="146"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2" xfId="0" applyBorder="1"/>
    <xf numFmtId="0" fontId="58" fillId="0" borderId="0" xfId="659"/>
    <xf numFmtId="0" fontId="68" fillId="0" borderId="0" xfId="659" applyNumberFormat="1" applyFont="1" applyFill="1"/>
    <xf numFmtId="0" fontId="35" fillId="0" borderId="0" xfId="659" applyNumberFormat="1" applyFont="1" applyFill="1" applyAlignment="1" applyProtection="1">
      <alignment horizontal="left" vertical="center" wrapText="1"/>
    </xf>
    <xf numFmtId="0" fontId="58" fillId="0" borderId="0" xfId="659" applyFill="1"/>
    <xf numFmtId="0" fontId="68" fillId="0" borderId="0" xfId="659" applyFont="1" applyFill="1" applyAlignment="1">
      <alignment horizontal="center"/>
    </xf>
    <xf numFmtId="43" fontId="69" fillId="0" borderId="0" xfId="439" applyFont="1" applyFill="1" applyAlignment="1" applyProtection="1">
      <alignment horizontal="center" vertical="center" wrapText="1"/>
    </xf>
    <xf numFmtId="0" fontId="176" fillId="0" borderId="0" xfId="0" applyFont="1"/>
    <xf numFmtId="172" fontId="0" fillId="0" borderId="0" xfId="439" applyNumberFormat="1" applyFont="1"/>
    <xf numFmtId="164" fontId="58" fillId="0" borderId="0" xfId="659" applyNumberFormat="1"/>
    <xf numFmtId="38" fontId="0" fillId="0" borderId="0" xfId="0" applyNumberFormat="1"/>
    <xf numFmtId="0" fontId="177" fillId="0" borderId="0" xfId="659" applyFont="1" applyFill="1"/>
    <xf numFmtId="37" fontId="65" fillId="0" borderId="45" xfId="0" applyNumberFormat="1" applyFont="1" applyFill="1" applyBorder="1" applyAlignment="1" applyProtection="1">
      <alignment wrapText="1"/>
      <protection locked="0"/>
    </xf>
    <xf numFmtId="38" fontId="69" fillId="0" borderId="0" xfId="439" applyNumberFormat="1" applyFont="1" applyFill="1" applyAlignment="1" applyProtection="1">
      <alignment horizontal="center" vertical="center" wrapText="1"/>
      <protection locked="0"/>
    </xf>
    <xf numFmtId="0" fontId="129" fillId="0" borderId="0" xfId="0" applyFont="1" applyFill="1" applyAlignment="1" applyProtection="1">
      <alignment horizontal="center" wrapText="1"/>
    </xf>
    <xf numFmtId="0" fontId="106" fillId="0" borderId="0" xfId="0" applyFont="1" applyAlignment="1" applyProtection="1">
      <alignment horizontal="center"/>
    </xf>
    <xf numFmtId="0" fontId="63" fillId="0" borderId="0" xfId="0" applyFont="1" applyAlignment="1" applyProtection="1">
      <alignment wrapText="1"/>
    </xf>
    <xf numFmtId="0" fontId="122" fillId="0" borderId="0" xfId="0" applyFont="1" applyProtection="1"/>
    <xf numFmtId="0" fontId="63" fillId="0" borderId="0" xfId="0" applyFont="1" applyAlignment="1" applyProtection="1">
      <alignment horizontal="center" wrapText="1"/>
    </xf>
    <xf numFmtId="0" fontId="123" fillId="0" borderId="0" xfId="0" applyFont="1" applyProtection="1"/>
    <xf numFmtId="0" fontId="63" fillId="26" borderId="0" xfId="0" applyFont="1" applyFill="1" applyAlignment="1" applyProtection="1">
      <alignment horizontal="center"/>
    </xf>
    <xf numFmtId="0" fontId="0" fillId="0" borderId="37" xfId="0" applyBorder="1" applyAlignment="1" applyProtection="1">
      <alignment wrapText="1"/>
    </xf>
    <xf numFmtId="0" fontId="0" fillId="0" borderId="38" xfId="0" applyBorder="1" applyProtection="1"/>
    <xf numFmtId="164" fontId="63" fillId="0" borderId="38" xfId="439" applyNumberFormat="1" applyFont="1" applyBorder="1" applyAlignment="1" applyProtection="1">
      <alignment horizontal="center"/>
    </xf>
    <xf numFmtId="167" fontId="63" fillId="0" borderId="39" xfId="545" applyNumberFormat="1" applyFont="1" applyFill="1" applyBorder="1" applyAlignment="1" applyProtection="1">
      <alignment horizontal="center"/>
    </xf>
    <xf numFmtId="0" fontId="69" fillId="0" borderId="15" xfId="0" applyFont="1" applyFill="1" applyBorder="1" applyAlignment="1" applyProtection="1">
      <alignment wrapText="1"/>
    </xf>
    <xf numFmtId="164" fontId="63" fillId="0" borderId="0" xfId="439" applyNumberFormat="1" applyFont="1" applyBorder="1" applyAlignment="1" applyProtection="1">
      <alignment horizontal="center"/>
    </xf>
    <xf numFmtId="0" fontId="63" fillId="0" borderId="0" xfId="0" quotePrefix="1" applyFont="1" applyAlignment="1" applyProtection="1">
      <alignment horizontal="center" wrapText="1"/>
    </xf>
    <xf numFmtId="0" fontId="0" fillId="0" borderId="16" xfId="0" applyBorder="1" applyProtection="1"/>
    <xf numFmtId="0" fontId="124" fillId="0" borderId="0" xfId="0" applyFont="1" applyFill="1" applyBorder="1" applyAlignment="1" applyProtection="1">
      <alignment wrapText="1"/>
    </xf>
    <xf numFmtId="10" fontId="129" fillId="0" borderId="0" xfId="4688" applyNumberFormat="1" applyFont="1" applyFill="1" applyBorder="1" applyAlignment="1" applyProtection="1">
      <alignment horizontal="left"/>
    </xf>
    <xf numFmtId="10" fontId="63" fillId="0" borderId="0" xfId="4688" applyNumberFormat="1" applyFont="1" applyFill="1" applyBorder="1" applyAlignment="1" applyProtection="1">
      <alignment horizontal="center"/>
    </xf>
    <xf numFmtId="0" fontId="0" fillId="76" borderId="0" xfId="0" applyFill="1" applyProtection="1"/>
    <xf numFmtId="0" fontId="63" fillId="76" borderId="0" xfId="0" applyFont="1" applyFill="1" applyAlignment="1" applyProtection="1">
      <alignment horizontal="center"/>
    </xf>
    <xf numFmtId="0" fontId="63" fillId="76" borderId="0" xfId="0" applyFont="1" applyFill="1" applyAlignment="1" applyProtection="1">
      <alignment horizontal="center" wrapText="1"/>
    </xf>
    <xf numFmtId="0" fontId="63" fillId="76" borderId="0" xfId="0" applyFont="1" applyFill="1" applyAlignment="1" applyProtection="1">
      <alignment horizontal="left" vertical="center" wrapText="1"/>
    </xf>
    <xf numFmtId="0" fontId="63" fillId="0" borderId="0" xfId="0" applyFont="1" applyFill="1" applyAlignment="1" applyProtection="1">
      <alignment horizontal="left" vertical="center" wrapText="1"/>
    </xf>
    <xf numFmtId="0" fontId="0" fillId="0" borderId="37" xfId="0" applyFill="1" applyBorder="1" applyProtection="1"/>
    <xf numFmtId="164" fontId="63" fillId="0" borderId="39" xfId="439" applyNumberFormat="1" applyFont="1" applyBorder="1" applyAlignment="1" applyProtection="1">
      <alignment horizontal="center"/>
    </xf>
    <xf numFmtId="0" fontId="0" fillId="0" borderId="40" xfId="0" applyFill="1" applyBorder="1" applyProtection="1"/>
    <xf numFmtId="0" fontId="0" fillId="0" borderId="41" xfId="0" applyBorder="1" applyProtection="1"/>
    <xf numFmtId="164" fontId="63" fillId="0" borderId="0" xfId="0" applyNumberFormat="1" applyFont="1" applyAlignment="1" applyProtection="1">
      <alignment horizontal="center" wrapText="1"/>
    </xf>
    <xf numFmtId="0" fontId="0" fillId="0" borderId="13" xfId="0" applyFill="1" applyBorder="1" applyProtection="1"/>
    <xf numFmtId="43" fontId="63" fillId="0" borderId="16" xfId="439" applyFont="1" applyBorder="1" applyAlignment="1" applyProtection="1">
      <alignment horizontal="center"/>
    </xf>
    <xf numFmtId="0" fontId="65" fillId="0" borderId="0" xfId="0" applyFont="1" applyFill="1" applyAlignment="1" applyProtection="1">
      <alignment horizontal="left" vertical="center" wrapText="1"/>
    </xf>
    <xf numFmtId="0" fontId="63" fillId="0" borderId="0" xfId="0" applyFont="1" applyFill="1" applyAlignment="1" applyProtection="1">
      <alignment horizontal="center"/>
    </xf>
    <xf numFmtId="167" fontId="63" fillId="0" borderId="16" xfId="545" applyNumberFormat="1" applyFont="1" applyBorder="1" applyAlignment="1" applyProtection="1">
      <alignment horizontal="center"/>
    </xf>
    <xf numFmtId="0" fontId="84" fillId="0" borderId="0" xfId="0" applyFont="1" applyFill="1" applyAlignment="1" applyProtection="1">
      <alignment horizontal="left" vertical="center" wrapText="1"/>
    </xf>
    <xf numFmtId="0" fontId="0" fillId="76" borderId="0" xfId="0" applyFill="1" applyBorder="1" applyProtection="1"/>
    <xf numFmtId="167" fontId="63" fillId="76" borderId="0" xfId="545" applyNumberFormat="1" applyFont="1" applyFill="1" applyBorder="1" applyAlignment="1" applyProtection="1">
      <alignment horizontal="center"/>
    </xf>
    <xf numFmtId="0" fontId="63" fillId="76" borderId="0" xfId="0" quotePrefix="1" applyFont="1" applyFill="1" applyAlignment="1" applyProtection="1">
      <alignment horizontal="center" wrapText="1"/>
    </xf>
    <xf numFmtId="0" fontId="84" fillId="76" borderId="0" xfId="0" applyFont="1" applyFill="1" applyAlignment="1" applyProtection="1">
      <alignment horizontal="left" vertical="center" wrapText="1"/>
    </xf>
    <xf numFmtId="0" fontId="63" fillId="0" borderId="0" xfId="0" applyFont="1" applyFill="1" applyAlignment="1" applyProtection="1">
      <alignment horizontal="center" wrapText="1"/>
    </xf>
    <xf numFmtId="164" fontId="63" fillId="0" borderId="42" xfId="439" applyNumberFormat="1" applyFont="1" applyBorder="1" applyAlignment="1" applyProtection="1">
      <alignment horizontal="center"/>
    </xf>
    <xf numFmtId="43" fontId="63" fillId="0" borderId="11" xfId="439" applyFont="1" applyBorder="1" applyAlignment="1" applyProtection="1">
      <alignment horizontal="center"/>
    </xf>
    <xf numFmtId="167" fontId="63" fillId="22" borderId="0" xfId="545" applyNumberFormat="1" applyFont="1" applyFill="1" applyBorder="1" applyAlignment="1" applyProtection="1">
      <alignment horizontal="center"/>
    </xf>
    <xf numFmtId="167" fontId="63" fillId="0" borderId="0" xfId="545" applyNumberFormat="1" applyFont="1" applyBorder="1" applyAlignment="1" applyProtection="1">
      <alignment horizontal="center"/>
    </xf>
    <xf numFmtId="0" fontId="64" fillId="0" borderId="0" xfId="0" applyFont="1" applyProtection="1"/>
    <xf numFmtId="167" fontId="57" fillId="0" borderId="0" xfId="545" applyNumberFormat="1" applyFont="1" applyProtection="1"/>
    <xf numFmtId="167" fontId="0" fillId="0" borderId="0" xfId="545" applyNumberFormat="1" applyFont="1" applyProtection="1"/>
    <xf numFmtId="0" fontId="0" fillId="0" borderId="0" xfId="0" quotePrefix="1" applyAlignment="1" applyProtection="1">
      <alignment horizontal="center"/>
    </xf>
    <xf numFmtId="0" fontId="0" fillId="0" borderId="0" xfId="0" applyFont="1" applyAlignment="1" applyProtection="1">
      <alignment horizontal="center"/>
    </xf>
    <xf numFmtId="167" fontId="124" fillId="0" borderId="0" xfId="545" applyNumberFormat="1" applyFont="1" applyProtection="1"/>
    <xf numFmtId="0" fontId="0" fillId="0" borderId="0" xfId="0" applyAlignment="1" applyProtection="1">
      <alignment horizontal="left"/>
    </xf>
    <xf numFmtId="164" fontId="178" fillId="21" borderId="12" xfId="439" applyNumberFormat="1" applyFont="1" applyFill="1" applyBorder="1" applyAlignment="1" applyProtection="1">
      <alignment horizontal="center" wrapText="1"/>
    </xf>
    <xf numFmtId="41" fontId="115" fillId="28" borderId="0" xfId="439" applyNumberFormat="1" applyFont="1" applyFill="1" applyAlignment="1" applyProtection="1">
      <alignment wrapText="1"/>
    </xf>
    <xf numFmtId="41" fontId="115" fillId="0" borderId="0" xfId="439" applyNumberFormat="1" applyFont="1" applyFill="1" applyAlignment="1" applyProtection="1">
      <alignment wrapText="1"/>
    </xf>
    <xf numFmtId="41" fontId="66" fillId="28" borderId="0" xfId="439" applyNumberFormat="1" applyFont="1" applyFill="1" applyAlignment="1" applyProtection="1">
      <alignment wrapText="1"/>
    </xf>
    <xf numFmtId="0" fontId="178" fillId="28" borderId="0" xfId="0" applyFont="1" applyFill="1" applyAlignment="1" applyProtection="1">
      <alignment wrapText="1"/>
    </xf>
    <xf numFmtId="0" fontId="178" fillId="28" borderId="0" xfId="0" applyFont="1" applyFill="1" applyAlignment="1" applyProtection="1"/>
    <xf numFmtId="0" fontId="178" fillId="28" borderId="0" xfId="0" applyFont="1" applyFill="1" applyAlignment="1" applyProtection="1">
      <alignment horizontal="left" wrapText="1" indent="2"/>
    </xf>
    <xf numFmtId="0" fontId="178" fillId="0" borderId="0" xfId="0" applyFont="1" applyFill="1" applyAlignment="1" applyProtection="1">
      <alignment horizontal="left" wrapText="1" indent="2"/>
    </xf>
    <xf numFmtId="0" fontId="178" fillId="28" borderId="0" xfId="0" applyFont="1" applyFill="1" applyAlignment="1" applyProtection="1">
      <alignment vertical="center"/>
    </xf>
    <xf numFmtId="0" fontId="124" fillId="0" borderId="0" xfId="0" applyNumberFormat="1" applyFont="1" applyFill="1" applyAlignment="1" applyProtection="1">
      <alignment horizontal="left" vertical="center" wrapText="1" indent="6"/>
    </xf>
    <xf numFmtId="41" fontId="66" fillId="29" borderId="0" xfId="439" applyNumberFormat="1" applyFont="1" applyFill="1" applyAlignment="1" applyProtection="1">
      <alignment horizontal="center" vertical="center" wrapText="1"/>
      <protection locked="0"/>
    </xf>
    <xf numFmtId="39" fontId="179" fillId="35" borderId="0" xfId="439" applyNumberFormat="1" applyFont="1" applyFill="1" applyBorder="1" applyAlignment="1" applyProtection="1">
      <alignment horizontal="center" vertical="center" wrapText="1"/>
    </xf>
    <xf numFmtId="39" fontId="179" fillId="0" borderId="0" xfId="439" applyNumberFormat="1" applyFont="1" applyFill="1" applyBorder="1" applyAlignment="1" applyProtection="1">
      <alignment horizontal="center" vertical="center" wrapText="1"/>
    </xf>
    <xf numFmtId="41" fontId="115" fillId="0" borderId="0" xfId="439" applyNumberFormat="1" applyFont="1" applyFill="1" applyAlignment="1" applyProtection="1">
      <alignment vertical="center" wrapText="1"/>
    </xf>
    <xf numFmtId="0" fontId="180" fillId="28" borderId="0" xfId="0" applyFont="1" applyFill="1" applyAlignment="1" applyProtection="1">
      <alignment horizontal="left" vertical="center"/>
    </xf>
    <xf numFmtId="38" fontId="71" fillId="28" borderId="0" xfId="0" applyNumberFormat="1" applyFont="1" applyFill="1" applyAlignment="1" applyProtection="1">
      <alignment horizontal="left" vertical="center"/>
    </xf>
    <xf numFmtId="0" fontId="0" fillId="28" borderId="0" xfId="0" applyNumberFormat="1" applyFont="1" applyFill="1" applyAlignment="1" applyProtection="1">
      <alignment horizontal="center" vertical="center"/>
    </xf>
    <xf numFmtId="0" fontId="0" fillId="0" borderId="0" xfId="0" applyAlignment="1" applyProtection="1">
      <alignment horizontal="center" vertical="center"/>
    </xf>
    <xf numFmtId="0" fontId="101" fillId="28" borderId="0" xfId="0" applyFont="1" applyFill="1" applyAlignment="1" applyProtection="1">
      <alignment horizontal="center" vertical="center" wrapText="1"/>
    </xf>
    <xf numFmtId="38" fontId="69" fillId="28" borderId="0" xfId="439" applyNumberFormat="1" applyFont="1" applyFill="1" applyAlignment="1" applyProtection="1">
      <alignment horizontal="center" vertical="center" wrapText="1"/>
    </xf>
    <xf numFmtId="41" fontId="65"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81" fillId="28" borderId="0" xfId="0" applyFont="1" applyFill="1" applyAlignment="1" applyProtection="1">
      <alignment horizontal="center" vertical="center" wrapText="1"/>
    </xf>
    <xf numFmtId="0" fontId="0" fillId="28" borderId="0" xfId="0" applyFill="1" applyProtection="1"/>
    <xf numFmtId="0" fontId="39" fillId="28" borderId="0" xfId="0" applyFont="1" applyFill="1" applyAlignment="1" applyProtection="1">
      <alignment vertical="center" wrapText="1"/>
    </xf>
    <xf numFmtId="0" fontId="103"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64" fillId="24" borderId="0" xfId="439" applyNumberFormat="1" applyFont="1" applyFill="1" applyBorder="1" applyAlignment="1" applyProtection="1">
      <alignment horizontal="center" wrapText="1"/>
    </xf>
    <xf numFmtId="174" fontId="63" fillId="22" borderId="0" xfId="439" applyNumberFormat="1" applyFont="1" applyFill="1" applyAlignment="1" applyProtection="1">
      <alignment horizontal="center" vertical="center"/>
      <protection locked="0"/>
    </xf>
    <xf numFmtId="37" fontId="0" fillId="0" borderId="0" xfId="0" applyNumberFormat="1" applyAlignment="1" applyProtection="1">
      <alignment wrapText="1"/>
      <protection locked="0"/>
    </xf>
    <xf numFmtId="41" fontId="66" fillId="0" borderId="0" xfId="0" applyNumberFormat="1" applyFont="1" applyFill="1" applyAlignment="1" applyProtection="1">
      <alignment wrapText="1"/>
    </xf>
    <xf numFmtId="41" fontId="66" fillId="28" borderId="0" xfId="0" applyNumberFormat="1" applyFont="1" applyFill="1" applyAlignment="1" applyProtection="1">
      <alignment wrapText="1"/>
    </xf>
    <xf numFmtId="41" fontId="65" fillId="0" borderId="0" xfId="439" applyNumberFormat="1" applyFont="1" applyFill="1" applyAlignment="1" applyProtection="1">
      <alignment vertical="center" wrapText="1"/>
    </xf>
    <xf numFmtId="41" fontId="115" fillId="0" borderId="0" xfId="0" applyNumberFormat="1" applyFont="1" applyFill="1" applyAlignment="1" applyProtection="1">
      <alignment wrapText="1"/>
    </xf>
    <xf numFmtId="175" fontId="63" fillId="29" borderId="0" xfId="439" applyNumberFormat="1" applyFont="1" applyFill="1" applyAlignment="1" applyProtection="1">
      <alignment horizontal="center" vertical="center"/>
      <protection locked="0"/>
    </xf>
    <xf numFmtId="37" fontId="57" fillId="29" borderId="0" xfId="439" applyNumberFormat="1" applyFont="1" applyFill="1" applyAlignment="1" applyProtection="1">
      <alignment horizontal="center" vertical="center"/>
      <protection locked="0"/>
    </xf>
    <xf numFmtId="169" fontId="63" fillId="29" borderId="0" xfId="439" applyNumberFormat="1" applyFont="1" applyFill="1" applyAlignment="1" applyProtection="1">
      <alignment horizontal="center" vertical="center"/>
      <protection locked="0"/>
    </xf>
    <xf numFmtId="2" fontId="63" fillId="29" borderId="0" xfId="439" applyNumberFormat="1" applyFont="1" applyFill="1" applyAlignment="1" applyProtection="1">
      <alignment horizontal="center" vertical="center"/>
      <protection locked="0"/>
    </xf>
    <xf numFmtId="3" fontId="63" fillId="29" borderId="0" xfId="439" applyNumberFormat="1" applyFont="1" applyFill="1" applyAlignment="1" applyProtection="1">
      <alignment horizontal="center" vertical="center"/>
      <protection locked="0"/>
    </xf>
    <xf numFmtId="38" fontId="69" fillId="0" borderId="0" xfId="439" applyNumberFormat="1" applyFont="1" applyFill="1" applyAlignment="1" applyProtection="1">
      <alignment horizontal="center" vertical="center" wrapText="1"/>
    </xf>
    <xf numFmtId="0" fontId="124" fillId="0" borderId="0" xfId="0" applyFont="1" applyFill="1"/>
    <xf numFmtId="14" fontId="103" fillId="0" borderId="23" xfId="439" applyNumberFormat="1" applyFont="1" applyFill="1" applyBorder="1" applyAlignment="1" applyProtection="1">
      <alignment horizontal="center" vertical="center" wrapText="1"/>
    </xf>
    <xf numFmtId="167" fontId="63" fillId="0" borderId="42" xfId="545" applyNumberFormat="1" applyFont="1" applyFill="1" applyBorder="1" applyAlignment="1" applyProtection="1">
      <alignment horizontal="center"/>
    </xf>
    <xf numFmtId="167" fontId="63" fillId="0" borderId="11" xfId="545" applyNumberFormat="1" applyFont="1" applyFill="1" applyBorder="1" applyAlignment="1" applyProtection="1">
      <alignment horizontal="center"/>
    </xf>
    <xf numFmtId="167" fontId="0" fillId="0" borderId="0" xfId="545" applyNumberFormat="1" applyFont="1" applyFill="1" applyProtection="1"/>
    <xf numFmtId="173" fontId="69" fillId="22" borderId="0" xfId="439" applyNumberFormat="1" applyFont="1" applyFill="1" applyAlignment="1" applyProtection="1">
      <alignment horizontal="center" vertical="center" wrapText="1"/>
    </xf>
    <xf numFmtId="37" fontId="0" fillId="0" borderId="0" xfId="0" applyNumberFormat="1" applyFont="1" applyFill="1" applyAlignment="1" applyProtection="1">
      <alignment horizontal="center" vertical="center"/>
    </xf>
    <xf numFmtId="0" fontId="112" fillId="34" borderId="0" xfId="0" applyNumberFormat="1" applyFont="1" applyFill="1" applyAlignment="1" applyProtection="1">
      <alignment horizontal="left" vertical="center" wrapText="1"/>
    </xf>
    <xf numFmtId="164" fontId="103" fillId="34" borderId="45" xfId="439" applyNumberFormat="1" applyFont="1" applyFill="1" applyBorder="1" applyAlignment="1" applyProtection="1">
      <alignment horizontal="center" vertical="center" wrapText="1"/>
      <protection locked="0"/>
    </xf>
    <xf numFmtId="164" fontId="80" fillId="0" borderId="0" xfId="0" applyNumberFormat="1" applyFont="1" applyAlignment="1" applyProtection="1">
      <alignment wrapText="1"/>
    </xf>
    <xf numFmtId="164" fontId="103" fillId="22" borderId="23" xfId="439" applyNumberFormat="1" applyFont="1" applyFill="1" applyBorder="1" applyAlignment="1" applyProtection="1">
      <alignment horizontal="center" vertical="center" wrapText="1"/>
      <protection locked="0"/>
    </xf>
    <xf numFmtId="172" fontId="103" fillId="22" borderId="23" xfId="439" applyNumberFormat="1" applyFont="1" applyFill="1" applyBorder="1" applyAlignment="1" applyProtection="1">
      <alignment horizontal="center" vertical="center" wrapText="1"/>
    </xf>
    <xf numFmtId="39" fontId="103" fillId="22" borderId="28" xfId="439" applyNumberFormat="1" applyFont="1" applyFill="1" applyBorder="1" applyAlignment="1" applyProtection="1">
      <alignment horizontal="center" vertical="center" wrapText="1"/>
    </xf>
    <xf numFmtId="164" fontId="103" fillId="22" borderId="29" xfId="439" applyNumberFormat="1" applyFont="1" applyFill="1" applyBorder="1" applyAlignment="1" applyProtection="1">
      <alignment horizontal="center" vertical="center" wrapText="1"/>
    </xf>
    <xf numFmtId="0" fontId="63" fillId="22" borderId="24" xfId="0" applyNumberFormat="1" applyFont="1" applyFill="1" applyBorder="1" applyAlignment="1" applyProtection="1">
      <alignment horizontal="center" vertical="center"/>
    </xf>
    <xf numFmtId="0" fontId="68" fillId="22" borderId="0" xfId="0" applyFont="1" applyFill="1" applyAlignment="1" applyProtection="1">
      <alignment vertical="center" wrapText="1"/>
      <protection locked="0"/>
    </xf>
    <xf numFmtId="164" fontId="57" fillId="22" borderId="28" xfId="439" applyNumberFormat="1" applyFont="1" applyFill="1" applyBorder="1" applyAlignment="1" applyProtection="1">
      <alignment vertical="center"/>
    </xf>
    <xf numFmtId="0" fontId="0" fillId="22" borderId="0" xfId="0" applyFill="1" applyProtection="1"/>
    <xf numFmtId="164" fontId="80" fillId="22" borderId="0" xfId="0" applyNumberFormat="1" applyFont="1" applyFill="1" applyAlignment="1" applyProtection="1">
      <alignment wrapText="1"/>
    </xf>
    <xf numFmtId="0" fontId="124" fillId="22" borderId="0" xfId="0" applyFont="1" applyFill="1"/>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0" fontId="0" fillId="22" borderId="0" xfId="0" applyFill="1" applyBorder="1" applyAlignment="1" applyProtection="1">
      <alignment vertical="center"/>
    </xf>
    <xf numFmtId="0" fontId="63" fillId="0" borderId="25" xfId="0" applyNumberFormat="1" applyFont="1" applyFill="1" applyBorder="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164" fontId="103" fillId="29" borderId="31" xfId="439" applyNumberFormat="1" applyFont="1" applyFill="1" applyBorder="1" applyAlignment="1" applyProtection="1">
      <alignment horizontal="center" vertical="center" wrapText="1"/>
      <protection locked="0"/>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37" fontId="63" fillId="29" borderId="0" xfId="439" applyNumberFormat="1" applyFont="1" applyFill="1" applyAlignment="1" applyProtection="1">
      <alignment horizontal="center" vertical="center"/>
      <protection locked="0"/>
    </xf>
    <xf numFmtId="2" fontId="57"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xf>
    <xf numFmtId="0" fontId="0" fillId="0" borderId="0" xfId="0" quotePrefix="1"/>
    <xf numFmtId="0" fontId="77" fillId="0" borderId="0" xfId="0" applyFont="1"/>
    <xf numFmtId="0" fontId="64" fillId="0" borderId="0" xfId="0" applyFont="1" applyAlignment="1">
      <alignment vertical="center"/>
    </xf>
    <xf numFmtId="0" fontId="77" fillId="0" borderId="0" xfId="0" applyFont="1" applyAlignment="1">
      <alignment vertical="center"/>
    </xf>
    <xf numFmtId="0" fontId="64" fillId="0" borderId="0" xfId="0" applyFont="1"/>
    <xf numFmtId="0" fontId="0" fillId="34" borderId="0" xfId="0" applyFont="1" applyFill="1" applyBorder="1" applyAlignment="1" applyProtection="1">
      <alignment vertical="center" wrapText="1"/>
    </xf>
    <xf numFmtId="0" fontId="0" fillId="0" borderId="0" xfId="0"/>
    <xf numFmtId="0" fontId="0" fillId="34" borderId="0" xfId="0" applyFont="1" applyFill="1" applyAlignment="1" applyProtection="1">
      <alignment horizontal="left" vertical="center" wrapText="1"/>
    </xf>
    <xf numFmtId="0" fontId="0" fillId="34" borderId="0" xfId="0" applyFill="1" applyAlignment="1">
      <alignment vertical="center" wrapText="1"/>
    </xf>
    <xf numFmtId="0" fontId="124" fillId="0" borderId="0" xfId="0" applyFont="1"/>
    <xf numFmtId="0" fontId="0" fillId="0" borderId="0" xfId="0" applyAlignment="1">
      <alignment vertical="center"/>
    </xf>
    <xf numFmtId="0" fontId="188" fillId="0" borderId="0" xfId="0" applyFont="1" applyAlignment="1">
      <alignment vertical="center"/>
    </xf>
    <xf numFmtId="0" fontId="0" fillId="0" borderId="0" xfId="0" applyFill="1" applyBorder="1" applyAlignment="1" applyProtection="1">
      <alignment vertical="center"/>
    </xf>
    <xf numFmtId="0" fontId="0" fillId="22" borderId="45" xfId="0" applyFill="1" applyBorder="1" applyAlignment="1" applyProtection="1">
      <alignment vertical="center"/>
    </xf>
    <xf numFmtId="0" fontId="77" fillId="0" borderId="0" xfId="0" applyFont="1" applyAlignment="1" applyProtection="1">
      <alignment horizontal="center"/>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0" fontId="0" fillId="0" borderId="0"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65" fillId="22" borderId="0" xfId="0" applyFont="1" applyFill="1" applyAlignment="1" applyProtection="1">
      <alignment horizontal="left" wrapText="1"/>
    </xf>
    <xf numFmtId="164" fontId="57" fillId="22" borderId="0" xfId="439" applyNumberFormat="1" applyFont="1" applyFill="1" applyProtection="1"/>
    <xf numFmtId="172" fontId="103" fillId="22" borderId="30" xfId="439" applyNumberFormat="1" applyFont="1" applyFill="1" applyBorder="1" applyAlignment="1" applyProtection="1">
      <alignment horizontal="center" vertical="center" wrapText="1"/>
    </xf>
    <xf numFmtId="37" fontId="0" fillId="0" borderId="0" xfId="439" applyNumberFormat="1" applyFont="1"/>
    <xf numFmtId="10" fontId="63" fillId="0" borderId="42" xfId="4688" applyNumberFormat="1" applyFont="1" applyFill="1" applyBorder="1" applyAlignment="1" applyProtection="1">
      <alignment horizontal="center"/>
    </xf>
    <xf numFmtId="0" fontId="63" fillId="76" borderId="0" xfId="0" applyFont="1" applyFill="1" applyBorder="1" applyAlignment="1" applyProtection="1">
      <alignment horizontal="center" wrapText="1"/>
    </xf>
    <xf numFmtId="0" fontId="0" fillId="0" borderId="0" xfId="0" applyBorder="1" applyAlignment="1" applyProtection="1">
      <alignment horizontal="center" vertical="center"/>
    </xf>
    <xf numFmtId="0" fontId="111" fillId="0" borderId="0" xfId="0" applyFont="1" applyFill="1" applyAlignment="1" applyProtection="1">
      <alignment horizontal="center" wrapText="1"/>
    </xf>
    <xf numFmtId="2" fontId="0" fillId="0" borderId="0" xfId="0" applyNumberFormat="1" applyAlignment="1" applyProtection="1">
      <alignment wrapText="1"/>
      <protection locked="0"/>
    </xf>
    <xf numFmtId="0" fontId="0" fillId="0" borderId="0" xfId="0" applyAlignment="1">
      <alignment wrapText="1"/>
    </xf>
    <xf numFmtId="175" fontId="103" fillId="78" borderId="23" xfId="439" applyNumberFormat="1" applyFont="1" applyFill="1" applyBorder="1" applyAlignment="1" applyProtection="1">
      <alignment horizontal="center" vertical="center" wrapText="1"/>
    </xf>
    <xf numFmtId="37" fontId="57" fillId="34" borderId="45" xfId="439" applyNumberFormat="1" applyFont="1" applyFill="1" applyBorder="1" applyAlignment="1" applyProtection="1">
      <alignment vertical="center"/>
    </xf>
    <xf numFmtId="37" fontId="57" fillId="0" borderId="28" xfId="439" applyNumberFormat="1" applyFont="1" applyBorder="1" applyAlignment="1" applyProtection="1">
      <alignment vertical="center"/>
    </xf>
    <xf numFmtId="37" fontId="57" fillId="23" borderId="28"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protection locked="0"/>
    </xf>
    <xf numFmtId="37" fontId="57" fillId="0" borderId="27" xfId="439" applyNumberFormat="1" applyFont="1" applyFill="1" applyBorder="1" applyAlignment="1" applyProtection="1">
      <alignment vertical="center"/>
    </xf>
    <xf numFmtId="180" fontId="103" fillId="78" borderId="23" xfId="439" applyNumberFormat="1" applyFont="1" applyFill="1" applyBorder="1" applyAlignment="1" applyProtection="1">
      <alignment horizontal="center" vertical="center" wrapText="1"/>
    </xf>
    <xf numFmtId="39" fontId="103" fillId="0" borderId="23" xfId="439" applyNumberFormat="1" applyFont="1" applyFill="1" applyBorder="1" applyAlignment="1" applyProtection="1">
      <alignment horizontal="center" vertical="center" wrapText="1"/>
    </xf>
    <xf numFmtId="37" fontId="57" fillId="34" borderId="29" xfId="439" applyNumberFormat="1" applyFont="1" applyFill="1" applyBorder="1" applyAlignment="1" applyProtection="1">
      <alignment vertical="center"/>
    </xf>
    <xf numFmtId="37" fontId="57" fillId="23" borderId="29" xfId="439" applyNumberFormat="1" applyFont="1" applyFill="1" applyBorder="1" applyAlignment="1" applyProtection="1">
      <alignment vertical="center"/>
    </xf>
    <xf numFmtId="37" fontId="57" fillId="0" borderId="27" xfId="439" applyNumberFormat="1" applyFont="1" applyBorder="1" applyAlignment="1" applyProtection="1">
      <alignment vertical="center"/>
    </xf>
    <xf numFmtId="37" fontId="57" fillId="34" borderId="28" xfId="439" applyNumberFormat="1" applyFont="1" applyFill="1" applyBorder="1" applyAlignment="1" applyProtection="1">
      <alignment vertical="center"/>
    </xf>
    <xf numFmtId="181" fontId="57" fillId="78" borderId="28" xfId="439" applyNumberFormat="1" applyFont="1" applyFill="1" applyBorder="1" applyAlignment="1" applyProtection="1">
      <alignment vertical="center"/>
    </xf>
    <xf numFmtId="38" fontId="69" fillId="0" borderId="0" xfId="439" applyNumberFormat="1" applyFont="1" applyFill="1" applyAlignment="1" applyProtection="1">
      <alignment horizontal="center" vertical="center" wrapText="1"/>
    </xf>
    <xf numFmtId="0" fontId="0" fillId="34" borderId="45" xfId="0" applyFill="1" applyBorder="1" applyProtection="1"/>
    <xf numFmtId="174" fontId="63" fillId="29" borderId="0" xfId="439" applyNumberFormat="1" applyFont="1" applyFill="1" applyAlignment="1" applyProtection="1">
      <alignment horizontal="center" vertical="center"/>
      <protection locked="0"/>
    </xf>
    <xf numFmtId="3" fontId="103" fillId="0" borderId="31" xfId="439" applyNumberFormat="1" applyFont="1" applyFill="1" applyBorder="1" applyAlignment="1" applyProtection="1">
      <alignment horizontal="center" vertical="center" wrapText="1"/>
    </xf>
    <xf numFmtId="37" fontId="57" fillId="0" borderId="46"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vertical="center"/>
    </xf>
    <xf numFmtId="37" fontId="57" fillId="0" borderId="29" xfId="439" applyNumberFormat="1" applyFont="1" applyBorder="1" applyAlignment="1" applyProtection="1">
      <alignment vertical="center"/>
    </xf>
    <xf numFmtId="3" fontId="103" fillId="34" borderId="23" xfId="439" applyNumberFormat="1" applyFont="1" applyFill="1" applyBorder="1" applyAlignment="1" applyProtection="1">
      <alignment horizontal="center" vertical="center" wrapText="1"/>
    </xf>
    <xf numFmtId="3" fontId="103" fillId="23" borderId="31" xfId="439" applyNumberFormat="1" applyFont="1" applyFill="1" applyBorder="1" applyAlignment="1" applyProtection="1">
      <alignment horizontal="center" vertical="center" wrapText="1"/>
    </xf>
    <xf numFmtId="3" fontId="103" fillId="23" borderId="23" xfId="439" applyNumberFormat="1" applyFont="1" applyFill="1" applyBorder="1" applyAlignment="1" applyProtection="1">
      <alignment horizontal="center" vertical="center" wrapText="1"/>
    </xf>
    <xf numFmtId="3" fontId="103" fillId="34" borderId="45" xfId="439" applyNumberFormat="1" applyFont="1" applyFill="1" applyBorder="1" applyAlignment="1" applyProtection="1">
      <alignment horizontal="center" vertical="center" wrapText="1"/>
    </xf>
    <xf numFmtId="3" fontId="103" fillId="0" borderId="30" xfId="439" applyNumberFormat="1" applyFont="1" applyFill="1" applyBorder="1" applyAlignment="1" applyProtection="1">
      <alignment horizontal="center" vertical="center" wrapText="1"/>
    </xf>
    <xf numFmtId="174" fontId="57" fillId="78" borderId="28" xfId="439" applyNumberFormat="1" applyFont="1" applyFill="1" applyBorder="1" applyAlignment="1" applyProtection="1">
      <alignment vertical="center"/>
    </xf>
    <xf numFmtId="37" fontId="103" fillId="0" borderId="23" xfId="439" applyNumberFormat="1" applyFont="1" applyFill="1" applyBorder="1" applyAlignment="1" applyProtection="1">
      <alignment horizontal="center" vertical="center" wrapText="1"/>
    </xf>
    <xf numFmtId="37" fontId="57" fillId="0" borderId="29" xfId="439" applyNumberFormat="1" applyFont="1" applyFill="1" applyBorder="1" applyAlignment="1" applyProtection="1">
      <alignment vertical="center"/>
    </xf>
    <xf numFmtId="37" fontId="57" fillId="32" borderId="29" xfId="439" applyNumberFormat="1" applyFont="1" applyFill="1" applyBorder="1" applyAlignment="1" applyProtection="1">
      <alignment vertical="center"/>
    </xf>
    <xf numFmtId="1" fontId="57" fillId="0" borderId="28" xfId="439" applyNumberFormat="1" applyFont="1" applyFill="1" applyBorder="1" applyAlignment="1" applyProtection="1">
      <alignment vertical="center"/>
    </xf>
    <xf numFmtId="164" fontId="63" fillId="0" borderId="60" xfId="439" applyNumberFormat="1" applyFont="1" applyBorder="1" applyAlignment="1" applyProtection="1">
      <alignment horizontal="center"/>
    </xf>
    <xf numFmtId="0" fontId="0" fillId="0" borderId="40" xfId="0" applyFill="1" applyBorder="1" applyAlignment="1" applyProtection="1">
      <alignment wrapText="1"/>
    </xf>
    <xf numFmtId="0" fontId="104" fillId="0" borderId="0" xfId="0" applyFont="1" applyFill="1" applyAlignment="1" applyProtection="1">
      <alignment horizontal="center" wrapText="1"/>
    </xf>
    <xf numFmtId="0" fontId="63" fillId="0" borderId="0" xfId="0" quotePrefix="1" applyFont="1" applyFill="1" applyAlignment="1" applyProtection="1">
      <alignment horizontal="center" wrapText="1"/>
    </xf>
    <xf numFmtId="0" fontId="0" fillId="26" borderId="0" xfId="0" applyFill="1" applyAlignment="1">
      <alignment wrapText="1"/>
    </xf>
    <xf numFmtId="0" fontId="63"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6" fillId="0" borderId="0" xfId="0" applyFont="1" applyAlignment="1">
      <alignment vertical="center" wrapText="1"/>
    </xf>
    <xf numFmtId="0" fontId="63" fillId="0" borderId="0" xfId="0" applyFont="1" applyAlignment="1">
      <alignment horizontal="center" vertical="center" wrapText="1"/>
    </xf>
    <xf numFmtId="0" fontId="0" fillId="0" borderId="0" xfId="0" applyAlignment="1">
      <alignment horizontal="center" vertical="center" wrapText="1"/>
    </xf>
    <xf numFmtId="0" fontId="0" fillId="0" borderId="23" xfId="0" applyBorder="1" applyAlignment="1">
      <alignment vertical="center" wrapText="1"/>
    </xf>
    <xf numFmtId="0" fontId="64" fillId="0" borderId="0" xfId="0" applyFont="1" applyAlignment="1">
      <alignment wrapText="1"/>
    </xf>
    <xf numFmtId="0" fontId="0" fillId="0" borderId="0" xfId="0" applyFill="1" applyAlignment="1">
      <alignment wrapText="1"/>
    </xf>
    <xf numFmtId="0" fontId="63" fillId="0" borderId="0" xfId="0" applyFont="1" applyFill="1"/>
    <xf numFmtId="0" fontId="64" fillId="0" borderId="0" xfId="0" applyFont="1" applyAlignment="1">
      <alignment horizontal="left"/>
    </xf>
    <xf numFmtId="3" fontId="0" fillId="0" borderId="0" xfId="0" applyNumberFormat="1" applyProtection="1"/>
    <xf numFmtId="4" fontId="0" fillId="0" borderId="0" xfId="0" applyNumberFormat="1" applyProtection="1"/>
    <xf numFmtId="0" fontId="63" fillId="0" borderId="0" xfId="0" applyFont="1" applyAlignment="1" applyProtection="1">
      <alignment horizontal="left" vertical="center" wrapText="1"/>
    </xf>
    <xf numFmtId="0" fontId="113" fillId="0" borderId="0" xfId="0" applyFont="1" applyProtection="1"/>
    <xf numFmtId="0" fontId="0" fillId="0" borderId="0" xfId="0" applyFill="1" applyAlignment="1" applyProtection="1">
      <alignment horizontal="center" vertical="center"/>
    </xf>
    <xf numFmtId="0" fontId="0" fillId="35" borderId="0" xfId="0" applyFill="1" applyAlignment="1" applyProtection="1">
      <alignment horizontal="center" vertical="center"/>
    </xf>
    <xf numFmtId="0" fontId="0" fillId="0" borderId="0" xfId="0" applyFill="1" applyAlignment="1" applyProtection="1">
      <alignment horizontal="center" wrapText="1"/>
      <protection locked="0"/>
    </xf>
    <xf numFmtId="0" fontId="103" fillId="22" borderId="23" xfId="439" applyNumberFormat="1" applyFont="1" applyFill="1" applyBorder="1" applyAlignment="1" applyProtection="1">
      <alignment horizontal="center" vertical="center" wrapText="1"/>
      <protection locked="0"/>
    </xf>
    <xf numFmtId="0" fontId="35" fillId="28" borderId="0" xfId="0" applyFont="1" applyFill="1" applyAlignment="1" applyProtection="1">
      <alignment horizontal="left" vertical="center"/>
    </xf>
    <xf numFmtId="38" fontId="69" fillId="0" borderId="0" xfId="439" applyNumberFormat="1" applyFont="1" applyFill="1" applyAlignment="1" applyProtection="1">
      <alignment horizontal="center" vertical="center" wrapText="1"/>
    </xf>
    <xf numFmtId="0" fontId="63" fillId="0" borderId="57" xfId="0" applyFont="1" applyBorder="1"/>
    <xf numFmtId="0" fontId="0" fillId="26" borderId="16" xfId="0" applyFill="1" applyBorder="1" applyAlignment="1" applyProtection="1">
      <alignment horizontal="center"/>
    </xf>
    <xf numFmtId="0" fontId="63" fillId="26" borderId="16" xfId="0" applyFont="1" applyFill="1" applyBorder="1" applyAlignment="1" applyProtection="1">
      <alignment horizontal="left"/>
    </xf>
    <xf numFmtId="0" fontId="63" fillId="0" borderId="59" xfId="0" applyFont="1" applyBorder="1" applyAlignment="1">
      <alignment vertical="center"/>
    </xf>
    <xf numFmtId="0" fontId="0" fillId="26" borderId="11" xfId="0" applyFill="1" applyBorder="1" applyAlignment="1" applyProtection="1">
      <alignment horizontal="center"/>
    </xf>
    <xf numFmtId="0" fontId="63" fillId="0" borderId="17" xfId="0" applyFont="1" applyBorder="1" applyAlignment="1">
      <alignment vertical="center"/>
    </xf>
    <xf numFmtId="0" fontId="63" fillId="0" borderId="0" xfId="0" applyFont="1" applyBorder="1" applyAlignment="1">
      <alignment vertical="center"/>
    </xf>
    <xf numFmtId="0" fontId="63" fillId="0" borderId="15" xfId="0" applyFont="1" applyBorder="1" applyAlignment="1">
      <alignment vertical="center"/>
    </xf>
    <xf numFmtId="0" fontId="0" fillId="0" borderId="0" xfId="0" applyBorder="1"/>
    <xf numFmtId="0" fontId="0" fillId="0" borderId="56" xfId="0" applyBorder="1"/>
    <xf numFmtId="38" fontId="63" fillId="29" borderId="0" xfId="439" applyNumberFormat="1" applyFont="1" applyFill="1" applyAlignment="1" applyProtection="1">
      <alignment horizontal="center" vertical="center"/>
      <protection locked="0"/>
    </xf>
    <xf numFmtId="164" fontId="63" fillId="28" borderId="0" xfId="439" applyNumberFormat="1" applyFont="1" applyFill="1" applyAlignment="1" applyProtection="1">
      <alignment horizontal="center" vertical="center"/>
      <protection locked="0"/>
    </xf>
    <xf numFmtId="37" fontId="57" fillId="28" borderId="0" xfId="439" applyNumberFormat="1" applyFont="1" applyFill="1" applyAlignment="1" applyProtection="1">
      <alignment horizontal="center" vertical="center"/>
      <protection locked="0"/>
    </xf>
    <xf numFmtId="164" fontId="57" fillId="28" borderId="0" xfId="439" applyNumberFormat="1" applyFont="1" applyFill="1" applyAlignment="1" applyProtection="1">
      <alignment horizontal="center" vertical="center"/>
      <protection locked="0"/>
    </xf>
    <xf numFmtId="2" fontId="64" fillId="28" borderId="0" xfId="0" applyNumberFormat="1" applyFont="1" applyFill="1" applyAlignment="1" applyProtection="1">
      <alignment horizontal="center" vertical="center" wrapText="1"/>
      <protection locked="0"/>
    </xf>
    <xf numFmtId="0" fontId="64" fillId="28" borderId="0" xfId="0" applyFont="1" applyFill="1" applyAlignment="1" applyProtection="1">
      <alignment horizontal="center" vertical="center"/>
      <protection locked="0"/>
    </xf>
    <xf numFmtId="0" fontId="64" fillId="28" borderId="0" xfId="0" applyFont="1" applyFill="1" applyAlignment="1" applyProtection="1">
      <alignment horizontal="center" vertical="center" wrapText="1"/>
      <protection locked="0"/>
    </xf>
    <xf numFmtId="3" fontId="57" fillId="28" borderId="0" xfId="439"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wrapText="1"/>
      <protection locked="0"/>
    </xf>
    <xf numFmtId="3" fontId="63" fillId="28" borderId="0" xfId="439" applyNumberFormat="1" applyFont="1" applyFill="1" applyAlignment="1" applyProtection="1">
      <alignment horizontal="center" vertical="center"/>
      <protection locked="0"/>
    </xf>
    <xf numFmtId="3" fontId="63" fillId="0" borderId="0" xfId="439" applyNumberFormat="1" applyFont="1" applyFill="1" applyAlignment="1" applyProtection="1">
      <alignment horizontal="center" vertical="center" wrapText="1"/>
      <protection locked="0"/>
    </xf>
    <xf numFmtId="3" fontId="63" fillId="22" borderId="0" xfId="439" applyNumberFormat="1" applyFont="1" applyFill="1" applyAlignment="1" applyProtection="1">
      <alignment horizontal="center" vertical="center" wrapText="1"/>
      <protection locked="0"/>
    </xf>
    <xf numFmtId="38" fontId="69" fillId="29" borderId="0" xfId="439" applyNumberFormat="1" applyFont="1" applyFill="1" applyAlignment="1" applyProtection="1">
      <alignment horizontal="center" vertical="center" wrapText="1"/>
      <protection locked="0"/>
    </xf>
    <xf numFmtId="3" fontId="0" fillId="0" borderId="0" xfId="0" applyNumberFormat="1" applyAlignment="1" applyProtection="1">
      <alignment horizontal="center" vertical="center"/>
      <protection locked="0"/>
    </xf>
    <xf numFmtId="3" fontId="0" fillId="0" borderId="0" xfId="0" applyNumberFormat="1" applyFill="1" applyAlignment="1" applyProtection="1">
      <alignment horizontal="center" vertical="center" wrapText="1"/>
      <protection locked="0"/>
    </xf>
    <xf numFmtId="164" fontId="57" fillId="28" borderId="0" xfId="439" applyNumberFormat="1" applyFont="1" applyFill="1" applyProtection="1">
      <protection locked="0"/>
    </xf>
    <xf numFmtId="41" fontId="115" fillId="28" borderId="0" xfId="439" applyNumberFormat="1" applyFont="1" applyFill="1" applyAlignment="1" applyProtection="1">
      <alignment wrapText="1"/>
      <protection locked="0"/>
    </xf>
    <xf numFmtId="41" fontId="66" fillId="28" borderId="0" xfId="0" applyNumberFormat="1" applyFont="1" applyFill="1" applyAlignment="1" applyProtection="1">
      <alignment wrapText="1"/>
      <protection locked="0"/>
    </xf>
    <xf numFmtId="41" fontId="115" fillId="28" borderId="0" xfId="0" applyNumberFormat="1" applyFont="1" applyFill="1" applyAlignment="1" applyProtection="1">
      <alignment wrapText="1"/>
      <protection locked="0"/>
    </xf>
    <xf numFmtId="0" fontId="178" fillId="28" borderId="0" xfId="0" applyFont="1" applyFill="1" applyAlignment="1" applyProtection="1">
      <protection locked="0"/>
    </xf>
    <xf numFmtId="38" fontId="71" fillId="28" borderId="0" xfId="0" applyNumberFormat="1" applyFont="1" applyFill="1" applyAlignment="1" applyProtection="1">
      <alignment horizontal="left" vertical="center"/>
      <protection locked="0"/>
    </xf>
    <xf numFmtId="14" fontId="65" fillId="29" borderId="0" xfId="439" applyNumberFormat="1" applyFont="1" applyFill="1" applyAlignment="1" applyProtection="1">
      <alignment horizontal="left" vertical="center" wrapText="1"/>
      <protection locked="0"/>
    </xf>
    <xf numFmtId="0" fontId="131" fillId="22" borderId="0" xfId="0" applyFont="1" applyFill="1" applyProtection="1"/>
    <xf numFmtId="0" fontId="189" fillId="22" borderId="0" xfId="0" applyFont="1" applyFill="1" applyProtection="1"/>
    <xf numFmtId="0" fontId="144" fillId="22" borderId="0" xfId="0" applyFont="1" applyFill="1" applyAlignment="1" applyProtection="1">
      <alignment vertical="center" wrapText="1"/>
    </xf>
    <xf numFmtId="0" fontId="144" fillId="22" borderId="0" xfId="0" applyFont="1" applyFill="1" applyAlignment="1" applyProtection="1">
      <alignment vertical="center"/>
      <protection locked="0"/>
    </xf>
    <xf numFmtId="0" fontId="144" fillId="22" borderId="0" xfId="0" applyFont="1" applyFill="1" applyAlignment="1" applyProtection="1">
      <alignment vertical="center"/>
    </xf>
    <xf numFmtId="0" fontId="105" fillId="27" borderId="0" xfId="0" applyFont="1" applyFill="1" applyAlignment="1">
      <alignment horizontal="center" vertical="center"/>
    </xf>
    <xf numFmtId="40" fontId="190" fillId="27" borderId="0" xfId="0" applyNumberFormat="1" applyFont="1" applyFill="1" applyAlignment="1">
      <alignment horizontal="center"/>
    </xf>
    <xf numFmtId="40" fontId="105" fillId="27" borderId="0" xfId="439" applyNumberFormat="1" applyFont="1" applyFill="1" applyAlignment="1">
      <alignment horizontal="center" vertical="center"/>
    </xf>
    <xf numFmtId="40" fontId="63" fillId="27" borderId="0" xfId="439" applyNumberFormat="1" applyFont="1" applyFill="1" applyAlignment="1">
      <alignment horizontal="center" vertical="center"/>
    </xf>
    <xf numFmtId="40" fontId="105" fillId="27" borderId="0" xfId="0" applyNumberFormat="1" applyFont="1" applyFill="1" applyAlignment="1">
      <alignment horizontal="center" vertical="center"/>
    </xf>
    <xf numFmtId="38" fontId="191" fillId="27" borderId="0" xfId="0" applyNumberFormat="1" applyFont="1" applyFill="1" applyAlignment="1">
      <alignment horizontal="center"/>
    </xf>
    <xf numFmtId="38" fontId="105" fillId="27" borderId="0" xfId="0" applyNumberFormat="1" applyFont="1" applyFill="1" applyAlignment="1">
      <alignment horizontal="center" vertical="center"/>
    </xf>
    <xf numFmtId="0" fontId="105" fillId="27" borderId="0" xfId="0" applyFont="1" applyFill="1" applyAlignment="1">
      <alignment horizontal="left" vertical="center" wrapText="1"/>
    </xf>
    <xf numFmtId="1" fontId="0" fillId="27" borderId="0" xfId="0" applyNumberFormat="1" applyFill="1"/>
    <xf numFmtId="40" fontId="191" fillId="0" borderId="0" xfId="0" applyNumberFormat="1" applyFont="1" applyAlignment="1">
      <alignment horizontal="center"/>
    </xf>
    <xf numFmtId="40" fontId="190" fillId="0" borderId="0" xfId="0" applyNumberFormat="1" applyFont="1" applyAlignment="1">
      <alignment horizontal="center"/>
    </xf>
    <xf numFmtId="40" fontId="105" fillId="0" borderId="0" xfId="439" applyNumberFormat="1" applyFont="1" applyAlignment="1">
      <alignment horizontal="center" vertical="center"/>
    </xf>
    <xf numFmtId="0" fontId="19" fillId="0" borderId="0" xfId="841" applyAlignment="1">
      <alignment horizontal="left" vertical="center" wrapText="1"/>
    </xf>
    <xf numFmtId="0" fontId="0" fillId="0" borderId="0" xfId="0" applyAlignment="1">
      <alignment horizontal="center" wrapText="1"/>
    </xf>
    <xf numFmtId="0" fontId="190" fillId="20" borderId="0" xfId="0" applyFont="1" applyFill="1" applyAlignment="1">
      <alignment horizontal="center"/>
    </xf>
    <xf numFmtId="1" fontId="190" fillId="20" borderId="0" xfId="0" applyNumberFormat="1" applyFont="1" applyFill="1" applyAlignment="1">
      <alignment horizontal="center"/>
    </xf>
    <xf numFmtId="1" fontId="192" fillId="20" borderId="0" xfId="0" applyNumberFormat="1" applyFont="1" applyFill="1" applyAlignment="1">
      <alignment horizontal="center" vertical="center"/>
    </xf>
    <xf numFmtId="1" fontId="191" fillId="0" borderId="0" xfId="0" applyNumberFormat="1" applyFont="1" applyAlignment="1">
      <alignment horizontal="center"/>
    </xf>
    <xf numFmtId="1" fontId="85" fillId="0" borderId="0" xfId="0" applyNumberFormat="1" applyFont="1" applyAlignment="1">
      <alignment horizontal="center"/>
    </xf>
    <xf numFmtId="1" fontId="0" fillId="0" borderId="0" xfId="0" applyNumberFormat="1" applyAlignment="1">
      <alignment horizontal="center" vertical="center" wrapText="1"/>
    </xf>
    <xf numFmtId="0" fontId="68" fillId="0" borderId="0" xfId="0" applyFont="1" applyAlignment="1">
      <alignment horizontal="center"/>
    </xf>
    <xf numFmtId="0" fontId="0" fillId="0" borderId="0" xfId="0" applyAlignment="1">
      <alignment horizontal="center"/>
    </xf>
    <xf numFmtId="40" fontId="63" fillId="0" borderId="0" xfId="439" applyNumberFormat="1" applyFont="1" applyAlignment="1">
      <alignment horizontal="center" vertical="center"/>
    </xf>
    <xf numFmtId="40" fontId="105" fillId="0" borderId="0" xfId="0" applyNumberFormat="1" applyFont="1" applyAlignment="1">
      <alignment horizontal="center" vertical="center"/>
    </xf>
    <xf numFmtId="38" fontId="63" fillId="0" borderId="0" xfId="439" applyNumberFormat="1" applyFont="1" applyAlignment="1">
      <alignment horizontal="center" vertical="center"/>
    </xf>
    <xf numFmtId="0" fontId="57" fillId="0" borderId="0" xfId="683" applyAlignment="1" applyProtection="1">
      <alignment vertical="center" wrapText="1"/>
      <protection locked="0"/>
    </xf>
    <xf numFmtId="38" fontId="105" fillId="0" borderId="0" xfId="439" applyNumberFormat="1" applyFont="1" applyAlignment="1">
      <alignment horizontal="center" vertical="center"/>
    </xf>
    <xf numFmtId="1" fontId="80" fillId="20" borderId="0" xfId="0" applyNumberFormat="1" applyFont="1" applyFill="1" applyAlignment="1">
      <alignment horizontal="center" vertical="center"/>
    </xf>
    <xf numFmtId="0" fontId="191" fillId="20" borderId="0" xfId="0" applyFont="1" applyFill="1" applyAlignment="1">
      <alignment horizontal="center"/>
    </xf>
    <xf numFmtId="1" fontId="191" fillId="20" borderId="0" xfId="0" applyNumberFormat="1" applyFont="1" applyFill="1" applyAlignment="1">
      <alignment horizontal="center"/>
    </xf>
    <xf numFmtId="1" fontId="191" fillId="27" borderId="0" xfId="0" applyNumberFormat="1" applyFont="1" applyFill="1" applyAlignment="1">
      <alignment horizontal="center"/>
    </xf>
    <xf numFmtId="0" fontId="0" fillId="27" borderId="0" xfId="0" applyFill="1"/>
    <xf numFmtId="0" fontId="57" fillId="27" borderId="0" xfId="683" applyFill="1" applyAlignment="1">
      <alignment vertical="center" wrapText="1"/>
    </xf>
    <xf numFmtId="0" fontId="105" fillId="27" borderId="0" xfId="439" applyNumberFormat="1" applyFont="1" applyFill="1" applyAlignment="1">
      <alignment horizontal="center" vertical="center"/>
    </xf>
    <xf numFmtId="0" fontId="0" fillId="0" borderId="0" xfId="0" applyAlignment="1">
      <alignment horizontal="right"/>
    </xf>
    <xf numFmtId="0" fontId="58" fillId="0" borderId="0" xfId="1531"/>
    <xf numFmtId="0" fontId="0" fillId="27" borderId="0" xfId="0" applyFill="1" applyAlignment="1">
      <alignment horizontal="right"/>
    </xf>
    <xf numFmtId="0" fontId="57" fillId="0" borderId="0" xfId="680"/>
    <xf numFmtId="0" fontId="35" fillId="34" borderId="0" xfId="0" applyFont="1" applyFill="1" applyAlignment="1">
      <alignment horizontal="left" vertical="center" wrapText="1"/>
    </xf>
    <xf numFmtId="0" fontId="57" fillId="0" borderId="23" xfId="628" applyBorder="1" applyAlignment="1">
      <alignment vertical="center" wrapText="1"/>
    </xf>
    <xf numFmtId="0" fontId="58" fillId="0" borderId="23" xfId="720" applyBorder="1" applyAlignment="1">
      <alignment vertical="center" wrapText="1"/>
    </xf>
    <xf numFmtId="1" fontId="0" fillId="27" borderId="0" xfId="0" applyNumberFormat="1" applyFill="1" applyAlignment="1">
      <alignment horizontal="right"/>
    </xf>
    <xf numFmtId="0" fontId="116" fillId="0" borderId="0" xfId="683" applyFont="1" applyAlignment="1">
      <alignment horizontal="left" vertical="center" wrapText="1"/>
    </xf>
    <xf numFmtId="38" fontId="105" fillId="27" borderId="0" xfId="439" applyNumberFormat="1" applyFont="1" applyFill="1" applyAlignment="1">
      <alignment horizontal="center" vertical="center"/>
    </xf>
    <xf numFmtId="38" fontId="190" fillId="27" borderId="0" xfId="0" applyNumberFormat="1" applyFont="1" applyFill="1" applyAlignment="1">
      <alignment horizontal="center"/>
    </xf>
    <xf numFmtId="38" fontId="63" fillId="27" borderId="0" xfId="439" applyNumberFormat="1" applyFont="1" applyFill="1" applyAlignment="1">
      <alignment horizontal="center" vertical="center"/>
    </xf>
    <xf numFmtId="40" fontId="191" fillId="27" borderId="0" xfId="0" applyNumberFormat="1" applyFont="1" applyFill="1" applyAlignment="1">
      <alignment horizontal="center"/>
    </xf>
    <xf numFmtId="0" fontId="57" fillId="27" borderId="0" xfId="683" applyFill="1" applyAlignment="1">
      <alignment wrapText="1"/>
    </xf>
    <xf numFmtId="0" fontId="63" fillId="27" borderId="0" xfId="439" applyNumberFormat="1" applyFont="1" applyFill="1" applyAlignment="1">
      <alignment horizontal="center" vertical="center"/>
    </xf>
    <xf numFmtId="2" fontId="105" fillId="0" borderId="0" xfId="439" applyNumberFormat="1" applyFont="1" applyAlignment="1">
      <alignment horizontal="center" vertical="center"/>
    </xf>
    <xf numFmtId="0" fontId="0" fillId="27" borderId="0" xfId="0" applyFill="1" applyAlignment="1">
      <alignment horizontal="center" wrapText="1"/>
    </xf>
    <xf numFmtId="0" fontId="57" fillId="0" borderId="23" xfId="679" applyBorder="1" applyAlignment="1">
      <alignment horizontal="left" vertical="center" wrapText="1"/>
    </xf>
    <xf numFmtId="0" fontId="68" fillId="0" borderId="0" xfId="683" applyFont="1" applyAlignment="1">
      <alignment horizontal="left" vertical="center" wrapText="1"/>
    </xf>
    <xf numFmtId="0" fontId="190" fillId="0" borderId="0" xfId="0" applyFont="1" applyAlignment="1">
      <alignment horizontal="center"/>
    </xf>
    <xf numFmtId="0" fontId="57" fillId="34" borderId="0" xfId="2858" applyFill="1" applyAlignment="1">
      <alignment horizontal="left" vertical="center" wrapText="1"/>
    </xf>
    <xf numFmtId="38" fontId="105" fillId="0" borderId="0" xfId="0" applyNumberFormat="1" applyFont="1" applyAlignment="1">
      <alignment horizontal="center" vertical="center"/>
    </xf>
    <xf numFmtId="38" fontId="191" fillId="0" borderId="0" xfId="0" applyNumberFormat="1" applyFont="1" applyAlignment="1">
      <alignment horizontal="center"/>
    </xf>
    <xf numFmtId="10" fontId="63" fillId="0" borderId="41" xfId="4688" applyNumberFormat="1" applyFont="1" applyBorder="1" applyAlignment="1" applyProtection="1">
      <alignment horizontal="right"/>
    </xf>
    <xf numFmtId="0" fontId="105" fillId="0" borderId="0" xfId="0" applyFont="1" applyAlignment="1">
      <alignment horizontal="left" vertical="center" wrapText="1"/>
    </xf>
    <xf numFmtId="0" fontId="105" fillId="0" borderId="0" xfId="439" applyNumberFormat="1" applyFont="1" applyAlignment="1">
      <alignment horizontal="center" vertical="center"/>
    </xf>
    <xf numFmtId="0" fontId="0" fillId="34" borderId="0" xfId="0" applyFill="1" applyAlignment="1">
      <alignment wrapText="1"/>
    </xf>
    <xf numFmtId="38" fontId="190" fillId="0" borderId="0" xfId="0" applyNumberFormat="1" applyFont="1" applyAlignment="1">
      <alignment horizontal="center"/>
    </xf>
    <xf numFmtId="0" fontId="191" fillId="27" borderId="0" xfId="0" applyFont="1" applyFill="1" applyAlignment="1">
      <alignment horizontal="center"/>
    </xf>
    <xf numFmtId="0" fontId="57" fillId="0" borderId="0" xfId="683" applyAlignment="1">
      <alignment vertical="center" wrapText="1"/>
    </xf>
    <xf numFmtId="2" fontId="63" fillId="0" borderId="0" xfId="439" applyNumberFormat="1" applyFont="1" applyAlignment="1">
      <alignment horizontal="center" vertical="center"/>
    </xf>
    <xf numFmtId="0" fontId="71" fillId="0" borderId="0" xfId="683" applyFont="1" applyAlignment="1">
      <alignment horizontal="right" vertical="center"/>
    </xf>
    <xf numFmtId="0" fontId="68" fillId="0" borderId="0" xfId="3525" applyFont="1" applyAlignment="1">
      <alignment horizontal="center"/>
    </xf>
    <xf numFmtId="2" fontId="191" fillId="0" borderId="0" xfId="0" applyNumberFormat="1" applyFont="1" applyAlignment="1">
      <alignment horizontal="center"/>
    </xf>
    <xf numFmtId="0" fontId="63" fillId="24" borderId="0" xfId="439" applyNumberFormat="1" applyFont="1" applyFill="1" applyAlignment="1">
      <alignment horizontal="center" vertical="center"/>
    </xf>
    <xf numFmtId="0" fontId="58" fillId="0" borderId="0" xfId="720" applyAlignment="1">
      <alignment vertical="center" wrapText="1"/>
    </xf>
    <xf numFmtId="1" fontId="0" fillId="0" borderId="0" xfId="0" applyNumberFormat="1" applyAlignment="1">
      <alignment horizontal="right"/>
    </xf>
    <xf numFmtId="0" fontId="58" fillId="27" borderId="23" xfId="720" applyFill="1" applyBorder="1" applyAlignment="1">
      <alignment vertical="center" wrapText="1"/>
    </xf>
    <xf numFmtId="1" fontId="0" fillId="0" borderId="0" xfId="0" applyNumberFormat="1"/>
    <xf numFmtId="0" fontId="68" fillId="0" borderId="0" xfId="683" applyFont="1" applyAlignment="1">
      <alignment vertical="center" wrapText="1"/>
    </xf>
    <xf numFmtId="0" fontId="57" fillId="0" borderId="23" xfId="628" applyBorder="1" applyAlignment="1">
      <alignment horizontal="left" vertical="center" wrapText="1"/>
    </xf>
    <xf numFmtId="0" fontId="190" fillId="27" borderId="0" xfId="0" applyFont="1" applyFill="1" applyAlignment="1">
      <alignment horizontal="center"/>
    </xf>
    <xf numFmtId="1" fontId="58" fillId="0" borderId="0" xfId="1531" applyNumberFormat="1"/>
    <xf numFmtId="2" fontId="105" fillId="0" borderId="0" xfId="0" applyNumberFormat="1" applyFont="1" applyAlignment="1">
      <alignment horizontal="center" vertical="center"/>
    </xf>
    <xf numFmtId="0" fontId="63" fillId="27" borderId="0" xfId="3120" applyFont="1" applyFill="1" applyAlignment="1">
      <alignment horizontal="center" vertical="center"/>
    </xf>
    <xf numFmtId="0" fontId="105" fillId="0" borderId="0" xfId="0" applyFont="1" applyAlignment="1">
      <alignment horizontal="center" vertical="center"/>
    </xf>
    <xf numFmtId="2" fontId="190" fillId="0" borderId="0" xfId="0" applyNumberFormat="1" applyFont="1" applyAlignment="1">
      <alignment horizontal="center"/>
    </xf>
    <xf numFmtId="0" fontId="191" fillId="0" borderId="0" xfId="0" applyFont="1" applyAlignment="1">
      <alignment horizontal="center"/>
    </xf>
    <xf numFmtId="0" fontId="57" fillId="0" borderId="0" xfId="683" applyAlignment="1">
      <alignment wrapText="1"/>
    </xf>
    <xf numFmtId="0" fontId="63" fillId="0" borderId="0" xfId="683" applyFont="1"/>
    <xf numFmtId="0" fontId="68" fillId="0" borderId="0" xfId="0" applyFont="1"/>
    <xf numFmtId="0" fontId="57" fillId="0" borderId="0" xfId="683"/>
    <xf numFmtId="0" fontId="0" fillId="0" borderId="0" xfId="0"/>
    <xf numFmtId="2" fontId="0" fillId="0" borderId="0" xfId="0" applyNumberFormat="1"/>
    <xf numFmtId="40" fontId="0" fillId="0" borderId="0" xfId="0" applyNumberFormat="1"/>
    <xf numFmtId="0" fontId="0" fillId="0" borderId="61" xfId="0" applyNumberFormat="1" applyFont="1" applyFill="1" applyBorder="1" applyAlignment="1">
      <alignment horizontal="center"/>
    </xf>
    <xf numFmtId="0" fontId="6" fillId="0" borderId="62" xfId="0" applyFont="1" applyFill="1" applyBorder="1" applyAlignment="1">
      <alignment vertical="center" wrapText="1"/>
    </xf>
    <xf numFmtId="0" fontId="1" fillId="0" borderId="62" xfId="0" applyFont="1" applyFill="1" applyBorder="1" applyAlignment="1">
      <alignment vertical="center" wrapText="1"/>
    </xf>
    <xf numFmtId="0" fontId="57" fillId="27" borderId="0" xfId="683" applyFill="1"/>
    <xf numFmtId="0" fontId="58" fillId="27" borderId="0" xfId="1531" applyFill="1"/>
    <xf numFmtId="1" fontId="58" fillId="27" borderId="0" xfId="1531" applyNumberFormat="1" applyFill="1"/>
    <xf numFmtId="0" fontId="58" fillId="24" borderId="0" xfId="720" applyFill="1"/>
    <xf numFmtId="0" fontId="144" fillId="0" borderId="0" xfId="0" applyFont="1" applyAlignment="1">
      <alignment horizontal="center"/>
    </xf>
    <xf numFmtId="41" fontId="66" fillId="0" borderId="0" xfId="0" applyNumberFormat="1" applyFont="1" applyAlignment="1">
      <alignment wrapText="1"/>
    </xf>
    <xf numFmtId="41" fontId="66" fillId="0" borderId="45" xfId="0" applyNumberFormat="1" applyFont="1" applyBorder="1" applyAlignment="1">
      <alignment wrapText="1"/>
    </xf>
    <xf numFmtId="41" fontId="66" fillId="0" borderId="0" xfId="0" applyNumberFormat="1" applyFont="1" applyFill="1" applyAlignment="1">
      <alignment wrapText="1"/>
    </xf>
    <xf numFmtId="41" fontId="65" fillId="28" borderId="0" xfId="439" applyNumberFormat="1" applyFont="1" applyFill="1" applyAlignment="1" applyProtection="1">
      <alignment vertical="center" wrapText="1"/>
      <protection locked="0"/>
    </xf>
    <xf numFmtId="41" fontId="115" fillId="0" borderId="0" xfId="439" applyNumberFormat="1" applyFont="1" applyFill="1" applyAlignment="1" applyProtection="1">
      <alignment vertical="center" wrapText="1"/>
      <protection locked="0"/>
    </xf>
    <xf numFmtId="39" fontId="193" fillId="79" borderId="63" xfId="1562" applyNumberFormat="1" applyFont="1" applyFill="1" applyBorder="1" applyAlignment="1">
      <alignment horizontal="center" vertical="center" wrapText="1"/>
    </xf>
    <xf numFmtId="4" fontId="0" fillId="0" borderId="0" xfId="0" applyNumberFormat="1" applyFill="1"/>
    <xf numFmtId="43" fontId="57" fillId="0" borderId="0" xfId="545" applyNumberFormat="1" applyFont="1" applyFill="1" applyProtection="1"/>
    <xf numFmtId="43" fontId="57" fillId="0" borderId="0" xfId="545" applyNumberFormat="1" applyFont="1" applyProtection="1"/>
    <xf numFmtId="0" fontId="0" fillId="22" borderId="29" xfId="0" applyFill="1" applyBorder="1" applyAlignment="1" applyProtection="1">
      <alignment vertical="center"/>
    </xf>
    <xf numFmtId="0" fontId="63" fillId="0" borderId="24" xfId="0" applyFont="1" applyBorder="1" applyAlignment="1">
      <alignment horizontal="center" vertical="center"/>
    </xf>
    <xf numFmtId="0" fontId="65" fillId="0" borderId="0" xfId="0" applyFont="1" applyAlignment="1">
      <alignment horizontal="left" vertical="center" wrapText="1"/>
    </xf>
    <xf numFmtId="0" fontId="63" fillId="75" borderId="0" xfId="0" applyFont="1" applyFill="1" applyAlignment="1">
      <alignment horizontal="left" vertical="center" wrapText="1"/>
    </xf>
    <xf numFmtId="0" fontId="63" fillId="0" borderId="0" xfId="0" applyFont="1" applyAlignment="1">
      <alignment vertical="center"/>
    </xf>
    <xf numFmtId="41" fontId="115" fillId="0" borderId="0" xfId="439" applyNumberFormat="1" applyFont="1" applyAlignment="1">
      <alignment vertical="center" wrapText="1"/>
    </xf>
    <xf numFmtId="41" fontId="129" fillId="0" borderId="0" xfId="439" applyNumberFormat="1" applyFont="1" applyAlignment="1">
      <alignment vertical="center" wrapText="1"/>
    </xf>
    <xf numFmtId="0" fontId="63" fillId="26" borderId="26" xfId="0" applyNumberFormat="1" applyFont="1" applyFill="1" applyBorder="1" applyAlignment="1" applyProtection="1">
      <alignment horizontal="center" vertical="center"/>
    </xf>
    <xf numFmtId="0" fontId="0" fillId="26" borderId="31" xfId="0" applyFont="1" applyFill="1" applyBorder="1" applyAlignment="1" applyProtection="1">
      <alignment vertical="center" wrapText="1"/>
    </xf>
    <xf numFmtId="164" fontId="57" fillId="26" borderId="29" xfId="439" applyNumberFormat="1" applyFont="1" applyFill="1" applyBorder="1" applyAlignment="1" applyProtection="1">
      <alignment vertical="center"/>
    </xf>
    <xf numFmtId="0" fontId="63" fillId="26" borderId="25" xfId="0" applyNumberFormat="1" applyFont="1" applyFill="1" applyBorder="1" applyAlignment="1" applyProtection="1">
      <alignment horizontal="center" vertical="center"/>
    </xf>
    <xf numFmtId="0" fontId="0" fillId="26" borderId="23" xfId="0" applyFont="1" applyFill="1" applyBorder="1" applyAlignment="1" applyProtection="1">
      <alignment vertical="center" wrapText="1"/>
    </xf>
    <xf numFmtId="39" fontId="57" fillId="26" borderId="28" xfId="439" applyNumberFormat="1" applyFont="1" applyFill="1" applyBorder="1" applyAlignment="1" applyProtection="1">
      <alignment vertical="center"/>
    </xf>
    <xf numFmtId="38" fontId="57" fillId="34" borderId="45" xfId="439" applyNumberFormat="1" applyFont="1" applyFill="1" applyBorder="1" applyAlignment="1" applyProtection="1">
      <alignment horizontal="center" vertical="center" wrapText="1"/>
    </xf>
    <xf numFmtId="0" fontId="43" fillId="34" borderId="45" xfId="0" applyFont="1" applyFill="1" applyBorder="1" applyAlignment="1" applyProtection="1">
      <alignment horizontal="center" vertical="center" wrapText="1"/>
    </xf>
    <xf numFmtId="0" fontId="129" fillId="34" borderId="45" xfId="0" applyNumberFormat="1" applyFont="1" applyFill="1" applyBorder="1" applyAlignment="1" applyProtection="1">
      <alignment vertical="center" wrapText="1"/>
    </xf>
    <xf numFmtId="0" fontId="0" fillId="34" borderId="45" xfId="0" applyFont="1" applyFill="1" applyBorder="1" applyAlignment="1" applyProtection="1">
      <alignment horizontal="left" vertical="center" wrapText="1"/>
    </xf>
    <xf numFmtId="0" fontId="0" fillId="34" borderId="45" xfId="0" applyFill="1" applyBorder="1" applyAlignment="1">
      <alignment vertical="center" wrapText="1"/>
    </xf>
    <xf numFmtId="0" fontId="0" fillId="34" borderId="45" xfId="0" applyFont="1" applyFill="1" applyBorder="1" applyAlignment="1">
      <alignment vertical="center" wrapText="1"/>
    </xf>
    <xf numFmtId="0" fontId="0" fillId="34" borderId="45" xfId="0" applyNumberFormat="1" applyFont="1" applyFill="1" applyBorder="1" applyAlignment="1" applyProtection="1">
      <alignment horizontal="left" vertical="center" wrapText="1"/>
    </xf>
    <xf numFmtId="0" fontId="63" fillId="34" borderId="64" xfId="0" applyFont="1" applyFill="1" applyBorder="1" applyAlignment="1">
      <alignment horizontal="center" vertical="center"/>
    </xf>
    <xf numFmtId="0" fontId="68" fillId="34" borderId="45" xfId="0" applyFont="1" applyFill="1" applyBorder="1" applyAlignment="1" applyProtection="1">
      <alignment vertical="center" wrapText="1"/>
      <protection locked="0"/>
    </xf>
    <xf numFmtId="0" fontId="103" fillId="34" borderId="28" xfId="0" applyNumberFormat="1" applyFont="1" applyFill="1" applyBorder="1" applyAlignment="1" applyProtection="1">
      <alignment horizontal="left" vertical="center" wrapText="1"/>
    </xf>
    <xf numFmtId="0" fontId="112" fillId="34" borderId="45" xfId="0" applyNumberFormat="1" applyFont="1" applyFill="1" applyBorder="1" applyAlignment="1" applyProtection="1">
      <alignment horizontal="left" vertical="center" wrapText="1"/>
    </xf>
    <xf numFmtId="37" fontId="57" fillId="34" borderId="27" xfId="439" applyNumberFormat="1" applyFont="1" applyFill="1" applyBorder="1" applyAlignment="1" applyProtection="1">
      <alignment vertical="center"/>
    </xf>
    <xf numFmtId="0" fontId="0" fillId="0" borderId="45" xfId="0" applyFill="1" applyBorder="1" applyProtection="1"/>
    <xf numFmtId="0" fontId="124" fillId="0" borderId="45" xfId="0" applyFont="1" applyFill="1" applyBorder="1"/>
    <xf numFmtId="0" fontId="0" fillId="0" borderId="45" xfId="0" applyFill="1" applyBorder="1" applyAlignment="1" applyProtection="1">
      <alignment horizontal="center" vertical="center"/>
    </xf>
    <xf numFmtId="37" fontId="63" fillId="34" borderId="45" xfId="439" applyNumberFormat="1" applyFont="1" applyFill="1" applyBorder="1" applyAlignment="1" applyProtection="1">
      <alignment horizontal="center" vertical="center" wrapText="1"/>
    </xf>
    <xf numFmtId="38" fontId="0" fillId="0" borderId="45" xfId="0" applyNumberFormat="1" applyFill="1" applyBorder="1" applyProtection="1"/>
    <xf numFmtId="180" fontId="103" fillId="34" borderId="23" xfId="439" applyNumberFormat="1" applyFont="1" applyFill="1" applyBorder="1" applyAlignment="1" applyProtection="1">
      <alignment horizontal="center" vertical="center" wrapText="1"/>
    </xf>
    <xf numFmtId="171" fontId="103" fillId="78" borderId="29"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0" fillId="34" borderId="25" xfId="0" applyNumberFormat="1" applyFill="1" applyBorder="1" applyAlignment="1" applyProtection="1">
      <alignment horizontal="center" vertical="center" wrapText="1"/>
    </xf>
    <xf numFmtId="0" fontId="63" fillId="77" borderId="64" xfId="0" applyNumberFormat="1" applyFont="1" applyFill="1" applyBorder="1" applyAlignment="1" applyProtection="1">
      <alignment horizontal="center" vertical="center"/>
    </xf>
    <xf numFmtId="169" fontId="57" fillId="77" borderId="65" xfId="439" applyNumberFormat="1" applyFont="1" applyFill="1" applyBorder="1" applyAlignment="1" applyProtection="1">
      <alignment vertical="center"/>
    </xf>
    <xf numFmtId="0" fontId="0" fillId="77" borderId="23" xfId="0" applyNumberFormat="1" applyFill="1" applyBorder="1" applyAlignment="1" applyProtection="1">
      <alignment horizontal="left" vertical="center" wrapText="1"/>
    </xf>
    <xf numFmtId="0" fontId="59" fillId="0" borderId="0" xfId="611" applyProtection="1">
      <protection locked="0"/>
    </xf>
    <xf numFmtId="0" fontId="0" fillId="75" borderId="0" xfId="0" applyFill="1"/>
    <xf numFmtId="0" fontId="195" fillId="80" borderId="57" xfId="0" applyFont="1" applyFill="1" applyBorder="1" applyAlignment="1">
      <alignment horizontal="center" vertical="center"/>
    </xf>
    <xf numFmtId="0" fontId="194" fillId="75" borderId="0" xfId="0" applyFont="1" applyFill="1" applyAlignment="1">
      <alignment vertical="center" wrapText="1"/>
    </xf>
    <xf numFmtId="0" fontId="199" fillId="80" borderId="0" xfId="0" applyFont="1" applyFill="1" applyAlignment="1">
      <alignment horizontal="center" vertical="center" wrapText="1"/>
    </xf>
    <xf numFmtId="0" fontId="73" fillId="75" borderId="0" xfId="0" applyFont="1" applyFill="1" applyAlignment="1">
      <alignment horizontal="justify" vertical="center"/>
    </xf>
    <xf numFmtId="0" fontId="73" fillId="75" borderId="0" xfId="0" applyFont="1" applyFill="1" applyAlignment="1">
      <alignment vertical="center"/>
    </xf>
    <xf numFmtId="0" fontId="73" fillId="75" borderId="0" xfId="0" applyFont="1" applyFill="1" applyAlignment="1">
      <alignment vertical="center" wrapText="1"/>
    </xf>
    <xf numFmtId="0" fontId="200" fillId="80" borderId="0" xfId="0" applyFont="1" applyFill="1" applyAlignment="1">
      <alignment horizontal="center" vertical="center"/>
    </xf>
    <xf numFmtId="0" fontId="68" fillId="75" borderId="0" xfId="0" applyFont="1" applyFill="1" applyAlignment="1">
      <alignment vertical="center"/>
    </xf>
    <xf numFmtId="0" fontId="59" fillId="75" borderId="0" xfId="611" applyFill="1" applyAlignment="1" applyProtection="1">
      <alignment vertical="center"/>
      <protection locked="0"/>
    </xf>
    <xf numFmtId="0" fontId="59" fillId="75" borderId="0" xfId="611" applyFill="1" applyProtection="1">
      <protection locked="0"/>
    </xf>
    <xf numFmtId="0" fontId="201" fillId="80" borderId="0" xfId="0" applyFont="1" applyFill="1" applyAlignment="1">
      <alignment horizontal="center" vertical="center"/>
    </xf>
    <xf numFmtId="0" fontId="202" fillId="80" borderId="0" xfId="0" applyFont="1" applyFill="1" applyAlignment="1">
      <alignment vertical="center"/>
    </xf>
    <xf numFmtId="0" fontId="111" fillId="0" borderId="45" xfId="0" applyFont="1" applyFill="1" applyBorder="1" applyAlignment="1" applyProtection="1">
      <alignment horizontal="center" vertical="center" wrapText="1"/>
    </xf>
    <xf numFmtId="0" fontId="111" fillId="32" borderId="45" xfId="0" applyFont="1" applyFill="1" applyBorder="1" applyAlignment="1" applyProtection="1">
      <alignment horizontal="center" vertical="center" wrapText="1"/>
    </xf>
    <xf numFmtId="0" fontId="0" fillId="31" borderId="66" xfId="0" applyFill="1" applyBorder="1"/>
    <xf numFmtId="0" fontId="103" fillId="31" borderId="25" xfId="0" applyNumberFormat="1" applyFont="1" applyFill="1" applyBorder="1" applyAlignment="1" applyProtection="1">
      <alignment horizontal="left" vertical="center" wrapText="1"/>
    </xf>
    <xf numFmtId="0" fontId="65" fillId="31" borderId="66" xfId="0" applyFont="1" applyFill="1" applyBorder="1" applyAlignment="1">
      <alignment wrapText="1"/>
    </xf>
    <xf numFmtId="14" fontId="65" fillId="31" borderId="66" xfId="0" applyNumberFormat="1" applyFont="1" applyFill="1" applyBorder="1" applyAlignment="1">
      <alignment wrapText="1"/>
    </xf>
    <xf numFmtId="41" fontId="0" fillId="0" borderId="66" xfId="0" applyNumberFormat="1" applyFill="1" applyBorder="1" applyAlignment="1">
      <alignment horizontal="center" vertical="center" wrapText="1"/>
    </xf>
    <xf numFmtId="0" fontId="63" fillId="31" borderId="64" xfId="0" applyNumberFormat="1" applyFont="1" applyFill="1" applyBorder="1" applyAlignment="1" applyProtection="1">
      <alignment horizontal="center" vertical="center"/>
    </xf>
    <xf numFmtId="0" fontId="0" fillId="31" borderId="23" xfId="0" applyNumberFormat="1" applyFill="1" applyBorder="1" applyAlignment="1" applyProtection="1">
      <alignment horizontal="left" vertical="center" wrapText="1"/>
    </xf>
    <xf numFmtId="49" fontId="57" fillId="77" borderId="65" xfId="439" applyNumberFormat="1" applyFont="1" applyFill="1" applyBorder="1" applyAlignment="1" applyProtection="1">
      <alignment horizontal="center" vertical="center"/>
    </xf>
    <xf numFmtId="49" fontId="57" fillId="77" borderId="64" xfId="439" applyNumberFormat="1" applyFont="1" applyFill="1" applyBorder="1" applyAlignment="1" applyProtection="1">
      <alignment horizontal="center" vertical="center"/>
    </xf>
    <xf numFmtId="49" fontId="57" fillId="31" borderId="64" xfId="439" applyNumberFormat="1" applyFont="1" applyFill="1" applyBorder="1" applyAlignment="1" applyProtection="1">
      <alignment horizontal="center" vertical="center"/>
    </xf>
    <xf numFmtId="37" fontId="57" fillId="34" borderId="65" xfId="439" applyNumberFormat="1" applyFont="1" applyFill="1" applyBorder="1" applyAlignment="1" applyProtection="1">
      <alignment vertical="center"/>
    </xf>
    <xf numFmtId="14" fontId="0" fillId="31" borderId="0" xfId="0" applyNumberFormat="1" applyFill="1" applyAlignment="1" applyProtection="1">
      <alignment horizontal="center"/>
    </xf>
    <xf numFmtId="14" fontId="57" fillId="31" borderId="64" xfId="439" applyNumberFormat="1" applyFont="1" applyFill="1" applyBorder="1" applyAlignment="1" applyProtection="1">
      <alignment horizontal="center" vertical="center"/>
    </xf>
    <xf numFmtId="14" fontId="57" fillId="77" borderId="65" xfId="439" applyNumberFormat="1" applyFont="1" applyFill="1" applyBorder="1" applyAlignment="1" applyProtection="1">
      <alignment horizontal="center" vertical="center"/>
    </xf>
    <xf numFmtId="49" fontId="0" fillId="29" borderId="0" xfId="0" applyNumberFormat="1" applyFill="1" applyProtection="1">
      <protection locked="0"/>
    </xf>
    <xf numFmtId="49" fontId="103" fillId="0" borderId="23" xfId="439" applyNumberFormat="1" applyFont="1" applyFill="1" applyBorder="1" applyAlignment="1" applyProtection="1">
      <alignment horizontal="center" vertical="center" wrapText="1"/>
    </xf>
    <xf numFmtId="49" fontId="0" fillId="31" borderId="0" xfId="0" applyNumberFormat="1" applyFill="1" applyAlignment="1" applyProtection="1">
      <alignment horizontal="center"/>
    </xf>
    <xf numFmtId="0" fontId="196" fillId="75" borderId="0" xfId="0" applyFont="1" applyFill="1" applyAlignment="1">
      <alignment horizontal="left" vertical="center" wrapText="1"/>
    </xf>
    <xf numFmtId="0" fontId="59" fillId="75" borderId="0" xfId="611" applyFill="1"/>
    <xf numFmtId="0" fontId="103" fillId="0" borderId="13" xfId="0" applyFont="1" applyBorder="1" applyAlignment="1">
      <alignment horizontal="left" wrapText="1"/>
    </xf>
    <xf numFmtId="0" fontId="103" fillId="0" borderId="16" xfId="0" applyFont="1" applyBorder="1" applyAlignment="1">
      <alignment horizontal="left" wrapText="1"/>
    </xf>
    <xf numFmtId="49" fontId="0" fillId="31" borderId="13" xfId="0" applyNumberFormat="1" applyFill="1" applyBorder="1" applyAlignment="1" applyProtection="1">
      <alignment horizontal="center"/>
      <protection locked="0"/>
    </xf>
    <xf numFmtId="49" fontId="0" fillId="31" borderId="11" xfId="0" applyNumberFormat="1" applyFill="1" applyBorder="1" applyAlignment="1" applyProtection="1">
      <alignment horizontal="center"/>
      <protection locked="0"/>
    </xf>
    <xf numFmtId="0" fontId="65" fillId="27" borderId="16" xfId="0" applyFont="1" applyFill="1" applyBorder="1" applyAlignment="1" applyProtection="1">
      <alignment horizontal="center" wrapText="1"/>
      <protection locked="0"/>
    </xf>
    <xf numFmtId="0" fontId="65" fillId="27" borderId="11" xfId="0" applyFont="1" applyFill="1" applyBorder="1" applyAlignment="1" applyProtection="1">
      <alignment horizontal="center" wrapText="1"/>
      <protection locked="0"/>
    </xf>
    <xf numFmtId="0" fontId="85" fillId="21" borderId="13" xfId="0" applyFont="1" applyFill="1" applyBorder="1" applyAlignment="1" applyProtection="1">
      <alignment horizontal="left" vertical="center" wrapText="1"/>
    </xf>
    <xf numFmtId="0" fontId="85" fillId="21" borderId="16" xfId="0" applyFont="1" applyFill="1" applyBorder="1" applyAlignment="1" applyProtection="1">
      <alignment horizontal="left" vertical="center" wrapText="1"/>
    </xf>
    <xf numFmtId="0" fontId="68" fillId="28" borderId="0" xfId="0" applyFont="1" applyFill="1" applyAlignment="1" applyProtection="1">
      <alignment horizontal="left" vertical="center" wrapText="1"/>
    </xf>
    <xf numFmtId="0" fontId="77" fillId="0" borderId="13" xfId="0" applyFont="1" applyBorder="1" applyAlignment="1">
      <alignment horizontal="center"/>
    </xf>
    <xf numFmtId="0" fontId="77" fillId="0" borderId="16" xfId="0" applyFont="1" applyBorder="1" applyAlignment="1">
      <alignment horizontal="center"/>
    </xf>
    <xf numFmtId="0" fontId="77" fillId="0" borderId="11" xfId="0" applyFont="1" applyBorder="1" applyAlignment="1">
      <alignment horizontal="center"/>
    </xf>
    <xf numFmtId="0" fontId="0" fillId="0" borderId="38" xfId="0" applyBorder="1" applyAlignment="1">
      <alignment horizontal="left" wrapText="1"/>
    </xf>
    <xf numFmtId="0" fontId="64" fillId="31" borderId="37" xfId="0" applyFont="1" applyFill="1" applyBorder="1" applyAlignment="1">
      <alignment horizontal="center" vertical="center" wrapText="1"/>
    </xf>
    <xf numFmtId="0" fontId="64" fillId="31" borderId="39" xfId="0" applyFont="1" applyFill="1" applyBorder="1" applyAlignment="1">
      <alignment horizontal="center" vertical="center" wrapText="1"/>
    </xf>
    <xf numFmtId="0" fontId="39" fillId="28" borderId="0" xfId="0" applyFont="1" applyFill="1" applyAlignment="1">
      <alignment horizontal="left" vertical="center" wrapText="1"/>
    </xf>
    <xf numFmtId="0" fontId="103" fillId="0" borderId="13" xfId="0" applyFont="1" applyBorder="1" applyAlignment="1">
      <alignment horizontal="left"/>
    </xf>
    <xf numFmtId="0" fontId="103" fillId="0" borderId="16" xfId="0" applyFont="1" applyBorder="1" applyAlignment="1">
      <alignment horizontal="left"/>
    </xf>
    <xf numFmtId="49" fontId="59" fillId="31" borderId="13" xfId="611" applyNumberFormat="1" applyFill="1" applyBorder="1" applyAlignment="1" applyProtection="1">
      <alignment horizontal="center"/>
      <protection locked="0"/>
    </xf>
    <xf numFmtId="14" fontId="0" fillId="31" borderId="13" xfId="0" applyNumberFormat="1" applyFill="1" applyBorder="1" applyAlignment="1" applyProtection="1">
      <alignment horizontal="center"/>
      <protection locked="0"/>
    </xf>
    <xf numFmtId="14" fontId="0" fillId="31" borderId="11" xfId="0" applyNumberFormat="1" applyFill="1" applyBorder="1" applyAlignment="1" applyProtection="1">
      <alignment horizontal="center"/>
      <protection locked="0"/>
    </xf>
    <xf numFmtId="0" fontId="91" fillId="0" borderId="0" xfId="682" applyFont="1" applyAlignment="1">
      <alignment horizontal="left" wrapText="1"/>
    </xf>
    <xf numFmtId="0" fontId="117" fillId="27" borderId="0" xfId="682" applyFont="1" applyFill="1" applyAlignment="1">
      <alignment horizontal="left" vertical="center" wrapText="1"/>
    </xf>
    <xf numFmtId="0" fontId="90" fillId="0" borderId="0" xfId="682" applyFont="1" applyAlignment="1">
      <alignment horizontal="center" vertical="center"/>
    </xf>
    <xf numFmtId="0" fontId="95" fillId="27" borderId="0" xfId="682" applyFont="1" applyFill="1" applyAlignment="1">
      <alignment horizontal="left" wrapText="1"/>
    </xf>
    <xf numFmtId="0" fontId="64" fillId="0" borderId="13" xfId="0" applyFont="1" applyBorder="1" applyAlignment="1" applyProtection="1">
      <alignment horizontal="center"/>
    </xf>
    <xf numFmtId="0" fontId="64" fillId="0" borderId="16" xfId="0" applyFont="1" applyBorder="1" applyAlignment="1" applyProtection="1">
      <alignment horizontal="center"/>
    </xf>
    <xf numFmtId="0" fontId="64" fillId="0" borderId="11" xfId="0" applyFont="1" applyBorder="1" applyAlignment="1" applyProtection="1">
      <alignment horizontal="center"/>
    </xf>
    <xf numFmtId="0" fontId="64" fillId="0" borderId="13" xfId="0" applyFont="1" applyFill="1" applyBorder="1" applyAlignment="1" applyProtection="1">
      <alignment horizontal="center" wrapText="1"/>
    </xf>
    <xf numFmtId="0" fontId="64" fillId="0" borderId="16" xfId="0" applyFont="1" applyFill="1" applyBorder="1" applyAlignment="1" applyProtection="1">
      <alignment horizontal="center" wrapText="1"/>
    </xf>
    <xf numFmtId="0" fontId="64" fillId="0" borderId="11" xfId="0" applyFont="1" applyFill="1" applyBorder="1" applyAlignment="1" applyProtection="1">
      <alignment horizontal="center" wrapText="1"/>
    </xf>
    <xf numFmtId="0" fontId="63" fillId="75" borderId="0" xfId="0" applyFont="1" applyFill="1" applyAlignment="1">
      <alignment horizontal="left" vertical="center" wrapText="1"/>
    </xf>
    <xf numFmtId="0" fontId="64" fillId="0" borderId="0" xfId="0" applyFont="1" applyAlignment="1">
      <alignment horizontal="center" vertical="center" wrapText="1"/>
    </xf>
    <xf numFmtId="0" fontId="131" fillId="38" borderId="0" xfId="0" applyFont="1" applyFill="1" applyAlignment="1">
      <alignment horizontal="left" vertical="center" wrapText="1"/>
    </xf>
  </cellXfs>
  <cellStyles count="30098">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7" xfId="24295" xr:uid="{344DCAF3-DA96-45E3-9F88-C607554C61E4}"/>
    <cellStyle name="Comma 10 7 2" xfId="27814" xr:uid="{1067AA7F-8FEA-4C90-923A-936739E57666}"/>
    <cellStyle name="Comma 10 8" xfId="28005" xr:uid="{E7712595-FDE1-4527-8110-F08C9BD2B4D5}"/>
    <cellStyle name="Comma 10 9" xfId="26457" xr:uid="{34BF2C5E-A5C7-4A84-AB73-BFB00FFDC39F}"/>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4" xfId="1570" xr:uid="{00000000-0005-0000-0000-0000CE010000}"/>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7" xfId="29547" xr:uid="{B78349B5-AC35-4642-873C-F8F50234A6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3" xfId="10621" xr:uid="{B59C76FD-A4E9-4866-9F1E-6518BC0C5396}"/>
    <cellStyle name="Comma 5 10 3 2 3 2" xfId="21001" xr:uid="{47E7FFC6-63B5-4650-B36B-84C80C2755B8}"/>
    <cellStyle name="Comma 5 10 3 2 4" xfId="15335" xr:uid="{62DDD7AA-A1D8-420F-846E-73F0CBC3D630}"/>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2" xfId="460" xr:uid="{00000000-0005-0000-0000-0000EC010000}"/>
    <cellStyle name="Comma 5 2 2 2" xfId="1594" xr:uid="{00000000-0005-0000-0000-0000ED010000}"/>
    <cellStyle name="Comma 5 2 2 3" xfId="1595" xr:uid="{00000000-0005-0000-0000-0000EE010000}"/>
    <cellStyle name="Comma 5 2 2 4" xfId="1593" xr:uid="{00000000-0005-0000-0000-0000EF010000}"/>
    <cellStyle name="Comma 5 2 2 5" xfId="6599" xr:uid="{273D3645-09BF-4A18-A4AB-EDE25B05A3A6}"/>
    <cellStyle name="Comma 5 2 2 5 2" xfId="16979" xr:uid="{2C95035C-ACBA-47B5-BDB7-B687EB0B1702}"/>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4" xfId="29548" xr:uid="{508F08B6-13CA-453B-BC60-59F1E4465DDC}"/>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4" xfId="1689" xr:uid="{00000000-0005-0000-0000-000071020000}"/>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7" xfId="22762" xr:uid="{37A7E8A0-43E7-41E2-BDB1-D7874A32CC13}"/>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2" xfId="1713" xr:uid="{00000000-0005-0000-0000-00008D020000}"/>
    <cellStyle name="Comma 7 11 2 2" xfId="25052" xr:uid="{23ABD4A7-3C9B-4DBA-8948-EF7696DC0549}"/>
    <cellStyle name="Comma 7 11 2 2 2" xfId="29812" xr:uid="{2804BB26-590B-4F9E-8251-636B18D7E4FE}"/>
    <cellStyle name="Comma 7 11 2 3" xfId="25318" xr:uid="{7CB5C089-12DC-4C77-B45B-B4312F852EC0}"/>
    <cellStyle name="Comma 7 11 2 4" xfId="30038" xr:uid="{567DD56B-F8B3-45D4-86C5-0960C07F73C2}"/>
    <cellStyle name="Comma 7 11 3" xfId="1714" xr:uid="{00000000-0005-0000-0000-00008E020000}"/>
    <cellStyle name="Comma 7 11 4" xfId="1712" xr:uid="{00000000-0005-0000-0000-00008F020000}"/>
    <cellStyle name="Comma 7 11 5" xfId="4893" xr:uid="{4D7EF800-D3FE-4415-997D-80EB71861FD5}"/>
    <cellStyle name="Comma 7 11 5 2" xfId="14185" xr:uid="{237C6960-02C1-47B1-93F9-D85783831FC0}"/>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3" xfId="10392" xr:uid="{1C9A0FA7-3839-49B7-B9C6-489E59242394}"/>
    <cellStyle name="Comma 7 12 2 3 2" xfId="20772" xr:uid="{E2D691C5-6C3C-43B7-8FBD-A5642F6BDFE7}"/>
    <cellStyle name="Comma 7 12 2 4" xfId="15106" xr:uid="{394B16FD-FC1A-4870-BC31-909DEE327F64}"/>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3" xfId="24749" xr:uid="{21C0A86C-9258-4F6E-BBD2-E1ADC08986B9}"/>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4" xfId="1840" xr:uid="{00000000-0005-0000-0000-00003D03000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3" xfId="551" xr:uid="{00000000-0005-0000-0000-000048030000}"/>
    <cellStyle name="Currency 3 2" xfId="552" xr:uid="{00000000-0005-0000-0000-000049030000}"/>
    <cellStyle name="Currency 3 2 2" xfId="1851" xr:uid="{00000000-0005-0000-0000-00004A030000}"/>
    <cellStyle name="Currency 3 2 3" xfId="1852" xr:uid="{00000000-0005-0000-0000-00004B030000}"/>
    <cellStyle name="Currency 3 2 4" xfId="1850" xr:uid="{00000000-0005-0000-0000-00004C030000}"/>
    <cellStyle name="Currency 3 2 5" xfId="6683" xr:uid="{4FCFE811-3755-46F4-8803-2EFC844A90DA}"/>
    <cellStyle name="Currency 3 2 5 2" xfId="17063" xr:uid="{1F927C96-6E01-4C40-9B2D-7222789598FC}"/>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3" xfId="10393" xr:uid="{74AA856C-1546-48A1-902B-0B9C48E13197}"/>
    <cellStyle name="Currency 4 12 2 3 2" xfId="20773" xr:uid="{DB56C7FD-1566-4A75-8FCC-9C848565BFF6}"/>
    <cellStyle name="Currency 4 12 2 4" xfId="15107" xr:uid="{29096738-BB6A-486C-9D3B-D9E98C7DF5A2}"/>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6" xfId="29639" xr:uid="{2615603F-F587-465C-9DB1-DFE5AAD13470}"/>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5" xfId="2094" xr:uid="{00000000-0005-0000-0000-000008020000}"/>
    <cellStyle name="Normal 3 2 3 3 2 3 5 2" xfId="4649" xr:uid="{F5C0EA0D-9822-4FF4-BD48-55FE3EF7782D}"/>
    <cellStyle name="Normal 3 2 3 3 2 3 6" xfId="3957" xr:uid="{0E1DF840-3114-4679-8527-B4509133BFD3}"/>
    <cellStyle name="Normal 3 2 3 3 2 3 6 2" xfId="4703" xr:uid="{EBED180B-3325-462A-919B-62911980F3E3}"/>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5" xfId="2093" xr:uid="{00000000-0005-0000-0000-000006020000}"/>
    <cellStyle name="Normal 3 2 3 3 2 5 2" xfId="4666" xr:uid="{1B4AA995-6D1E-409F-BFE5-CBE6CD7AB94F}"/>
    <cellStyle name="Normal 3 2 3 3 2 6" xfId="3956" xr:uid="{F8E8F1E1-BBD4-4256-B483-D824BDAE78F4}"/>
    <cellStyle name="Normal 3 2 3 3 2 6 2" xfId="4764"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5" xfId="25609" xr:uid="{AE0E7AAC-A35C-4739-83F7-24B2349D3A43}"/>
    <cellStyle name="Normal 3 2 3 3 4 2 4" xfId="23282" xr:uid="{607B55E2-785A-4475-A5AF-715CB366B607}"/>
    <cellStyle name="Normal 3 2 3 3 4 3" xfId="868" xr:uid="{00000000-0005-0000-0000-000013050000}"/>
    <cellStyle name="Normal 3 2 3 3 4 4" xfId="2920" xr:uid="{00000000-0005-0000-0000-00001D050000}"/>
    <cellStyle name="Normal 3 2 3 3 4 5" xfId="2095" xr:uid="{00000000-0005-0000-0000-00000B020000}"/>
    <cellStyle name="Normal 3 2 3 3 4 5 2" xfId="3808" xr:uid="{88D4B6F8-D038-4FA2-9B5E-8BA2B2639DFB}"/>
    <cellStyle name="Normal 3 2 3 3 4 6" xfId="3958" xr:uid="{5C36214B-B9A0-42AD-97C5-679BC9758736}"/>
    <cellStyle name="Normal 3 2 3 3 4 6 2" xfId="4776" xr:uid="{C6EA1D90-BF83-4CD0-B22B-769466A8D247}"/>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4" xfId="25825" xr:uid="{1A6B0C1D-1919-427D-8E6B-3883E899BAEA}"/>
    <cellStyle name="Normal 3 2 3 4 3 3" xfId="877" xr:uid="{00000000-0005-0000-0000-00001D050000}"/>
    <cellStyle name="Normal 3 2 3 4 3 4" xfId="2921" xr:uid="{00000000-0005-0000-0000-000023050000}"/>
    <cellStyle name="Normal 3 2 3 4 3 5" xfId="2098" xr:uid="{00000000-0005-0000-0000-000012020000}"/>
    <cellStyle name="Normal 3 2 3 4 3 5 2" xfId="4671" xr:uid="{C7488697-347C-4027-9144-3C9AC3B4D98F}"/>
    <cellStyle name="Normal 3 2 3 4 3 6" xfId="3960" xr:uid="{D1FAA155-8172-43EB-ACF9-9A7AA25E3D6E}"/>
    <cellStyle name="Normal 3 2 3 4 3 6 2" xfId="4784" xr:uid="{8A9EA233-ABD3-42E4-B860-F2A4E0132FC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5" xfId="2097" xr:uid="{00000000-0005-0000-0000-000010020000}"/>
    <cellStyle name="Normal 3 2 3 4 5 2" xfId="3778" xr:uid="{8B0DC8D1-7DE9-4171-A63D-3B65DE7CC539}"/>
    <cellStyle name="Normal 3 2 3 4 6" xfId="3959" xr:uid="{C6836599-ECCD-4EBB-AA38-ABF0279C67FA}"/>
    <cellStyle name="Normal 3 2 3 4 6 2" xfId="4749" xr:uid="{E32033F8-C2D4-4D9A-8197-D59BB0805FFB}"/>
    <cellStyle name="Normal 3 2 3 5" xfId="2066" xr:uid="{00000000-0005-0000-0000-000003020000}"/>
    <cellStyle name="Normal 3 2 3 5 2" xfId="4738"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4" xfId="23427" xr:uid="{F5F16304-98F9-4382-9EBD-05DA6A2307A4}"/>
    <cellStyle name="Normal 3 2 4 3 3" xfId="885" xr:uid="{00000000-0005-0000-0000-000027050000}"/>
    <cellStyle name="Normal 3 2 4 3 4" xfId="2923" xr:uid="{00000000-0005-0000-0000-00002A050000}"/>
    <cellStyle name="Normal 3 2 4 3 5" xfId="2100" xr:uid="{00000000-0005-0000-0000-000016020000}"/>
    <cellStyle name="Normal 3 2 4 3 5 2" xfId="4686" xr:uid="{06BFEBE3-1397-400F-9E69-D60195609A34}"/>
    <cellStyle name="Normal 3 2 4 3 6" xfId="3963" xr:uid="{C9BE7447-0E91-41CB-9714-02F1C566D84A}"/>
    <cellStyle name="Normal 3 2 4 3 6 2" xfId="4788" xr:uid="{0C195683-FC3A-4228-8CFA-81C976438B43}"/>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3" xfId="24728" xr:uid="{154F7FD8-B3F3-4487-878D-5A0175DAC264}"/>
    <cellStyle name="Normal 3 2 4 5" xfId="2099" xr:uid="{00000000-0005-0000-0000-000014020000}"/>
    <cellStyle name="Normal 3 2 4 5 2" xfId="4645" xr:uid="{3EC2113D-E49B-4038-9F23-778F9B5DB2AD}"/>
    <cellStyle name="Normal 3 2 4 6" xfId="3962" xr:uid="{7B02E248-334A-4390-803D-03A9529B2562}"/>
    <cellStyle name="Normal 3 2 4 6 2" xfId="4817" xr:uid="{2DE6B781-6A0F-4C4A-A762-5BA32CF9F8AB}"/>
    <cellStyle name="Normal 3 2 5" xfId="29571" xr:uid="{750150B5-C7CA-4EA6-BA0D-6C0AEF29E2A9}"/>
    <cellStyle name="Normal 3 2 5 2" xfId="29630" xr:uid="{FC40ABBD-3EDE-4371-9FF9-A208F204AC39}"/>
    <cellStyle name="Normal 3 2 5 3" xfId="29600" xr:uid="{4BE0FB2A-CFA3-46C2-A6F3-5BD4CCDE876F}"/>
    <cellStyle name="Normal 3 2 5 3 2" xfId="29644" xr:uid="{012C5423-63EC-45C8-AB0D-9143CDABBBAF}"/>
    <cellStyle name="Normal 3 2 5 4" xfId="29634" xr:uid="{B70E0C93-0F24-4A65-9A4C-6AA94B1973D9}"/>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5" xfId="2102" xr:uid="{00000000-0005-0000-0000-000062020000}"/>
    <cellStyle name="Normal 5 2 2 3 3 2 3 5 2" xfId="4646" xr:uid="{DCF2241D-14ED-485A-9D65-B2AB943923E7}"/>
    <cellStyle name="Normal 5 2 2 3 3 2 3 6" xfId="4001" xr:uid="{F1B4F0B9-FD33-4680-A501-B9D0765C51F9}"/>
    <cellStyle name="Normal 5 2 2 3 3 2 3 6 2" xfId="4696" xr:uid="{87C651C8-4B39-4467-81FB-F4E1577DF4A5}"/>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5" xfId="2101" xr:uid="{00000000-0005-0000-0000-000060020000}"/>
    <cellStyle name="Normal 5 2 2 3 3 2 5 2" xfId="4665" xr:uid="{456E6ACB-B92B-4E09-90D7-9887AC9A6356}"/>
    <cellStyle name="Normal 5 2 2 3 3 2 6" xfId="4000" xr:uid="{A738EDEF-3EA0-4135-885D-6506E619A596}"/>
    <cellStyle name="Normal 5 2 2 3 3 2 6 2" xfId="4815"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5" xfId="25793" xr:uid="{BE81E2B3-54B5-44DA-A7B7-DF27FBF44B0E}"/>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5" xfId="2103" xr:uid="{00000000-0005-0000-0000-000065020000}"/>
    <cellStyle name="Normal 5 2 2 3 3 4 5 2" xfId="3791" xr:uid="{BC5A38D1-BFF3-476A-8A69-EA1EE0617EC6}"/>
    <cellStyle name="Normal 5 2 2 3 3 4 6" xfId="4002" xr:uid="{D8FD9E04-9092-4C4B-A910-C73C5CD42691}"/>
    <cellStyle name="Normal 5 2 2 3 3 4 6 2" xfId="4695" xr:uid="{E279391E-A262-4102-8448-E71B06C35C79}"/>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5" xfId="2106" xr:uid="{00000000-0005-0000-0000-00006C020000}"/>
    <cellStyle name="Normal 5 2 2 3 4 3 5 2" xfId="4053" xr:uid="{49B8B7A8-4856-40A4-A58F-9BFE37881BD3}"/>
    <cellStyle name="Normal 5 2 2 3 4 3 6" xfId="4004" xr:uid="{2E9BA179-24FF-4822-9D6C-F2734EFD2CB0}"/>
    <cellStyle name="Normal 5 2 2 3 4 3 6 2" xfId="4805" xr:uid="{2387F2B7-3B47-4789-BF4E-B979001A8F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5" xfId="2105" xr:uid="{00000000-0005-0000-0000-00006A020000}"/>
    <cellStyle name="Normal 5 2 2 3 4 5 2" xfId="4659" xr:uid="{67E9FDA9-5A2B-445D-B40D-93E8A98A8238}"/>
    <cellStyle name="Normal 5 2 2 3 4 6" xfId="4003" xr:uid="{483D2F10-7048-47B5-8EC8-C27C7ED5C5D2}"/>
    <cellStyle name="Normal 5 2 2 3 4 6 2" xfId="4722" xr:uid="{9099B238-0B4B-4E4D-B266-C731E14F65F2}"/>
    <cellStyle name="Normal 5 2 2 3 5" xfId="2067" xr:uid="{00000000-0005-0000-0000-00005D020000}"/>
    <cellStyle name="Normal 5 2 2 3 5 2" xfId="4745"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4" xfId="24571" xr:uid="{CA10D6C3-1290-4ABF-AABF-26E17988ED1A}"/>
    <cellStyle name="Normal 5 2 2 4 3 3" xfId="1085" xr:uid="{00000000-0005-0000-0000-0000F5050000}"/>
    <cellStyle name="Normal 5 2 2 4 3 4" xfId="2952" xr:uid="{00000000-0005-0000-0000-0000E8060000}"/>
    <cellStyle name="Normal 5 2 2 4 3 5" xfId="2108" xr:uid="{00000000-0005-0000-0000-000070020000}"/>
    <cellStyle name="Normal 5 2 2 4 3 5 2" xfId="4630" xr:uid="{CB491582-F2CB-4E36-BE6E-EFC681D7156D}"/>
    <cellStyle name="Normal 5 2 2 4 3 6" xfId="4006" xr:uid="{D558FD0F-23C1-46DD-B9F0-9F8795729785}"/>
    <cellStyle name="Normal 5 2 2 4 3 6 2" xfId="4714" xr:uid="{B120F520-B966-4AD5-8EBE-409F270073F9}"/>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5" xfId="2107" xr:uid="{00000000-0005-0000-0000-00006E020000}"/>
    <cellStyle name="Normal 5 2 2 4 5 2" xfId="4679" xr:uid="{1C1F360D-C6E5-496D-8E0B-7C61EF688A4B}"/>
    <cellStyle name="Normal 5 2 2 4 6" xfId="4005" xr:uid="{487C8B09-2829-42FC-9B86-25DB3AB10663}"/>
    <cellStyle name="Normal 5 2 2 4 6 2" xfId="4778" xr:uid="{C7B64242-53F0-4D37-B483-14A3329CCC0F}"/>
    <cellStyle name="Normal 5 2 2 5" xfId="29602" xr:uid="{51A7D0CB-4AEF-4815-897D-E9DF6C04761B}"/>
    <cellStyle name="Normal 5 2 2 5 2" xfId="29633"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5" xfId="2110" xr:uid="{00000000-0005-0000-0000-000079020000}"/>
    <cellStyle name="Normal 5 2 4 3 2 3 5 2" xfId="4629" xr:uid="{D9BC3CB2-5DA1-450C-BCAA-C84E226AB1E6}"/>
    <cellStyle name="Normal 5 2 4 3 2 3 6" xfId="4008" xr:uid="{993A1062-C514-464B-A529-806C1AF30B6A}"/>
    <cellStyle name="Normal 5 2 4 3 2 3 6 2" xfId="4694" xr:uid="{C18C23D0-B407-4C1A-B972-7E83A621B743}"/>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5" xfId="2109" xr:uid="{00000000-0005-0000-0000-000077020000}"/>
    <cellStyle name="Normal 5 2 4 3 2 5 2" xfId="4634" xr:uid="{CE0C5B6A-2719-4A04-925F-57872C2DEC2B}"/>
    <cellStyle name="Normal 5 2 4 3 2 6" xfId="4007" xr:uid="{21BCC244-DE2D-4E05-B4CA-800C7ACB717D}"/>
    <cellStyle name="Normal 5 2 4 3 2 6 2" xfId="4809"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5" xfId="25282" xr:uid="{C7B4FAF3-1BA0-45BB-BA6F-44260C736B84}"/>
    <cellStyle name="Normal 5 2 4 3 4 2 4" xfId="23058" xr:uid="{C7716834-6B7F-4C7C-AB0F-D110ACFBAC7A}"/>
    <cellStyle name="Normal 5 2 4 3 4 3" xfId="1111" xr:uid="{00000000-0005-0000-0000-000012060000}"/>
    <cellStyle name="Normal 5 2 4 3 4 4" xfId="2955" xr:uid="{00000000-0005-0000-0000-0000FD060000}"/>
    <cellStyle name="Normal 5 2 4 3 4 5" xfId="2111" xr:uid="{00000000-0005-0000-0000-00007C020000}"/>
    <cellStyle name="Normal 5 2 4 3 4 5 2" xfId="4640" xr:uid="{9499810A-4B41-448D-89FA-46D00AE72935}"/>
    <cellStyle name="Normal 5 2 4 3 4 6" xfId="4009" xr:uid="{F6561F36-B5FA-449D-8623-6523BDF6513B}"/>
    <cellStyle name="Normal 5 2 4 3 4 6 2" xfId="4822" xr:uid="{2C1739FD-A387-4815-9D44-5238B913A269}"/>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4" xfId="24799" xr:uid="{868BB01E-4989-41C7-8624-51DC12DB0459}"/>
    <cellStyle name="Normal 5 2 4 4 3 3" xfId="1120" xr:uid="{00000000-0005-0000-0000-00001C060000}"/>
    <cellStyle name="Normal 5 2 4 4 3 4" xfId="2956" xr:uid="{00000000-0005-0000-0000-000003070000}"/>
    <cellStyle name="Normal 5 2 4 4 3 5" xfId="2114" xr:uid="{00000000-0005-0000-0000-000083020000}"/>
    <cellStyle name="Normal 5 2 4 4 3 5 2" xfId="3783" xr:uid="{D037D556-2DF5-490C-8D04-4D0D0B902C7F}"/>
    <cellStyle name="Normal 5 2 4 4 3 6" xfId="4011" xr:uid="{48584F99-0955-4DD2-8F83-B7B1E99DDE13}"/>
    <cellStyle name="Normal 5 2 4 4 3 6 2" xfId="4710" xr:uid="{05F490C6-261E-4F3C-99BE-89B9730F2236}"/>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5" xfId="1123" xr:uid="{00000000-0005-0000-0000-00001F060000}"/>
    <cellStyle name="Normal 5 2 4 4 5 2" xfId="4685" xr:uid="{00564EB2-1CAC-4E4B-B4B3-F5A40DFD44F8}"/>
    <cellStyle name="Normal 5 2 4 4 5 2 2" xfId="4826" xr:uid="{83E1FB17-2E9A-4803-B6F4-091CC3A05E18}"/>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7" xfId="4010" xr:uid="{AD80C160-AEC5-4928-B410-574B477C1DBC}"/>
    <cellStyle name="Normal 5 2 4 4 7 2" xfId="4787" xr:uid="{F6E3D3A6-20C3-4DDD-A8D0-C82F8B32B77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6" xfId="2068" xr:uid="{00000000-0005-0000-0000-000074020000}"/>
    <cellStyle name="Normal 5 2 4 6 2" xfId="4761"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4" xfId="23097" xr:uid="{84EBBAC2-5BAF-4007-9F20-78E3A440C6FD}"/>
    <cellStyle name="Normal 5 2 6 3 3" xfId="1133" xr:uid="{00000000-0005-0000-0000-00002A060000}"/>
    <cellStyle name="Normal 5 2 6 3 4" xfId="2958" xr:uid="{00000000-0005-0000-0000-00000B070000}"/>
    <cellStyle name="Normal 5 2 6 3 5" xfId="2116" xr:uid="{00000000-0005-0000-0000-000088020000}"/>
    <cellStyle name="Normal 5 2 6 3 5 2" xfId="4643" xr:uid="{55F936E5-2268-4048-890B-2E7F45921A47}"/>
    <cellStyle name="Normal 5 2 6 3 6" xfId="4013" xr:uid="{28ED6A24-2FD5-4CA1-A14B-0556FD75683B}"/>
    <cellStyle name="Normal 5 2 6 3 6 2" xfId="4702" xr:uid="{B1BE088F-0CAA-4678-941E-5E508D832414}"/>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3" xfId="25736" xr:uid="{4B868893-5D9C-42B3-BD3C-3EDE8A95AE5E}"/>
    <cellStyle name="Normal 5 2 6 5" xfId="2115" xr:uid="{00000000-0005-0000-0000-000086020000}"/>
    <cellStyle name="Normal 5 2 6 5 2" xfId="3961" xr:uid="{FFE7DF02-3E33-41D1-A9B4-B30866C5927C}"/>
    <cellStyle name="Normal 5 2 6 6" xfId="4012" xr:uid="{C0B50273-D7A8-4911-83A8-B33EA77B3B8D}"/>
    <cellStyle name="Normal 5 2 6 6 2" xfId="4768"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2" xr:uid="{00000000-0005-0000-0000-000095050000}"/>
    <cellStyle name="Normal 5 2 7 4 2" xfId="4773" xr:uid="{5E06A59F-611A-44B3-A971-E98276EE6A1C}"/>
    <cellStyle name="Normal 5 2 7 5" xfId="29605" xr:uid="{0A6BA937-6FA9-46C5-B401-7A4E2A3B41BE}"/>
    <cellStyle name="Normal 5 2 7 5 2" xfId="29636"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4" xfId="25763" xr:uid="{228DCD5C-5DC3-4868-97DD-445981D2F756}"/>
    <cellStyle name="Normal 5 3 3 2 3 3" xfId="1146" xr:uid="{00000000-0005-0000-0000-000038060000}"/>
    <cellStyle name="Normal 5 3 3 2 3 4" xfId="2959" xr:uid="{00000000-0005-0000-0000-000015070000}"/>
    <cellStyle name="Normal 5 3 3 2 3 5" xfId="2118" xr:uid="{00000000-0005-0000-0000-00008F020000}"/>
    <cellStyle name="Normal 5 3 3 2 3 5 2" xfId="4667" xr:uid="{9506A050-893F-44B9-8047-501E583497C1}"/>
    <cellStyle name="Normal 5 3 3 2 3 6" xfId="4015" xr:uid="{31A0DB43-85D3-4869-AD70-E01D62E64B6B}"/>
    <cellStyle name="Normal 5 3 3 2 3 6 2" xfId="4746"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5" xfId="2117" xr:uid="{00000000-0005-0000-0000-00008D020000}"/>
    <cellStyle name="Normal 5 3 3 2 5 2" xfId="4642" xr:uid="{6378A6EC-FE82-4A4D-B72E-F6F245354E18}"/>
    <cellStyle name="Normal 5 3 3 2 6" xfId="4014" xr:uid="{336F4594-40A6-452F-A442-AD096348AEFF}"/>
    <cellStyle name="Normal 5 3 3 2 6 2" xfId="4753" xr:uid="{9079EEE4-247F-4C6E-9514-EE91EF9D4BB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5" xfId="24944" xr:uid="{9F045087-C642-46A8-91FD-AAF692F573EC}"/>
    <cellStyle name="Normal 5 3 3 4 2 4" xfId="24108" xr:uid="{948204CC-FE7E-44DB-B145-20BC57C9DDCF}"/>
    <cellStyle name="Normal 5 3 3 4 3" xfId="1159" xr:uid="{00000000-0005-0000-0000-000047060000}"/>
    <cellStyle name="Normal 5 3 3 4 4" xfId="2960" xr:uid="{00000000-0005-0000-0000-00001E070000}"/>
    <cellStyle name="Normal 5 3 3 4 5" xfId="2119" xr:uid="{00000000-0005-0000-0000-000092020000}"/>
    <cellStyle name="Normal 5 3 3 4 5 2" xfId="4670" xr:uid="{C1D65F0E-85F0-4012-A373-B75FD3E1BAA3}"/>
    <cellStyle name="Normal 5 3 3 4 6" xfId="4016" xr:uid="{D2756F3F-6B90-4F0D-A058-F63FBCF3FF7E}"/>
    <cellStyle name="Normal 5 3 3 4 6 2" xfId="4783" xr:uid="{6E3C98E3-D3AA-4BD6-A38C-7B56FF88A673}"/>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4" xfId="24655" xr:uid="{5F063B03-3FE5-47FE-9028-D7BB1C893E88}"/>
    <cellStyle name="Normal 5 3 4 3 3" xfId="1169" xr:uid="{00000000-0005-0000-0000-000053060000}"/>
    <cellStyle name="Normal 5 3 4 3 4" xfId="2961" xr:uid="{00000000-0005-0000-0000-000024070000}"/>
    <cellStyle name="Normal 5 3 4 3 5" xfId="2122" xr:uid="{00000000-0005-0000-0000-000099020000}"/>
    <cellStyle name="Normal 5 3 4 3 5 2" xfId="3818" xr:uid="{9369DBB9-DD67-4338-8EB8-DA10B04D3AFA}"/>
    <cellStyle name="Normal 5 3 4 3 6" xfId="4018" xr:uid="{1613ADCD-F7DC-4D24-BE2E-0512CCDB9F7E}"/>
    <cellStyle name="Normal 5 3 4 3 6 2" xfId="4698" xr:uid="{DE044A17-1F25-42F0-A6B5-42ABCA6D7CD9}"/>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5" xfId="2121" xr:uid="{00000000-0005-0000-0000-000097020000}"/>
    <cellStyle name="Normal 5 3 4 5 2" xfId="4652" xr:uid="{AE4239F0-8210-40A2-B60A-C02B564418C5}"/>
    <cellStyle name="Normal 5 3 4 6" xfId="4017" xr:uid="{CB599806-7C8A-45F6-9C5C-00B11E4887E0}"/>
    <cellStyle name="Normal 5 3 4 6 2" xfId="4689" xr:uid="{C33C1D9E-89E1-44FF-859F-F450C4814C70}"/>
    <cellStyle name="Normal 5 3 5" xfId="2069" xr:uid="{00000000-0005-0000-0000-00008A020000}"/>
    <cellStyle name="Normal 5 3 5 2" xfId="4724"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4" xfId="25773" xr:uid="{C3D50B18-259C-4014-9BCC-0D850B8A97C8}"/>
    <cellStyle name="Normal 5 5 10 3" xfId="1180" xr:uid="{00000000-0005-0000-0000-000060060000}"/>
    <cellStyle name="Normal 5 5 10 4" xfId="2962" xr:uid="{00000000-0005-0000-0000-00002C070000}"/>
    <cellStyle name="Normal 5 5 10 5" xfId="2124" xr:uid="{00000000-0005-0000-0000-00009E020000}"/>
    <cellStyle name="Normal 5 5 10 5 2" xfId="3790" xr:uid="{3E02F4FD-1C4C-4539-A2B7-19465E26278C}"/>
    <cellStyle name="Normal 5 5 10 6" xfId="4020" xr:uid="{337F88F3-5843-4A8A-A4B2-DC8C7B59A64B}"/>
    <cellStyle name="Normal 5 5 10 6 2" xfId="4806" xr:uid="{9AEE980B-AC49-472C-ABA8-56F2FAA76E03}"/>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3" xfId="27500" xr:uid="{C60B8A07-C87E-417E-81F5-A75D4AE0518D}"/>
    <cellStyle name="Normal 5 5 12 2 4" xfId="27364" xr:uid="{FCABEA70-D790-4657-BF9A-CD1687570BD1}"/>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7" xfId="2134" xr:uid="{00000000-0005-0000-0000-0000A1020000}"/>
    <cellStyle name="Normal 5 5 12 7 2" xfId="4820" xr:uid="{933CD350-3DDB-4FFC-B65F-DBC9B5AC6FAA}"/>
    <cellStyle name="Normal 5 5 12 8" xfId="4040" xr:uid="{339DDFF4-B60C-4AB4-A281-8CA03C0100FF}"/>
    <cellStyle name="Normal 5 5 12 8 2" xfId="4818" xr:uid="{7550A7D3-C1EF-43A3-A121-A8E9FC3C1D0F}"/>
    <cellStyle name="Normal 5 5 12 9" xfId="25796" xr:uid="{E3CEE472-2575-4086-9B70-8587E190341C}"/>
    <cellStyle name="Normal 5 5 12 9 2" xfId="26401" xr:uid="{EE6D3784-0C10-40B4-B5A5-246641421871}"/>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8" xfId="4019" xr:uid="{F3938208-EDFC-4F17-ABB5-42A544677995}"/>
    <cellStyle name="Normal 5 5 18 2" xfId="4811" xr:uid="{F76BFFF7-F65C-4C10-94AE-340164E71EC1}"/>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2" xfId="29980" xr:uid="{D67E6B79-0BB9-41EF-9496-F362FC77F6A8}"/>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6" xfId="23174" xr:uid="{585B73B8-12BC-44A6-82F7-7D9C4E64E545}"/>
    <cellStyle name="Normal 5 5 3 3 2 7" xfId="13277" xr:uid="{60854C4E-F5E6-4B50-AA94-02CF9A79D755}"/>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4" xfId="26362" xr:uid="{2BB7C9BC-9F92-46B9-A4E8-54E7EDCFB1FE}"/>
    <cellStyle name="Normal 5 5 3 3 8" xfId="29681" xr:uid="{0A86F2A0-5592-44C0-A478-BDA05FBB524E}"/>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3" xfId="1241" xr:uid="{00000000-0005-0000-0000-00009F060000}"/>
    <cellStyle name="Normal 6 2 4 4" xfId="29855" xr:uid="{AA4C1F12-DEA9-457E-AEF5-0DB4A6E59CD3}"/>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5" xfId="2127" xr:uid="{00000000-0005-0000-0000-0000BE020000}"/>
    <cellStyle name="Normal 6 3 3 3 2 3 5 2" xfId="4680" xr:uid="{D6398DC9-E5C9-496E-A2A7-CD5014D2DFA6}"/>
    <cellStyle name="Normal 6 3 3 3 2 3 6" xfId="4034" xr:uid="{C3B2AF05-98DC-463A-BA12-C74208D497DD}"/>
    <cellStyle name="Normal 6 3 3 3 2 3 6 2" xfId="4812" xr:uid="{F613BC84-EDE5-4885-8459-F27AF0BB6E8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5" xfId="2126" xr:uid="{00000000-0005-0000-0000-0000BC020000}"/>
    <cellStyle name="Normal 6 3 3 3 2 5 2" xfId="4637" xr:uid="{6DCD8049-BC85-477D-8DF4-71B624F9476D}"/>
    <cellStyle name="Normal 6 3 3 3 2 6" xfId="4033" xr:uid="{2F86E8C3-CFCF-4CC5-896B-92C102F9D7BD}"/>
    <cellStyle name="Normal 6 3 3 3 2 6 2" xfId="4725"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5" xfId="25802" xr:uid="{593CE574-319A-4AC6-9B5C-702D762FB4CA}"/>
    <cellStyle name="Normal 6 3 3 3 4 2 4" xfId="25640" xr:uid="{EABC3D6A-712F-4FB3-BEB7-DF746EAFE1AE}"/>
    <cellStyle name="Normal 6 3 3 3 4 3" xfId="1264" xr:uid="{00000000-0005-0000-0000-0000B9060000}"/>
    <cellStyle name="Normal 6 3 3 3 4 4" xfId="2972" xr:uid="{00000000-0005-0000-0000-00009F070000}"/>
    <cellStyle name="Normal 6 3 3 3 4 5" xfId="2128" xr:uid="{00000000-0005-0000-0000-0000C1020000}"/>
    <cellStyle name="Normal 6 3 3 3 4 5 2" xfId="4672" xr:uid="{3CF7EC19-F0E2-4711-B08D-946163A456F8}"/>
    <cellStyle name="Normal 6 3 3 3 4 6" xfId="4035" xr:uid="{4F2918E3-7CCF-44F2-8B12-399DCD69E664}"/>
    <cellStyle name="Normal 6 3 3 3 4 6 2" xfId="4704" xr:uid="{66B78E9E-F4AB-4BA4-9562-EF211951A15F}"/>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4" xfId="25725" xr:uid="{458F7302-1896-4444-8A91-7EEE77D9B42E}"/>
    <cellStyle name="Normal 6 3 3 4 3 3" xfId="1273" xr:uid="{00000000-0005-0000-0000-0000C3060000}"/>
    <cellStyle name="Normal 6 3 3 4 3 4" xfId="2973" xr:uid="{00000000-0005-0000-0000-0000A5070000}"/>
    <cellStyle name="Normal 6 3 3 4 3 5" xfId="2131" xr:uid="{00000000-0005-0000-0000-0000C8020000}"/>
    <cellStyle name="Normal 6 3 3 4 3 5 2" xfId="3855" xr:uid="{14ADEC9D-23D5-4755-9DD0-8765D24571A4}"/>
    <cellStyle name="Normal 6 3 3 4 3 6" xfId="4037" xr:uid="{C66D090D-F948-4628-9A4B-3556EC8A8993}"/>
    <cellStyle name="Normal 6 3 3 4 3 6 2" xfId="4740" xr:uid="{6CDE8700-2BC6-4C40-AD11-A661C27D6699}"/>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5" xfId="2130" xr:uid="{00000000-0005-0000-0000-0000C6020000}"/>
    <cellStyle name="Normal 6 3 3 4 5 2" xfId="3776" xr:uid="{E7CE2CBA-ABE9-40BC-B051-DB9C5FB798E6}"/>
    <cellStyle name="Normal 6 3 3 4 6" xfId="4036" xr:uid="{45BFAD04-BCD7-4CAC-953D-0DBD444CB6D4}"/>
    <cellStyle name="Normal 6 3 3 4 6 2" xfId="4726" xr:uid="{E376E65A-2E16-478D-B2B0-FCA698161DA4}"/>
    <cellStyle name="Normal 6 3 3 5" xfId="2070" xr:uid="{00000000-0005-0000-0000-0000B9020000}"/>
    <cellStyle name="Normal 6 3 3 5 2" xfId="4799"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4" xfId="24959" xr:uid="{0DA149DA-ADAC-4AFA-94DC-BF3AC20BD344}"/>
    <cellStyle name="Normal 6 3 4 3 3" xfId="1281" xr:uid="{00000000-0005-0000-0000-0000CD060000}"/>
    <cellStyle name="Normal 6 3 4 3 4" xfId="2975" xr:uid="{00000000-0005-0000-0000-0000AC070000}"/>
    <cellStyle name="Normal 6 3 4 3 5" xfId="2133" xr:uid="{00000000-0005-0000-0000-0000CC020000}"/>
    <cellStyle name="Normal 6 3 4 3 5 2" xfId="4641" xr:uid="{B14B5BE6-0AD9-4024-B6A3-83DB74FA6323}"/>
    <cellStyle name="Normal 6 3 4 3 6" xfId="4039" xr:uid="{85017E11-7866-4279-9063-BD1F44AA9952}"/>
    <cellStyle name="Normal 6 3 4 3 6 2" xfId="4785" xr:uid="{121F7278-5066-479E-804E-839EF523D6AF}"/>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3" xfId="24976" xr:uid="{B81CA4B1-D0EC-4903-82C2-3729418C66EC}"/>
    <cellStyle name="Normal 6 3 4 5" xfId="2132" xr:uid="{00000000-0005-0000-0000-0000CA020000}"/>
    <cellStyle name="Normal 6 3 4 5 2" xfId="4626" xr:uid="{385DF0D6-58F0-450D-88C9-C3CEB76D1408}"/>
    <cellStyle name="Normal 6 3 4 6" xfId="4038" xr:uid="{8D1101F3-0C22-4BE8-AF14-06E549D8B1C0}"/>
    <cellStyle name="Normal 6 3 4 6 2" xfId="4708" xr:uid="{309113B5-9206-44C4-9B50-F0859B4F4AC0}"/>
    <cellStyle name="Normal 6 3 5" xfId="29609" xr:uid="{631E655F-7844-43BA-9955-2AD29CB8158C}"/>
    <cellStyle name="Normal 6 3 5 2" xfId="29637" xr:uid="{B4AFCDD8-862C-4144-A948-C80FD9D9C627}"/>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4" xfId="22682" xr:uid="{9FD8EF5C-1DF1-4ABC-86B0-BC0A24BC7DB0}"/>
    <cellStyle name="Normal 6 5 3 2 3 3" xfId="1292" xr:uid="{00000000-0005-0000-0000-0000D9060000}"/>
    <cellStyle name="Normal 6 5 3 2 3 4" xfId="2977" xr:uid="{00000000-0005-0000-0000-0000B7070000}"/>
    <cellStyle name="Normal 6 5 3 2 3 5" xfId="2136" xr:uid="{00000000-0005-0000-0000-0000D4020000}"/>
    <cellStyle name="Normal 6 5 3 2 3 5 2" xfId="4648" xr:uid="{6EE5CD5D-2630-46DB-98C1-E0A91C088B26}"/>
    <cellStyle name="Normal 6 5 3 2 3 6" xfId="4042" xr:uid="{8B315A9F-8391-474D-B4C0-405EE4404F8E}"/>
    <cellStyle name="Normal 6 5 3 2 3 6 2" xfId="4713" xr:uid="{B2D6BDD1-5721-402C-A1EB-DE58BA876C84}"/>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5" xfId="2135" xr:uid="{00000000-0005-0000-0000-0000D2020000}"/>
    <cellStyle name="Normal 6 5 3 2 5 2" xfId="4684" xr:uid="{985E2EB5-9E1E-43AC-B0AB-0DDE28EC2B5C}"/>
    <cellStyle name="Normal 6 5 3 2 6" xfId="4041" xr:uid="{8635F82C-04F7-4EC6-B923-CFC4350C7830}"/>
    <cellStyle name="Normal 6 5 3 2 6 2" xfId="4721"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5" xfId="25819" xr:uid="{146A0A89-FA15-4673-83D1-1BD48BA23B4F}"/>
    <cellStyle name="Normal 6 5 3 4 2 4" xfId="24939" xr:uid="{FD27707B-D4A4-422F-BC64-0031AA3E4D05}"/>
    <cellStyle name="Normal 6 5 3 4 3" xfId="1302" xr:uid="{00000000-0005-0000-0000-0000E5060000}"/>
    <cellStyle name="Normal 6 5 3 4 4" xfId="2978" xr:uid="{00000000-0005-0000-0000-0000C0070000}"/>
    <cellStyle name="Normal 6 5 3 4 5" xfId="2137" xr:uid="{00000000-0005-0000-0000-0000D7020000}"/>
    <cellStyle name="Normal 6 5 3 4 5 2" xfId="4668" xr:uid="{D2333BB9-76BA-48B1-B619-1F9C6401FD25}"/>
    <cellStyle name="Normal 6 5 3 4 6" xfId="4043" xr:uid="{13FADCA8-36DC-469D-8F55-211BB24FA64B}"/>
    <cellStyle name="Normal 6 5 3 4 6 2" xfId="4755" xr:uid="{ABAADEE5-6BDD-4DDF-988F-045E065F16C3}"/>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4" xfId="24664" xr:uid="{C8FD317F-C620-40B3-9E84-C86134062E28}"/>
    <cellStyle name="Normal 6 5 4 3 3" xfId="1311" xr:uid="{00000000-0005-0000-0000-0000EF060000}"/>
    <cellStyle name="Normal 6 5 4 3 4" xfId="2979" xr:uid="{00000000-0005-0000-0000-0000C6070000}"/>
    <cellStyle name="Normal 6 5 4 3 5" xfId="2140" xr:uid="{00000000-0005-0000-0000-0000DE020000}"/>
    <cellStyle name="Normal 6 5 4 3 5 2" xfId="3772" xr:uid="{0DAEABF9-E059-45BB-9EA3-DB8CCF44184B}"/>
    <cellStyle name="Normal 6 5 4 3 6" xfId="4045" xr:uid="{3B6C1D61-E8B0-4D32-BD74-479DABBA050E}"/>
    <cellStyle name="Normal 6 5 4 3 6 2" xfId="4743" xr:uid="{AB0FA666-59CA-452D-8185-BFDD339259A5}"/>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5" xfId="2139" xr:uid="{00000000-0005-0000-0000-0000DC020000}"/>
    <cellStyle name="Normal 6 5 4 5 2" xfId="4628" xr:uid="{F656D414-B9FB-4E57-A874-02EABF4164A9}"/>
    <cellStyle name="Normal 6 5 4 6" xfId="4044" xr:uid="{275714B7-5104-4FAB-9E0E-B1CADB04BD20}"/>
    <cellStyle name="Normal 6 5 4 6 2" xfId="4758" xr:uid="{66B4AC42-B19A-46C7-BB60-AA3BF5A56B35}"/>
    <cellStyle name="Normal 6 5 5" xfId="2071" xr:uid="{00000000-0005-0000-0000-0000CF020000}"/>
    <cellStyle name="Normal 6 5 5 2" xfId="4762"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4" xfId="24612" xr:uid="{0E019910-37DE-43E1-BDD5-941731A48A83}"/>
    <cellStyle name="Normal 6 6 4 3" xfId="1326" xr:uid="{00000000-0005-0000-0000-000000070000}"/>
    <cellStyle name="Normal 6 6 4 4" xfId="2980" xr:uid="{00000000-0005-0000-0000-0000D1070000}"/>
    <cellStyle name="Normal 6 6 4 5" xfId="2143" xr:uid="{00000000-0005-0000-0000-0000E6020000}"/>
    <cellStyle name="Normal 6 6 4 5 2" xfId="4636" xr:uid="{BD1045AF-7E49-48EA-AF41-B1E7071CB221}"/>
    <cellStyle name="Normal 6 6 4 6" xfId="4047" xr:uid="{7E3C1600-D01B-4C17-A3C8-5A48EC2345CF}"/>
    <cellStyle name="Normal 6 6 4 6 2" xfId="4715"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3" xfId="25364" xr:uid="{25F2D5BA-2D6F-4E91-8FBB-4B9D252657D9}"/>
    <cellStyle name="Normal 6 6 6 4" xfId="2153" xr:uid="{00000000-0005-0000-0000-0000E9020000}"/>
    <cellStyle name="Normal 6 6 6 4 2" xfId="4691" xr:uid="{114F1330-7415-461B-B792-61BE07D55AC7}"/>
    <cellStyle name="Normal 6 6 6 5" xfId="4096" xr:uid="{E42903F7-CF43-4BB8-AC03-F1EB46C1FC19}"/>
    <cellStyle name="Normal 6 6 6 5 2" xfId="4767" xr:uid="{2CC1BF88-5B5D-4701-8916-7B15CC9D2D01}"/>
    <cellStyle name="Normal 6 6 6 6" xfId="25714" xr:uid="{CE44424C-FDE2-4274-9AAC-2B2782EEB566}"/>
    <cellStyle name="Normal 6 6 6 6 2" xfId="26403" xr:uid="{DEBDC983-AB32-4C69-A2AF-B29A4C97979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8" xfId="2141" xr:uid="{00000000-0005-0000-0000-0000E0020000}"/>
    <cellStyle name="Normal 6 6 8 2" xfId="4774" xr:uid="{C961BEA7-4CED-4BA6-BDFD-A714A0F418E5}"/>
    <cellStyle name="Normal 6 6 9" xfId="4046" xr:uid="{A50BAD3F-B140-4A20-83B4-791B93C5BDD0}"/>
    <cellStyle name="Normal 6 6 9 2" xfId="4823" xr:uid="{7CDE7D59-F383-4AF9-8CAA-D8B18AFC360A}"/>
    <cellStyle name="Normal 6 7" xfId="29575" xr:uid="{949E648E-1627-4304-B1D4-9DF911CA9729}"/>
    <cellStyle name="Normal 6 7 2" xfId="29632" xr:uid="{0E90CD01-BDD5-4813-BF65-92255AD7581D}"/>
    <cellStyle name="Normal 6 7 3" xfId="29611" xr:uid="{7AF28517-C91E-49FA-99C2-5F623D4C0532}"/>
    <cellStyle name="Normal 6 7 3 2" xfId="29651" xr:uid="{53DFD4C6-C645-4A38-ACB5-6A77D465B439}"/>
    <cellStyle name="Normal 6 7 4" xfId="29640" xr:uid="{BF5B92AD-058E-4424-9669-B083BD07B8A2}"/>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3" xfId="12176" xr:uid="{14EEB91B-D8F9-4F06-B344-22845EF1E6AA}"/>
    <cellStyle name="Normal 7 14 2 3 2" xfId="22556" xr:uid="{3B072E4D-49A0-409B-9BD9-9B2AAEACA31C}"/>
    <cellStyle name="Normal 7 14 2 4" xfId="24584" xr:uid="{5942702B-591C-4132-A5C1-66F61F49F937}"/>
    <cellStyle name="Normal 7 14 2 5" xfId="16890" xr:uid="{683ACCB9-7C62-4B63-B4F1-090AB6DAC786}"/>
    <cellStyle name="Normal 7 14 3" xfId="5400" xr:uid="{FAC9975F-8F2F-4E63-A9C3-9F3C1010A589}"/>
    <cellStyle name="Normal 7 14 3 2" xfId="25774" xr:uid="{8D397C2B-E913-4504-B12F-1B0EE6347D16}"/>
    <cellStyle name="Normal 7 14 3 3" xfId="27633" xr:uid="{07857877-B5B2-4CEB-A569-43A78CB1FF4C}"/>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7" xfId="29635" xr:uid="{34C97F94-45C7-4B15-9ED5-2C3B425DF668}"/>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5" xfId="9983" xr:uid="{8235CE7C-372C-4318-A599-8E62C285DA7B}"/>
    <cellStyle name="Normal 7 14 5 2" xfId="29451" xr:uid="{AEDE9949-7169-4514-AE0E-4A891C24561E}"/>
    <cellStyle name="Normal 7 14 5 3" xfId="20363" xr:uid="{9449C78C-D33B-459C-BBF9-694343407FAB}"/>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3" xfId="7557" xr:uid="{F1E98D2C-5E23-44D7-A17A-E7E508629C08}"/>
    <cellStyle name="Normal 7 15 3 2" xfId="17937" xr:uid="{AE558860-C380-4D33-B8F4-BAFABF7E14FC}"/>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1" xfId="29979" xr:uid="{9CE9C7A0-056C-44AD-A33D-E7968E3C6153}"/>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4" xfId="24308" xr:uid="{4F4781A6-ECE1-4C9E-AC58-6E5C10C0A2BA}"/>
    <cellStyle name="Normal 7 3 3 2 3 3" xfId="1362" xr:uid="{00000000-0005-0000-0000-000025070000}"/>
    <cellStyle name="Normal 7 3 3 2 3 4" xfId="2983" xr:uid="{00000000-0005-0000-0000-0000FA070000}"/>
    <cellStyle name="Normal 7 3 3 2 3 5" xfId="2145" xr:uid="{00000000-0005-0000-0000-0000F7020000}"/>
    <cellStyle name="Normal 7 3 3 2 3 5 2" xfId="4635" xr:uid="{4276D1A2-DC93-4587-8A35-0E2B48A1053D}"/>
    <cellStyle name="Normal 7 3 3 2 3 6" xfId="4055" xr:uid="{B827FBD5-2E2E-4EC7-8D41-DDFF87CC148D}"/>
    <cellStyle name="Normal 7 3 3 2 3 6 2" xfId="4800" xr:uid="{41E9EAB1-F610-481E-9DBF-172EE15DBDDE}"/>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5" xfId="2144" xr:uid="{00000000-0005-0000-0000-0000F5020000}"/>
    <cellStyle name="Normal 7 3 3 2 5 2" xfId="4663" xr:uid="{8519FF03-5F6D-4EB4-B933-25C9AA886D70}"/>
    <cellStyle name="Normal 7 3 3 2 6" xfId="4054" xr:uid="{0F69AA1D-AABD-4773-8E71-6D7F88104E7D}"/>
    <cellStyle name="Normal 7 3 3 2 6 2" xfId="4706"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5" xfId="24402" xr:uid="{AE0E1D6A-38CA-406E-AE73-788945631526}"/>
    <cellStyle name="Normal 7 3 3 4 2 4" xfId="23708" xr:uid="{E6762BC0-4988-4223-B09E-CC35F0BD73AE}"/>
    <cellStyle name="Normal 7 3 3 4 3" xfId="1372" xr:uid="{00000000-0005-0000-0000-000031070000}"/>
    <cellStyle name="Normal 7 3 3 4 4" xfId="2984" xr:uid="{00000000-0005-0000-0000-000003080000}"/>
    <cellStyle name="Normal 7 3 3 4 5" xfId="2146" xr:uid="{00000000-0005-0000-0000-0000FA020000}"/>
    <cellStyle name="Normal 7 3 3 4 5 2" xfId="4023" xr:uid="{6D2F6D47-4728-4B49-AE2E-D503982C4500}"/>
    <cellStyle name="Normal 7 3 3 4 6" xfId="4056" xr:uid="{3D663429-9E72-4EFF-8B04-88C376DF2815}"/>
    <cellStyle name="Normal 7 3 3 4 6 2" xfId="4796" xr:uid="{AEA4314F-DE64-4934-8CDE-F04585260C3B}"/>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4" xfId="25414" xr:uid="{F055F10B-64A1-40D8-B460-1A174561E6AE}"/>
    <cellStyle name="Normal 7 3 4 3 3" xfId="1381" xr:uid="{00000000-0005-0000-0000-00003B070000}"/>
    <cellStyle name="Normal 7 3 4 3 4" xfId="2985" xr:uid="{00000000-0005-0000-0000-000009080000}"/>
    <cellStyle name="Normal 7 3 4 3 5" xfId="2149" xr:uid="{00000000-0005-0000-0000-000001030000}"/>
    <cellStyle name="Normal 7 3 4 3 5 2" xfId="4669" xr:uid="{E82F8251-A2EF-493C-99EC-798453FDB072}"/>
    <cellStyle name="Normal 7 3 4 3 6" xfId="4058" xr:uid="{19AF6C94-1102-41EB-A615-06CFDA2F78F6}"/>
    <cellStyle name="Normal 7 3 4 3 6 2" xfId="4819" xr:uid="{0CC34133-4C51-4581-8706-421D8E52AF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5" xfId="2148" xr:uid="{00000000-0005-0000-0000-0000FF020000}"/>
    <cellStyle name="Normal 7 3 4 5 2" xfId="4676" xr:uid="{62B191F5-1F42-4E10-9F64-94BCDEA70967}"/>
    <cellStyle name="Normal 7 3 4 6" xfId="4057" xr:uid="{FA0FC87F-FC4E-4E3F-98FE-B3C6B8313692}"/>
    <cellStyle name="Normal 7 3 4 6 2" xfId="4766" xr:uid="{56DF81AD-9939-4BBA-9856-A8B717C867ED}"/>
    <cellStyle name="Normal 7 3 5" xfId="2072" xr:uid="{00000000-0005-0000-0000-0000F2020000}"/>
    <cellStyle name="Normal 7 3 5 2" xfId="4780" xr:uid="{2BC8EFBC-06F5-4C7E-B0DC-F1B8E24A78E5}"/>
    <cellStyle name="Normal 7 3 6" xfId="29580" xr:uid="{F508C06F-0760-4DB3-8A82-A860AE1FCD26}"/>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4" xfId="25604" xr:uid="{1F88F4F4-8E7E-4A10-9831-AB18C3F05F2C}"/>
    <cellStyle name="Normal 7 6 10 3" xfId="1466" xr:uid="{00000000-0005-0000-0000-000092070000}"/>
    <cellStyle name="Normal 7 6 10 4" xfId="2998" xr:uid="{00000000-0005-0000-0000-0000DB080000}"/>
    <cellStyle name="Normal 7 6 10 5" xfId="2151" xr:uid="{00000000-0005-0000-0000-000024030000}"/>
    <cellStyle name="Normal 7 6 10 5 2" xfId="4681" xr:uid="{64225ED7-B81F-4829-937E-4C8F86992647}"/>
    <cellStyle name="Normal 7 6 10 6" xfId="4079" xr:uid="{5A04D94C-6FA8-4354-90B5-CFB60835C8E6}"/>
    <cellStyle name="Normal 7 6 10 6 2" xfId="4824" xr:uid="{0FEEC669-8F27-4B5E-8A98-CFDB8125CE32}"/>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6" xfId="4107" xr:uid="{30A2C7AC-688D-49BA-80A4-9263C9BFA06B}"/>
    <cellStyle name="Normal 7 6 12 6 2" xfId="4760" xr:uid="{A9321574-1AD7-4B70-B5D3-A6DF307B9A1E}"/>
    <cellStyle name="Normal 7 6 12 7" xfId="25333" xr:uid="{F7D8B81A-047F-48C6-A186-A40F67FBBC1A}"/>
    <cellStyle name="Normal 7 6 12 7 2" xfId="26410" xr:uid="{92E5298E-5151-4BC5-8530-0F8A55FB4F6C}"/>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8" xfId="4078" xr:uid="{0FEC4EED-31A4-4E9D-A539-4F81C2FE41D8}"/>
    <cellStyle name="Normal 7 6 18 2" xfId="4693" xr:uid="{BF19DB26-08D9-499A-A4F6-1D49D2A37102}"/>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2" xfId="29981" xr:uid="{9BCCC15C-78C9-486F-A701-1A52E6003D5D}"/>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6" xfId="23049" xr:uid="{6A1329E9-4F61-4AE7-A038-DC47D92FCBA5}"/>
    <cellStyle name="Normal 7 6 3 3 2 7" xfId="13327" xr:uid="{F64208F4-0E3F-4CEE-8256-88031B63933C}"/>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4" xfId="27627" xr:uid="{D690042B-48A8-4B37-88B6-2BF49BC9445A}"/>
    <cellStyle name="Normal 7 6 3 3 8" xfId="29682" xr:uid="{DDD031FA-DD35-4F20-99A5-AA11D3C98D44}"/>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4" xfId="3769" xr:uid="{00000000-0005-0000-0000-0000E60E0000}"/>
    <cellStyle name="Note 4 2 4 2" xfId="4802" xr:uid="{E4762291-6E3E-40C0-B2A3-FBA7791D5340}"/>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5" xfId="29583" xr:uid="{24FEBD0B-5ABA-49D8-AC25-4DA966B23BF8}"/>
    <cellStyle name="Note 5" xfId="12255" xr:uid="{E1364BB4-A0A2-46F5-BB38-05901CCE3206}"/>
    <cellStyle name="Note 5 2" xfId="22634" xr:uid="{E297CF68-B359-40C9-8CC6-73BC50F6502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4" xfId="2033" xr:uid="{00000000-0005-0000-0000-0000EA070000}"/>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4" xfId="2039" xr:uid="{00000000-0005-0000-0000-0000F4070000}"/>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7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72"/>
      <tableStyleElement type="headerRow" dxfId="71"/>
      <tableStyleElement type="firstRowStripe" dxfId="70"/>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6</xdr:row>
      <xdr:rowOff>0</xdr:rowOff>
    </xdr:from>
    <xdr:ext cx="8190476" cy="5695238"/>
    <xdr:pic>
      <xdr:nvPicPr>
        <xdr:cNvPr id="2" name="Picture 1">
          <a:extLst>
            <a:ext uri="{FF2B5EF4-FFF2-40B4-BE49-F238E27FC236}">
              <a16:creationId xmlns:a16="http://schemas.microsoft.com/office/drawing/2014/main" id="{B03300F4-D776-4B15-820F-133481017F6C}"/>
            </a:ext>
          </a:extLst>
        </xdr:cNvPr>
        <xdr:cNvPicPr>
          <a:picLocks noChangeAspect="1"/>
        </xdr:cNvPicPr>
      </xdr:nvPicPr>
      <xdr:blipFill>
        <a:blip xmlns:r="http://schemas.openxmlformats.org/officeDocument/2006/relationships" r:embed="rId1"/>
        <a:stretch>
          <a:fillRect/>
        </a:stretch>
      </xdr:blipFill>
      <xdr:spPr>
        <a:xfrm>
          <a:off x="3429000" y="2981325"/>
          <a:ext cx="8190476" cy="569523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files.nc.gov/nctreasurer/documents/files/SLGFD/Memos/2020-09.pdf"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CBB7-1E59-4F70-A059-F1B18ACBDBB6}">
  <dimension ref="A1:D43"/>
  <sheetViews>
    <sheetView tabSelected="1" zoomScaleNormal="100" workbookViewId="0">
      <selection activeCell="B2" sqref="B2"/>
    </sheetView>
  </sheetViews>
  <sheetFormatPr defaultRowHeight="15" x14ac:dyDescent="0.25"/>
  <cols>
    <col min="1" max="1" width="1.7109375" style="860" customWidth="1"/>
    <col min="2" max="2" width="159.7109375" style="860" customWidth="1"/>
    <col min="3" max="4" width="9.140625" style="860" hidden="1" customWidth="1"/>
    <col min="5" max="5" width="2.28515625" style="860" customWidth="1"/>
    <col min="6" max="7" width="8.140625" style="860" customWidth="1"/>
    <col min="8" max="16384" width="9.140625" style="860"/>
  </cols>
  <sheetData>
    <row r="1" spans="2:2" ht="15.75" customHeight="1" thickBot="1" x14ac:dyDescent="0.3">
      <c r="B1" s="918"/>
    </row>
    <row r="2" spans="2:2" ht="53.25" customHeight="1" thickBot="1" x14ac:dyDescent="0.3">
      <c r="B2" s="919" t="s">
        <v>1229</v>
      </c>
    </row>
    <row r="3" spans="2:2" ht="91.5" customHeight="1" x14ac:dyDescent="0.25">
      <c r="B3" s="950" t="s">
        <v>1230</v>
      </c>
    </row>
    <row r="4" spans="2:2" ht="48" customHeight="1" x14ac:dyDescent="0.25">
      <c r="B4" s="920" t="s">
        <v>1231</v>
      </c>
    </row>
    <row r="5" spans="2:2" ht="31.5" customHeight="1" x14ac:dyDescent="0.25">
      <c r="B5" s="921" t="s">
        <v>1232</v>
      </c>
    </row>
    <row r="6" spans="2:2" ht="15.75" customHeight="1" x14ac:dyDescent="0.25">
      <c r="B6" s="918"/>
    </row>
    <row r="7" spans="2:2" ht="31.5" x14ac:dyDescent="0.25">
      <c r="B7" s="922" t="s">
        <v>1233</v>
      </c>
    </row>
    <row r="8" spans="2:2" ht="15.75" customHeight="1" x14ac:dyDescent="0.25">
      <c r="B8" s="918"/>
    </row>
    <row r="9" spans="2:2" ht="31.5" x14ac:dyDescent="0.25">
      <c r="B9" s="922" t="s">
        <v>1234</v>
      </c>
    </row>
    <row r="10" spans="2:2" x14ac:dyDescent="0.25">
      <c r="B10" s="918"/>
    </row>
    <row r="11" spans="2:2" ht="33" customHeight="1" x14ac:dyDescent="0.25">
      <c r="B11" s="921" t="s">
        <v>1235</v>
      </c>
    </row>
    <row r="12" spans="2:2" x14ac:dyDescent="0.25">
      <c r="B12" s="918"/>
    </row>
    <row r="13" spans="2:2" ht="15.75" x14ac:dyDescent="0.25">
      <c r="B13" s="923" t="s">
        <v>1236</v>
      </c>
    </row>
    <row r="14" spans="2:2" x14ac:dyDescent="0.25">
      <c r="B14" s="918"/>
    </row>
    <row r="15" spans="2:2" ht="39" customHeight="1" x14ac:dyDescent="0.25">
      <c r="B15" s="924" t="s">
        <v>1250</v>
      </c>
    </row>
    <row r="16" spans="2:2" ht="11.25" customHeight="1" x14ac:dyDescent="0.25">
      <c r="B16" s="924"/>
    </row>
    <row r="17" spans="1:4" ht="53.25" customHeight="1" x14ac:dyDescent="0.25">
      <c r="B17" s="924" t="s">
        <v>1254</v>
      </c>
    </row>
    <row r="18" spans="1:4" ht="15" customHeight="1" x14ac:dyDescent="0.25">
      <c r="B18" s="951" t="s">
        <v>1255</v>
      </c>
    </row>
    <row r="19" spans="1:4" x14ac:dyDescent="0.25">
      <c r="B19" s="918"/>
    </row>
    <row r="20" spans="1:4" ht="47.25" x14ac:dyDescent="0.25">
      <c r="B20" s="922" t="s">
        <v>1237</v>
      </c>
    </row>
    <row r="21" spans="1:4" x14ac:dyDescent="0.25">
      <c r="B21" s="918"/>
    </row>
    <row r="22" spans="1:4" ht="31.5" x14ac:dyDescent="0.25">
      <c r="B22" s="922" t="s">
        <v>1238</v>
      </c>
    </row>
    <row r="23" spans="1:4" x14ac:dyDescent="0.25">
      <c r="B23" s="918"/>
    </row>
    <row r="24" spans="1:4" ht="32.450000000000003" customHeight="1" x14ac:dyDescent="0.25">
      <c r="B24" s="925" t="s">
        <v>1239</v>
      </c>
    </row>
    <row r="25" spans="1:4" ht="15.75" customHeight="1" x14ac:dyDescent="0.25">
      <c r="A25" s="918"/>
      <c r="B25" s="918"/>
      <c r="C25" s="918"/>
      <c r="D25" s="918"/>
    </row>
    <row r="26" spans="1:4" x14ac:dyDescent="0.25">
      <c r="B26" s="926" t="s">
        <v>42</v>
      </c>
    </row>
    <row r="27" spans="1:4" x14ac:dyDescent="0.25">
      <c r="B27" s="927" t="s">
        <v>788</v>
      </c>
    </row>
    <row r="28" spans="1:4" ht="15.75" customHeight="1" x14ac:dyDescent="0.25">
      <c r="B28" s="918"/>
    </row>
    <row r="29" spans="1:4" x14ac:dyDescent="0.25">
      <c r="B29" s="926" t="s">
        <v>43</v>
      </c>
    </row>
    <row r="30" spans="1:4" x14ac:dyDescent="0.25">
      <c r="B30" s="928" t="s">
        <v>776</v>
      </c>
    </row>
    <row r="31" spans="1:4" ht="15.75" customHeight="1" x14ac:dyDescent="0.25">
      <c r="B31" s="918"/>
    </row>
    <row r="32" spans="1:4" ht="32.450000000000003" customHeight="1" x14ac:dyDescent="0.25">
      <c r="B32" s="929" t="s">
        <v>1240</v>
      </c>
    </row>
    <row r="33" spans="2:2" ht="63" x14ac:dyDescent="0.25">
      <c r="B33" s="922" t="s">
        <v>1241</v>
      </c>
    </row>
    <row r="34" spans="2:2" ht="24" customHeight="1" x14ac:dyDescent="0.25">
      <c r="B34" s="918"/>
    </row>
    <row r="35" spans="2:2" ht="87" customHeight="1" x14ac:dyDescent="0.25">
      <c r="B35" s="922" t="s">
        <v>964</v>
      </c>
    </row>
    <row r="36" spans="2:2" ht="15.75" customHeight="1" x14ac:dyDescent="0.25">
      <c r="B36" s="918"/>
    </row>
    <row r="37" spans="2:2" ht="78" customHeight="1" x14ac:dyDescent="0.25">
      <c r="B37" s="922" t="s">
        <v>1242</v>
      </c>
    </row>
    <row r="38" spans="2:2" ht="15.75" customHeight="1" x14ac:dyDescent="0.25">
      <c r="B38" s="922"/>
    </row>
    <row r="39" spans="2:2" ht="21.75" customHeight="1" x14ac:dyDescent="0.25">
      <c r="B39" s="930" t="s">
        <v>1243</v>
      </c>
    </row>
    <row r="41" spans="2:2" ht="15.75" x14ac:dyDescent="0.25">
      <c r="B41" s="37"/>
    </row>
    <row r="42" spans="2:2" ht="15.75" x14ac:dyDescent="0.25">
      <c r="B42" s="37"/>
    </row>
    <row r="43" spans="2:2" ht="15.75" x14ac:dyDescent="0.25">
      <c r="B43" s="37"/>
    </row>
  </sheetData>
  <sheetProtection algorithmName="SHA-512" hashValue="sw4cK3czkH+Zca2xrGTmzBae/nln/AU6TRN/sqL9VlN59hU18NkMLdQmK4FYi5u1mVyhCK9lvAOFDhbOpla38g==" saltValue="JKgdcgjiprZPvL8LlSH69A==" spinCount="100000" sheet="1" formatCells="0" formatColumns="0" formatRows="0"/>
  <hyperlinks>
    <hyperlink ref="B27" r:id="rId1" xr:uid="{6894DCD7-6A83-4470-836C-0D15440B0DCB}"/>
    <hyperlink ref="B30" r:id="rId2" xr:uid="{FABED52F-D395-45AA-B981-3FDFCC33BFBA}"/>
    <hyperlink ref="B18" r:id="rId3" xr:uid="{C151E9C1-BB35-4C60-935E-7804D6D8A8F5}"/>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sqref="A1:A76"/>
    </sheetView>
  </sheetViews>
  <sheetFormatPr defaultRowHeight="15" x14ac:dyDescent="0.25"/>
  <cols>
    <col min="1" max="1" width="28.5703125" style="1" customWidth="1"/>
    <col min="2" max="16384" width="9.140625" style="1"/>
  </cols>
  <sheetData>
    <row r="1" spans="1:9" ht="15.75" thickBot="1" x14ac:dyDescent="0.3">
      <c r="A1" s="864" t="s">
        <v>1105</v>
      </c>
      <c r="B1" s="863">
        <v>50476</v>
      </c>
      <c r="C1" s="241"/>
      <c r="D1" s="243"/>
      <c r="E1" s="243"/>
      <c r="G1" s="1">
        <v>100</v>
      </c>
      <c r="I1" s="1" t="s">
        <v>713</v>
      </c>
    </row>
    <row r="2" spans="1:9" ht="15" customHeight="1" thickBot="1" x14ac:dyDescent="0.3">
      <c r="A2" s="865" t="s">
        <v>1106</v>
      </c>
      <c r="B2" s="863">
        <v>50191</v>
      </c>
      <c r="C2" s="241"/>
      <c r="D2" s="242"/>
      <c r="E2" s="243"/>
      <c r="G2" s="1">
        <v>200</v>
      </c>
      <c r="I2" s="1" t="s">
        <v>714</v>
      </c>
    </row>
    <row r="3" spans="1:9" ht="15" customHeight="1" thickBot="1" x14ac:dyDescent="0.3">
      <c r="A3" s="865" t="s">
        <v>1107</v>
      </c>
      <c r="B3" s="863">
        <v>50192</v>
      </c>
      <c r="C3" s="241"/>
      <c r="D3" s="242"/>
      <c r="E3" s="243"/>
      <c r="G3" s="1">
        <v>300</v>
      </c>
      <c r="I3" s="1" t="s">
        <v>715</v>
      </c>
    </row>
    <row r="4" spans="1:9" ht="15.75" thickBot="1" x14ac:dyDescent="0.3">
      <c r="A4" s="865" t="s">
        <v>1108</v>
      </c>
      <c r="B4" s="863">
        <v>50193</v>
      </c>
      <c r="C4" s="241"/>
      <c r="D4" s="242"/>
      <c r="E4" s="243"/>
      <c r="G4" s="226">
        <v>400</v>
      </c>
    </row>
    <row r="5" spans="1:9" ht="15.75" thickBot="1" x14ac:dyDescent="0.3">
      <c r="A5" s="865" t="s">
        <v>1109</v>
      </c>
      <c r="B5" s="863">
        <v>50194</v>
      </c>
      <c r="C5" s="241"/>
      <c r="D5" s="242"/>
      <c r="E5" s="243"/>
      <c r="G5" s="226">
        <v>500</v>
      </c>
    </row>
    <row r="6" spans="1:9" ht="15.75" thickBot="1" x14ac:dyDescent="0.3">
      <c r="A6" s="865" t="s">
        <v>1110</v>
      </c>
      <c r="B6" s="863">
        <v>50195</v>
      </c>
      <c r="C6" s="241"/>
      <c r="D6" s="242"/>
      <c r="E6" s="243"/>
    </row>
    <row r="7" spans="1:9" ht="15.75" thickBot="1" x14ac:dyDescent="0.3">
      <c r="A7" s="865" t="s">
        <v>1111</v>
      </c>
      <c r="B7" s="863">
        <v>50196</v>
      </c>
      <c r="C7" s="241"/>
      <c r="D7" s="242"/>
      <c r="E7" s="243"/>
    </row>
    <row r="8" spans="1:9" ht="15.75" thickBot="1" x14ac:dyDescent="0.3">
      <c r="A8" s="865" t="s">
        <v>1112</v>
      </c>
      <c r="B8" s="863">
        <v>50197</v>
      </c>
      <c r="C8" s="241"/>
      <c r="D8" s="242"/>
      <c r="E8" s="243"/>
    </row>
    <row r="9" spans="1:9" ht="15.75" thickBot="1" x14ac:dyDescent="0.3">
      <c r="A9" s="865" t="s">
        <v>1113</v>
      </c>
      <c r="B9" s="863">
        <v>50498</v>
      </c>
      <c r="C9" s="241"/>
      <c r="D9" s="242"/>
      <c r="E9" s="243"/>
    </row>
    <row r="10" spans="1:9" ht="15.75" thickBot="1" x14ac:dyDescent="0.3">
      <c r="A10" s="865" t="s">
        <v>1114</v>
      </c>
      <c r="B10" s="863">
        <v>50198</v>
      </c>
      <c r="C10" s="241"/>
      <c r="D10" s="242"/>
      <c r="E10" s="243"/>
    </row>
    <row r="11" spans="1:9" ht="15.75" thickBot="1" x14ac:dyDescent="0.3">
      <c r="A11" s="865" t="s">
        <v>1115</v>
      </c>
      <c r="B11" s="863">
        <v>50199</v>
      </c>
      <c r="C11" s="241"/>
      <c r="D11" s="242"/>
      <c r="E11" s="243"/>
    </row>
    <row r="12" spans="1:9" ht="15.75" thickBot="1" x14ac:dyDescent="0.3">
      <c r="A12" s="865" t="s">
        <v>1116</v>
      </c>
      <c r="B12" s="863">
        <v>50200</v>
      </c>
      <c r="C12" s="241"/>
      <c r="D12" s="242"/>
      <c r="E12" s="243"/>
    </row>
    <row r="13" spans="1:9" ht="15.75" thickBot="1" x14ac:dyDescent="0.3">
      <c r="A13" s="865" t="s">
        <v>1117</v>
      </c>
      <c r="B13" s="863">
        <v>50201</v>
      </c>
      <c r="C13" s="241"/>
      <c r="D13" s="242"/>
      <c r="E13" s="243"/>
    </row>
    <row r="14" spans="1:9" ht="15.75" thickBot="1" x14ac:dyDescent="0.3">
      <c r="A14" s="865" t="s">
        <v>1118</v>
      </c>
      <c r="B14" s="863">
        <v>50202</v>
      </c>
      <c r="C14" s="241"/>
      <c r="D14" s="242"/>
      <c r="E14" s="243"/>
    </row>
    <row r="15" spans="1:9" ht="15.75" thickBot="1" x14ac:dyDescent="0.3">
      <c r="A15" s="865" t="s">
        <v>1119</v>
      </c>
      <c r="B15" s="863">
        <v>50493</v>
      </c>
      <c r="C15" s="241"/>
      <c r="D15" s="242"/>
      <c r="E15" s="243"/>
    </row>
    <row r="16" spans="1:9" ht="15.75" thickBot="1" x14ac:dyDescent="0.3">
      <c r="A16" s="865" t="s">
        <v>1120</v>
      </c>
      <c r="B16" s="863">
        <v>50203</v>
      </c>
      <c r="C16" s="241"/>
      <c r="D16" s="242"/>
      <c r="E16" s="243"/>
    </row>
    <row r="17" spans="1:5" ht="15.75" thickBot="1" x14ac:dyDescent="0.3">
      <c r="A17" s="865" t="s">
        <v>1121</v>
      </c>
      <c r="B17" s="863">
        <v>50518</v>
      </c>
      <c r="C17" s="241"/>
      <c r="D17" s="242"/>
      <c r="E17" s="243"/>
    </row>
    <row r="18" spans="1:5" ht="15.75" thickBot="1" x14ac:dyDescent="0.3">
      <c r="A18" s="865" t="s">
        <v>1122</v>
      </c>
      <c r="B18" s="863">
        <v>50204</v>
      </c>
      <c r="C18" s="241"/>
      <c r="D18" s="242"/>
      <c r="E18" s="243"/>
    </row>
    <row r="19" spans="1:5" ht="15.75" thickBot="1" x14ac:dyDescent="0.3">
      <c r="A19" s="865" t="s">
        <v>1123</v>
      </c>
      <c r="B19" s="863">
        <v>50205</v>
      </c>
      <c r="C19" s="241"/>
      <c r="D19" s="242"/>
      <c r="E19" s="243"/>
    </row>
    <row r="20" spans="1:5" ht="15.75" thickBot="1" x14ac:dyDescent="0.3">
      <c r="A20" s="865" t="s">
        <v>1124</v>
      </c>
      <c r="B20" s="863">
        <v>50206</v>
      </c>
      <c r="C20" s="241"/>
      <c r="D20" s="242"/>
      <c r="E20" s="243"/>
    </row>
    <row r="21" spans="1:5" ht="15.75" thickBot="1" x14ac:dyDescent="0.3">
      <c r="A21" s="865" t="s">
        <v>1125</v>
      </c>
      <c r="B21" s="863">
        <v>50207</v>
      </c>
      <c r="C21" s="241"/>
      <c r="D21" s="242"/>
      <c r="E21" s="243"/>
    </row>
    <row r="22" spans="1:5" ht="15.75" thickBot="1" x14ac:dyDescent="0.3">
      <c r="A22" s="865" t="s">
        <v>1126</v>
      </c>
      <c r="B22" s="863">
        <v>50208</v>
      </c>
      <c r="C22" s="241"/>
      <c r="D22" s="242"/>
      <c r="E22" s="243"/>
    </row>
    <row r="23" spans="1:5" ht="15.75" thickBot="1" x14ac:dyDescent="0.3">
      <c r="A23" s="865" t="s">
        <v>1127</v>
      </c>
      <c r="B23" s="863">
        <v>50209</v>
      </c>
      <c r="C23" s="241"/>
      <c r="D23" s="242"/>
      <c r="E23" s="243"/>
    </row>
    <row r="24" spans="1:5" ht="15.75" thickBot="1" x14ac:dyDescent="0.3">
      <c r="A24" s="865" t="s">
        <v>1128</v>
      </c>
      <c r="B24" s="863">
        <v>50210</v>
      </c>
      <c r="C24" s="241"/>
      <c r="D24" s="242"/>
      <c r="E24" s="243"/>
    </row>
    <row r="25" spans="1:5" ht="15.75" thickBot="1" x14ac:dyDescent="0.3">
      <c r="A25" s="865" t="s">
        <v>1129</v>
      </c>
      <c r="B25" s="863">
        <v>50519</v>
      </c>
      <c r="C25" s="241"/>
      <c r="D25" s="242"/>
      <c r="E25" s="243"/>
    </row>
    <row r="26" spans="1:5" ht="15.75" thickBot="1" x14ac:dyDescent="0.3">
      <c r="A26" s="865" t="s">
        <v>1130</v>
      </c>
      <c r="B26" s="863">
        <v>50528</v>
      </c>
      <c r="C26" s="241"/>
      <c r="D26" s="242"/>
      <c r="E26" s="243"/>
    </row>
    <row r="27" spans="1:5" ht="15.75" thickBot="1" x14ac:dyDescent="0.3">
      <c r="A27" s="865" t="s">
        <v>1131</v>
      </c>
      <c r="B27" s="863">
        <v>50211</v>
      </c>
      <c r="C27" s="241"/>
      <c r="D27" s="242"/>
      <c r="E27" s="243"/>
    </row>
    <row r="28" spans="1:5" ht="15.75" thickBot="1" x14ac:dyDescent="0.3">
      <c r="A28" s="865" t="s">
        <v>1132</v>
      </c>
      <c r="B28" s="863">
        <v>50212</v>
      </c>
      <c r="C28" s="241"/>
      <c r="D28" s="242"/>
      <c r="E28" s="243"/>
    </row>
    <row r="29" spans="1:5" ht="15.75" thickBot="1" x14ac:dyDescent="0.3">
      <c r="A29" s="865" t="s">
        <v>1133</v>
      </c>
      <c r="B29" s="863">
        <v>50213</v>
      </c>
      <c r="C29" s="241"/>
      <c r="D29" s="242"/>
      <c r="E29" s="243"/>
    </row>
    <row r="30" spans="1:5" ht="15.75" thickBot="1" x14ac:dyDescent="0.3">
      <c r="A30" s="865" t="s">
        <v>1134</v>
      </c>
      <c r="B30" s="863">
        <v>50214</v>
      </c>
      <c r="C30" s="241"/>
      <c r="D30" s="242"/>
      <c r="E30" s="243"/>
    </row>
    <row r="31" spans="1:5" ht="15.75" thickBot="1" x14ac:dyDescent="0.3">
      <c r="A31" s="865" t="s">
        <v>1135</v>
      </c>
      <c r="B31" s="863">
        <v>50215</v>
      </c>
      <c r="C31" s="241"/>
      <c r="D31" s="242"/>
      <c r="E31" s="243"/>
    </row>
    <row r="32" spans="1:5" ht="15.75" thickBot="1" x14ac:dyDescent="0.3">
      <c r="A32" s="865" t="s">
        <v>1136</v>
      </c>
      <c r="B32" s="863">
        <v>50216</v>
      </c>
      <c r="C32" s="241"/>
      <c r="D32" s="242"/>
      <c r="E32" s="243"/>
    </row>
    <row r="33" spans="1:5" ht="15.75" thickBot="1" x14ac:dyDescent="0.3">
      <c r="A33" s="865" t="s">
        <v>1137</v>
      </c>
      <c r="B33" s="863">
        <v>50217</v>
      </c>
      <c r="C33" s="241"/>
      <c r="D33" s="242"/>
      <c r="E33" s="243"/>
    </row>
    <row r="34" spans="1:5" ht="15.75" thickBot="1" x14ac:dyDescent="0.3">
      <c r="A34" s="865" t="s">
        <v>1138</v>
      </c>
      <c r="B34" s="863">
        <v>50218</v>
      </c>
      <c r="C34" s="241"/>
      <c r="D34" s="242"/>
      <c r="E34" s="243"/>
    </row>
    <row r="35" spans="1:5" ht="15.75" thickBot="1" x14ac:dyDescent="0.3">
      <c r="A35" s="865" t="s">
        <v>1139</v>
      </c>
      <c r="B35" s="863">
        <v>50477</v>
      </c>
      <c r="C35" s="241"/>
      <c r="D35" s="242"/>
      <c r="E35" s="243"/>
    </row>
    <row r="36" spans="1:5" ht="15.75" thickBot="1" x14ac:dyDescent="0.3">
      <c r="A36" s="865" t="s">
        <v>1140</v>
      </c>
      <c r="B36" s="863">
        <v>50520</v>
      </c>
      <c r="C36" s="241"/>
      <c r="D36" s="242"/>
      <c r="E36" s="243"/>
    </row>
    <row r="37" spans="1:5" ht="15.75" thickBot="1" x14ac:dyDescent="0.3">
      <c r="A37" s="865" t="s">
        <v>1141</v>
      </c>
      <c r="B37" s="863">
        <v>50219</v>
      </c>
      <c r="C37" s="241"/>
      <c r="D37" s="242"/>
      <c r="E37" s="243"/>
    </row>
    <row r="38" spans="1:5" ht="15.75" thickBot="1" x14ac:dyDescent="0.3">
      <c r="A38" s="865" t="s">
        <v>1142</v>
      </c>
      <c r="B38" s="863">
        <v>50220</v>
      </c>
      <c r="C38" s="241"/>
      <c r="D38" s="242"/>
      <c r="E38" s="243"/>
    </row>
    <row r="39" spans="1:5" ht="15.75" thickBot="1" x14ac:dyDescent="0.3">
      <c r="A39" s="865" t="s">
        <v>1143</v>
      </c>
      <c r="B39" s="863">
        <v>50536</v>
      </c>
      <c r="C39" s="241"/>
      <c r="D39" s="242"/>
      <c r="E39" s="243"/>
    </row>
    <row r="40" spans="1:5" ht="15.75" thickBot="1" x14ac:dyDescent="0.3">
      <c r="A40" s="865" t="s">
        <v>1144</v>
      </c>
      <c r="B40" s="863">
        <v>50221</v>
      </c>
      <c r="C40" s="241"/>
      <c r="D40" s="242"/>
      <c r="E40" s="243"/>
    </row>
    <row r="41" spans="1:5" ht="15.75" thickBot="1" x14ac:dyDescent="0.3">
      <c r="A41" s="865" t="s">
        <v>1145</v>
      </c>
      <c r="B41" s="863">
        <v>50222</v>
      </c>
      <c r="C41" s="241"/>
      <c r="D41" s="242"/>
      <c r="E41" s="243"/>
    </row>
    <row r="42" spans="1:5" ht="15.75" thickBot="1" x14ac:dyDescent="0.3">
      <c r="A42" s="865" t="s">
        <v>1146</v>
      </c>
      <c r="B42" s="863">
        <v>50223</v>
      </c>
      <c r="C42" s="241"/>
      <c r="D42" s="242"/>
      <c r="E42" s="243"/>
    </row>
    <row r="43" spans="1:5" ht="15.75" thickBot="1" x14ac:dyDescent="0.3">
      <c r="A43" s="865" t="s">
        <v>1147</v>
      </c>
      <c r="B43" s="863">
        <v>50224</v>
      </c>
      <c r="C43" s="241"/>
      <c r="D43" s="242"/>
      <c r="E43" s="243"/>
    </row>
    <row r="44" spans="1:5" ht="15.75" thickBot="1" x14ac:dyDescent="0.3">
      <c r="A44" s="865" t="s">
        <v>1148</v>
      </c>
      <c r="B44" s="863">
        <v>50225</v>
      </c>
      <c r="C44" s="241"/>
      <c r="D44" s="242"/>
      <c r="E44" s="243"/>
    </row>
    <row r="45" spans="1:5" ht="15.75" thickBot="1" x14ac:dyDescent="0.3">
      <c r="A45" s="865" t="s">
        <v>1149</v>
      </c>
      <c r="B45" s="863">
        <v>50226</v>
      </c>
      <c r="C45" s="241"/>
      <c r="D45" s="242"/>
      <c r="E45" s="243"/>
    </row>
    <row r="46" spans="1:5" ht="15.75" thickBot="1" x14ac:dyDescent="0.3">
      <c r="A46" s="865" t="s">
        <v>1150</v>
      </c>
      <c r="B46" s="863">
        <v>50227</v>
      </c>
      <c r="C46" s="241"/>
      <c r="D46" s="242"/>
      <c r="E46" s="243"/>
    </row>
    <row r="47" spans="1:5" ht="15.75" thickBot="1" x14ac:dyDescent="0.3">
      <c r="A47" s="865" t="s">
        <v>1151</v>
      </c>
      <c r="B47" s="863">
        <v>50455</v>
      </c>
      <c r="C47" s="241"/>
      <c r="D47" s="242"/>
      <c r="E47" s="243"/>
    </row>
    <row r="48" spans="1:5" ht="15.75" thickBot="1" x14ac:dyDescent="0.3">
      <c r="A48" s="865" t="s">
        <v>1152</v>
      </c>
      <c r="B48" s="863">
        <v>50229</v>
      </c>
      <c r="C48" s="241"/>
      <c r="D48" s="242"/>
      <c r="E48" s="243"/>
    </row>
    <row r="49" spans="1:5" ht="15.75" thickBot="1" x14ac:dyDescent="0.3">
      <c r="A49" s="865" t="s">
        <v>1153</v>
      </c>
      <c r="B49" s="863">
        <v>50230</v>
      </c>
      <c r="C49" s="241"/>
      <c r="D49" s="242"/>
      <c r="E49" s="243"/>
    </row>
    <row r="50" spans="1:5" ht="15.75" thickBot="1" x14ac:dyDescent="0.3">
      <c r="A50" s="865" t="s">
        <v>1154</v>
      </c>
      <c r="B50" s="863">
        <v>50231</v>
      </c>
      <c r="C50" s="241"/>
      <c r="D50" s="242"/>
      <c r="E50" s="243"/>
    </row>
    <row r="51" spans="1:5" ht="15.75" thickBot="1" x14ac:dyDescent="0.3">
      <c r="A51" s="865" t="s">
        <v>1155</v>
      </c>
      <c r="B51" s="863">
        <v>50232</v>
      </c>
      <c r="C51" s="241"/>
      <c r="D51" s="242"/>
      <c r="E51" s="243"/>
    </row>
    <row r="52" spans="1:5" ht="15.75" thickBot="1" x14ac:dyDescent="0.3">
      <c r="A52" s="865" t="s">
        <v>1156</v>
      </c>
      <c r="B52" s="863">
        <v>50233</v>
      </c>
      <c r="C52" s="241"/>
      <c r="D52" s="242"/>
      <c r="E52" s="243"/>
    </row>
    <row r="53" spans="1:5" ht="15.75" thickBot="1" x14ac:dyDescent="0.3">
      <c r="A53" s="865" t="s">
        <v>1157</v>
      </c>
      <c r="B53" s="863">
        <v>50234</v>
      </c>
      <c r="C53" s="241"/>
      <c r="D53" s="242"/>
      <c r="E53" s="243"/>
    </row>
    <row r="54" spans="1:5" ht="15.75" thickBot="1" x14ac:dyDescent="0.3">
      <c r="A54" s="865" t="s">
        <v>1158</v>
      </c>
      <c r="B54" s="863">
        <v>50235</v>
      </c>
      <c r="C54" s="241"/>
      <c r="D54" s="242"/>
      <c r="E54" s="243"/>
    </row>
    <row r="55" spans="1:5" ht="15.75" thickBot="1" x14ac:dyDescent="0.3">
      <c r="A55" s="865" t="s">
        <v>1159</v>
      </c>
      <c r="B55" s="863">
        <v>50236</v>
      </c>
      <c r="C55" s="241"/>
      <c r="D55" s="242"/>
      <c r="E55" s="243"/>
    </row>
    <row r="56" spans="1:5" ht="15.75" thickBot="1" x14ac:dyDescent="0.3">
      <c r="A56" s="865" t="s">
        <v>908</v>
      </c>
      <c r="B56" s="863">
        <v>50237</v>
      </c>
      <c r="C56" s="241"/>
      <c r="D56" s="242"/>
      <c r="E56" s="243"/>
    </row>
    <row r="57" spans="1:5" ht="15.75" thickBot="1" x14ac:dyDescent="0.3">
      <c r="A57" s="865" t="s">
        <v>1160</v>
      </c>
      <c r="B57" s="863">
        <v>50238</v>
      </c>
      <c r="C57" s="241"/>
      <c r="D57" s="242"/>
      <c r="E57" s="243"/>
    </row>
    <row r="58" spans="1:5" ht="15.75" thickBot="1" x14ac:dyDescent="0.3">
      <c r="A58" s="865" t="s">
        <v>1161</v>
      </c>
      <c r="B58" s="863">
        <v>50444</v>
      </c>
      <c r="C58" s="241"/>
      <c r="D58" s="242"/>
      <c r="E58" s="243"/>
    </row>
    <row r="59" spans="1:5" ht="15.75" thickBot="1" x14ac:dyDescent="0.3">
      <c r="A59" s="865" t="s">
        <v>1162</v>
      </c>
      <c r="B59" s="863">
        <v>50239</v>
      </c>
      <c r="C59" s="241"/>
      <c r="D59" s="242"/>
      <c r="E59" s="243"/>
    </row>
    <row r="60" spans="1:5" ht="15.75" thickBot="1" x14ac:dyDescent="0.3">
      <c r="A60" s="865" t="s">
        <v>1163</v>
      </c>
      <c r="B60" s="863">
        <v>50240</v>
      </c>
      <c r="C60" s="241"/>
      <c r="D60" s="242"/>
      <c r="E60" s="243"/>
    </row>
    <row r="61" spans="1:5" ht="15.75" thickBot="1" x14ac:dyDescent="0.3">
      <c r="A61" s="865" t="s">
        <v>1164</v>
      </c>
      <c r="B61" s="863">
        <v>50241</v>
      </c>
      <c r="C61" s="241"/>
      <c r="D61" s="242"/>
      <c r="E61" s="243"/>
    </row>
    <row r="62" spans="1:5" ht="15.75" thickBot="1" x14ac:dyDescent="0.3">
      <c r="A62" s="865" t="s">
        <v>1165</v>
      </c>
      <c r="B62" s="863">
        <v>50521</v>
      </c>
      <c r="C62" s="241"/>
      <c r="D62" s="242"/>
      <c r="E62" s="243"/>
    </row>
    <row r="63" spans="1:5" ht="15.75" thickBot="1" x14ac:dyDescent="0.3">
      <c r="A63" s="865" t="s">
        <v>1166</v>
      </c>
      <c r="B63" s="863">
        <v>50242</v>
      </c>
      <c r="C63" s="241"/>
      <c r="D63" s="242"/>
      <c r="E63" s="243"/>
    </row>
    <row r="64" spans="1:5" ht="15.75" thickBot="1" x14ac:dyDescent="0.3">
      <c r="A64" s="865" t="s">
        <v>1167</v>
      </c>
      <c r="B64" s="863">
        <v>50244</v>
      </c>
      <c r="C64" s="241"/>
      <c r="D64" s="242"/>
      <c r="E64" s="243"/>
    </row>
    <row r="65" spans="1:5" ht="15.75" thickBot="1" x14ac:dyDescent="0.3">
      <c r="A65" s="865" t="s">
        <v>1168</v>
      </c>
      <c r="B65" s="863">
        <v>50243</v>
      </c>
      <c r="C65" s="241"/>
      <c r="D65" s="242"/>
      <c r="E65" s="243"/>
    </row>
    <row r="66" spans="1:5" ht="15.75" thickBot="1" x14ac:dyDescent="0.3">
      <c r="A66" s="865" t="s">
        <v>1169</v>
      </c>
      <c r="B66" s="863">
        <v>50245</v>
      </c>
      <c r="C66" s="241"/>
      <c r="D66" s="242"/>
      <c r="E66" s="243"/>
    </row>
    <row r="67" spans="1:5" ht="15.75" thickBot="1" x14ac:dyDescent="0.3">
      <c r="A67" s="865" t="s">
        <v>1170</v>
      </c>
      <c r="B67" s="863">
        <v>50522</v>
      </c>
      <c r="C67" s="241"/>
      <c r="D67" s="242"/>
      <c r="E67" s="243"/>
    </row>
    <row r="68" spans="1:5" ht="15.75" thickBot="1" x14ac:dyDescent="0.3">
      <c r="A68" s="865" t="s">
        <v>1171</v>
      </c>
      <c r="B68" s="863">
        <v>50246</v>
      </c>
    </row>
    <row r="69" spans="1:5" ht="15.75" thickBot="1" x14ac:dyDescent="0.3">
      <c r="A69" s="865" t="s">
        <v>1172</v>
      </c>
      <c r="B69" s="863">
        <v>50247</v>
      </c>
    </row>
    <row r="70" spans="1:5" ht="15.75" thickBot="1" x14ac:dyDescent="0.3">
      <c r="A70" s="865" t="s">
        <v>1173</v>
      </c>
      <c r="B70" s="863">
        <v>50248</v>
      </c>
    </row>
    <row r="71" spans="1:5" ht="15.75" thickBot="1" x14ac:dyDescent="0.3">
      <c r="A71" s="865" t="s">
        <v>1174</v>
      </c>
      <c r="B71" s="863">
        <v>50249</v>
      </c>
    </row>
    <row r="72" spans="1:5" ht="15.75" thickBot="1" x14ac:dyDescent="0.3">
      <c r="A72" s="865" t="s">
        <v>1175</v>
      </c>
      <c r="B72" s="863">
        <v>50250</v>
      </c>
    </row>
    <row r="73" spans="1:5" ht="15.75" thickBot="1" x14ac:dyDescent="0.3">
      <c r="A73" s="865" t="s">
        <v>1176</v>
      </c>
      <c r="B73" s="863">
        <v>50251</v>
      </c>
    </row>
    <row r="74" spans="1:5" ht="15.75" thickBot="1" x14ac:dyDescent="0.3">
      <c r="A74" s="865" t="s">
        <v>1177</v>
      </c>
      <c r="B74" s="863">
        <v>50252</v>
      </c>
    </row>
    <row r="75" spans="1:5" ht="15.75" thickBot="1" x14ac:dyDescent="0.3">
      <c r="A75" s="865" t="s">
        <v>1178</v>
      </c>
      <c r="B75" s="863">
        <v>50253</v>
      </c>
    </row>
    <row r="76" spans="1:5" ht="15.75" thickBot="1" x14ac:dyDescent="0.3">
      <c r="A76" s="865" t="s">
        <v>1179</v>
      </c>
      <c r="B76" s="863">
        <v>50454</v>
      </c>
    </row>
  </sheetData>
  <sheetProtection algorithmName="SHA-512" hashValue="vEIagLQLW9OWTDtIjxi0ys17lAlkUqeqs8zN3LNrrwDso3tlmCfp0G03YtvweGLaR9aUqave+9sKaw6tFRhAVg==" saltValue="LwZj1R5U/eaLRa9RJMFQdQ==" spinCount="100000" sheet="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dimension ref="A1:CB298"/>
  <sheetViews>
    <sheetView workbookViewId="0">
      <pane xSplit="4" ySplit="2" topLeftCell="E267" activePane="bottomRight" state="frozen"/>
      <selection pane="topRight" activeCell="E1" sqref="E1"/>
      <selection pane="bottomLeft" activeCell="A3" sqref="A3"/>
      <selection pane="bottomRight" activeCell="H27" sqref="H27"/>
    </sheetView>
  </sheetViews>
  <sheetFormatPr defaultRowHeight="15" x14ac:dyDescent="0.25"/>
  <cols>
    <col min="2" max="2" width="10.28515625" customWidth="1"/>
    <col min="3" max="3" width="32.5703125" customWidth="1"/>
    <col min="4" max="4" width="24" customWidth="1"/>
    <col min="5" max="6" width="16.85546875" bestFit="1" customWidth="1"/>
    <col min="7" max="7" width="15.7109375" bestFit="1" customWidth="1"/>
    <col min="8" max="8" width="16.85546875" bestFit="1" customWidth="1"/>
    <col min="9" max="9" width="14.5703125" bestFit="1" customWidth="1"/>
    <col min="10" max="10" width="15.7109375" bestFit="1" customWidth="1"/>
    <col min="11" max="11" width="16.85546875" bestFit="1" customWidth="1"/>
    <col min="12" max="12" width="15.7109375" bestFit="1" customWidth="1"/>
    <col min="13" max="13" width="18.7109375" bestFit="1" customWidth="1"/>
    <col min="14" max="14" width="12.7109375" bestFit="1" customWidth="1"/>
    <col min="15" max="15" width="16.85546875" bestFit="1" customWidth="1"/>
    <col min="16" max="16" width="15.7109375" bestFit="1" customWidth="1"/>
    <col min="17" max="17" width="16.85546875" bestFit="1" customWidth="1"/>
    <col min="18" max="18" width="18.7109375" bestFit="1" customWidth="1"/>
    <col min="19" max="19" width="20.42578125" customWidth="1"/>
    <col min="20" max="20" width="15.7109375" bestFit="1" customWidth="1"/>
    <col min="21" max="21" width="16.85546875" bestFit="1" customWidth="1"/>
    <col min="22" max="22" width="15.5703125" customWidth="1"/>
    <col min="23" max="23" width="15.7109375" bestFit="1" customWidth="1"/>
    <col min="24" max="24" width="14.5703125" bestFit="1" customWidth="1"/>
    <col min="25" max="25" width="16.85546875" bestFit="1" customWidth="1"/>
    <col min="26" max="28" width="15.7109375" bestFit="1" customWidth="1"/>
    <col min="29" max="29" width="16.85546875" bestFit="1" customWidth="1"/>
    <col min="30" max="31" width="15.7109375" bestFit="1" customWidth="1"/>
    <col min="32" max="33" width="14.5703125" bestFit="1" customWidth="1"/>
    <col min="34" max="35" width="16.85546875" bestFit="1" customWidth="1"/>
    <col min="36" max="36" width="15.7109375" bestFit="1" customWidth="1"/>
    <col min="37" max="37" width="16.85546875" bestFit="1" customWidth="1"/>
    <col min="38" max="38" width="17.42578125" customWidth="1"/>
    <col min="39" max="39" width="14.5703125" bestFit="1" customWidth="1"/>
    <col min="40" max="40" width="16.85546875" bestFit="1" customWidth="1"/>
    <col min="41" max="41" width="15.7109375" bestFit="1" customWidth="1"/>
    <col min="42" max="42" width="16.85546875" bestFit="1" customWidth="1"/>
    <col min="43" max="43" width="14.5703125" bestFit="1" customWidth="1"/>
    <col min="44" max="44" width="17.7109375" customWidth="1"/>
    <col min="45" max="47" width="15.7109375" bestFit="1" customWidth="1"/>
    <col min="48" max="48" width="16.5703125" customWidth="1"/>
    <col min="49" max="49" width="16.85546875" bestFit="1" customWidth="1"/>
    <col min="50" max="50" width="15.7109375" bestFit="1" customWidth="1"/>
    <col min="51" max="51" width="16.85546875" bestFit="1" customWidth="1"/>
    <col min="52" max="53" width="14.5703125" bestFit="1" customWidth="1"/>
    <col min="54" max="55" width="15.7109375" bestFit="1" customWidth="1"/>
    <col min="56" max="56" width="14.5703125" bestFit="1" customWidth="1"/>
    <col min="57" max="57" width="15.7109375" bestFit="1" customWidth="1"/>
    <col min="58" max="58" width="16.85546875" bestFit="1" customWidth="1"/>
    <col min="59" max="60" width="15.7109375" bestFit="1" customWidth="1"/>
    <col min="61" max="61" width="16.85546875" bestFit="1" customWidth="1"/>
    <col min="62" max="63" width="15.7109375" bestFit="1" customWidth="1"/>
    <col min="64" max="64" width="14.5703125" bestFit="1" customWidth="1"/>
    <col min="65" max="67" width="15.7109375" bestFit="1" customWidth="1"/>
    <col min="68" max="68" width="16.85546875" bestFit="1" customWidth="1"/>
    <col min="69" max="69" width="18.7109375" bestFit="1" customWidth="1"/>
    <col min="70" max="71" width="16.85546875" bestFit="1" customWidth="1"/>
    <col min="72" max="80" width="16" customWidth="1"/>
  </cols>
  <sheetData>
    <row r="1" spans="1:80" x14ac:dyDescent="0.25">
      <c r="A1" s="860" t="s">
        <v>809</v>
      </c>
      <c r="B1" s="860" t="s">
        <v>665</v>
      </c>
      <c r="C1" s="860"/>
      <c r="D1" s="860" t="s">
        <v>665</v>
      </c>
      <c r="E1" s="846" t="s">
        <v>1105</v>
      </c>
      <c r="F1" s="846" t="s">
        <v>1106</v>
      </c>
      <c r="G1" s="846" t="s">
        <v>1107</v>
      </c>
      <c r="H1" s="846" t="s">
        <v>1108</v>
      </c>
      <c r="I1" s="846" t="s">
        <v>1109</v>
      </c>
      <c r="J1" s="846" t="s">
        <v>1110</v>
      </c>
      <c r="K1" s="846" t="s">
        <v>1111</v>
      </c>
      <c r="L1" s="846" t="s">
        <v>1112</v>
      </c>
      <c r="M1" s="846" t="s">
        <v>1113</v>
      </c>
      <c r="N1" s="846" t="s">
        <v>1114</v>
      </c>
      <c r="O1" s="846" t="s">
        <v>1115</v>
      </c>
      <c r="P1" s="846" t="s">
        <v>1116</v>
      </c>
      <c r="Q1" s="846" t="s">
        <v>1117</v>
      </c>
      <c r="R1" s="846" t="s">
        <v>1118</v>
      </c>
      <c r="S1" s="846" t="s">
        <v>1119</v>
      </c>
      <c r="T1" s="846" t="s">
        <v>1120</v>
      </c>
      <c r="U1" s="846" t="s">
        <v>1121</v>
      </c>
      <c r="V1" s="846" t="s">
        <v>1122</v>
      </c>
      <c r="W1" s="846" t="s">
        <v>1123</v>
      </c>
      <c r="X1" s="846" t="s">
        <v>1124</v>
      </c>
      <c r="Y1" s="846" t="s">
        <v>1125</v>
      </c>
      <c r="Z1" s="846" t="s">
        <v>1126</v>
      </c>
      <c r="AA1" s="846" t="s">
        <v>1127</v>
      </c>
      <c r="AB1" s="846" t="s">
        <v>1128</v>
      </c>
      <c r="AC1" s="846" t="s">
        <v>1129</v>
      </c>
      <c r="AD1" s="846" t="s">
        <v>1130</v>
      </c>
      <c r="AE1" s="846" t="s">
        <v>1131</v>
      </c>
      <c r="AF1" s="846" t="s">
        <v>1132</v>
      </c>
      <c r="AG1" s="846" t="s">
        <v>1133</v>
      </c>
      <c r="AH1" s="846" t="s">
        <v>1134</v>
      </c>
      <c r="AI1" s="846" t="s">
        <v>1135</v>
      </c>
      <c r="AJ1" s="846" t="s">
        <v>1136</v>
      </c>
      <c r="AK1" s="846" t="s">
        <v>1137</v>
      </c>
      <c r="AL1" s="846" t="s">
        <v>1138</v>
      </c>
      <c r="AM1" s="846" t="s">
        <v>1139</v>
      </c>
      <c r="AN1" s="846" t="s">
        <v>1140</v>
      </c>
      <c r="AO1" s="846" t="s">
        <v>1141</v>
      </c>
      <c r="AP1" s="846" t="s">
        <v>1142</v>
      </c>
      <c r="AQ1" s="846" t="s">
        <v>1143</v>
      </c>
      <c r="AR1" s="846" t="s">
        <v>1144</v>
      </c>
      <c r="AS1" s="846" t="s">
        <v>1145</v>
      </c>
      <c r="AT1" s="846" t="s">
        <v>1146</v>
      </c>
      <c r="AU1" s="846" t="s">
        <v>1147</v>
      </c>
      <c r="AV1" s="846" t="s">
        <v>1148</v>
      </c>
      <c r="AW1" s="846" t="s">
        <v>1149</v>
      </c>
      <c r="AX1" s="846" t="s">
        <v>1150</v>
      </c>
      <c r="AY1" s="846" t="s">
        <v>1151</v>
      </c>
      <c r="AZ1" s="846" t="s">
        <v>1152</v>
      </c>
      <c r="BA1" s="846" t="s">
        <v>1153</v>
      </c>
      <c r="BB1" s="846" t="s">
        <v>1154</v>
      </c>
      <c r="BC1" s="846" t="s">
        <v>1155</v>
      </c>
      <c r="BD1" s="846" t="s">
        <v>1156</v>
      </c>
      <c r="BE1" s="846" t="s">
        <v>1157</v>
      </c>
      <c r="BF1" s="846" t="s">
        <v>1158</v>
      </c>
      <c r="BG1" s="846" t="s">
        <v>1159</v>
      </c>
      <c r="BH1" s="846" t="s">
        <v>908</v>
      </c>
      <c r="BI1" s="846" t="s">
        <v>1160</v>
      </c>
      <c r="BJ1" s="846" t="s">
        <v>1161</v>
      </c>
      <c r="BK1" s="846" t="s">
        <v>1162</v>
      </c>
      <c r="BL1" s="846" t="s">
        <v>1163</v>
      </c>
      <c r="BM1" s="846" t="s">
        <v>1164</v>
      </c>
      <c r="BN1" s="846" t="s">
        <v>1165</v>
      </c>
      <c r="BO1" s="846" t="s">
        <v>1166</v>
      </c>
      <c r="BP1" s="846" t="s">
        <v>1167</v>
      </c>
      <c r="BQ1" s="846" t="s">
        <v>1168</v>
      </c>
      <c r="BR1" s="846" t="s">
        <v>1169</v>
      </c>
      <c r="BS1" s="846" t="s">
        <v>1170</v>
      </c>
      <c r="BT1" s="846" t="s">
        <v>1171</v>
      </c>
      <c r="BU1" s="846" t="s">
        <v>1172</v>
      </c>
      <c r="BV1" s="846" t="s">
        <v>1173</v>
      </c>
      <c r="BW1" s="846" t="s">
        <v>1174</v>
      </c>
      <c r="BX1" s="846" t="s">
        <v>1175</v>
      </c>
      <c r="BY1" s="846" t="s">
        <v>1176</v>
      </c>
      <c r="BZ1" s="846" t="s">
        <v>1177</v>
      </c>
      <c r="CA1" s="846" t="s">
        <v>1178</v>
      </c>
      <c r="CB1" s="846" t="s">
        <v>1179</v>
      </c>
    </row>
    <row r="2" spans="1:80" x14ac:dyDescent="0.25">
      <c r="A2" s="846" t="s">
        <v>823</v>
      </c>
      <c r="B2" s="846"/>
      <c r="C2" s="846"/>
      <c r="D2" s="846" t="s">
        <v>364</v>
      </c>
      <c r="E2" s="846">
        <v>50476</v>
      </c>
      <c r="F2" s="846">
        <v>50191</v>
      </c>
      <c r="G2" s="846">
        <v>50192</v>
      </c>
      <c r="H2" s="846">
        <v>50193</v>
      </c>
      <c r="I2" s="846">
        <v>50194</v>
      </c>
      <c r="J2" s="846">
        <v>50195</v>
      </c>
      <c r="K2" s="846">
        <v>50196</v>
      </c>
      <c r="L2" s="846">
        <v>50197</v>
      </c>
      <c r="M2" s="860">
        <v>50498</v>
      </c>
      <c r="N2" s="846">
        <v>50198</v>
      </c>
      <c r="O2" s="860">
        <v>50199</v>
      </c>
      <c r="P2" s="860">
        <v>50200</v>
      </c>
      <c r="Q2" s="860">
        <v>50201</v>
      </c>
      <c r="R2" s="860">
        <v>50202</v>
      </c>
      <c r="S2" s="860">
        <v>50493</v>
      </c>
      <c r="T2" s="860">
        <v>50203</v>
      </c>
      <c r="U2" s="860">
        <v>50518</v>
      </c>
      <c r="V2" s="860">
        <v>50204</v>
      </c>
      <c r="W2" s="860">
        <v>50205</v>
      </c>
      <c r="X2" s="860">
        <v>50206</v>
      </c>
      <c r="Y2" s="860">
        <v>50207</v>
      </c>
      <c r="Z2" s="860">
        <v>50208</v>
      </c>
      <c r="AA2" s="860">
        <v>50209</v>
      </c>
      <c r="AB2" s="860">
        <v>50210</v>
      </c>
      <c r="AC2" s="860">
        <v>50519</v>
      </c>
      <c r="AD2" s="860">
        <v>50528</v>
      </c>
      <c r="AE2" s="860">
        <v>50211</v>
      </c>
      <c r="AF2" s="860">
        <v>50212</v>
      </c>
      <c r="AG2" s="860">
        <v>50213</v>
      </c>
      <c r="AH2" s="860">
        <v>50214</v>
      </c>
      <c r="AI2" s="860">
        <v>50215</v>
      </c>
      <c r="AJ2" s="860">
        <v>50216</v>
      </c>
      <c r="AK2" s="860">
        <v>50217</v>
      </c>
      <c r="AL2" s="860">
        <v>50218</v>
      </c>
      <c r="AM2" s="860">
        <v>50477</v>
      </c>
      <c r="AN2" s="860">
        <v>50520</v>
      </c>
      <c r="AO2" s="860">
        <v>50219</v>
      </c>
      <c r="AP2" s="860">
        <v>50220</v>
      </c>
      <c r="AQ2" s="860">
        <v>50536</v>
      </c>
      <c r="AR2" s="860">
        <v>50221</v>
      </c>
      <c r="AS2" s="860">
        <v>50222</v>
      </c>
      <c r="AT2" s="860">
        <v>50223</v>
      </c>
      <c r="AU2" s="860">
        <v>50224</v>
      </c>
      <c r="AV2" s="860">
        <v>50225</v>
      </c>
      <c r="AW2" s="860">
        <v>50226</v>
      </c>
      <c r="AX2" s="860">
        <v>50227</v>
      </c>
      <c r="AY2" s="860">
        <v>50455</v>
      </c>
      <c r="AZ2" s="860">
        <v>50229</v>
      </c>
      <c r="BA2" s="860">
        <v>50230</v>
      </c>
      <c r="BB2" s="860">
        <v>50231</v>
      </c>
      <c r="BC2" s="860">
        <v>50232</v>
      </c>
      <c r="BD2" s="860">
        <v>50233</v>
      </c>
      <c r="BE2" s="860">
        <v>50234</v>
      </c>
      <c r="BF2" s="860">
        <v>50235</v>
      </c>
      <c r="BG2" s="860">
        <v>50236</v>
      </c>
      <c r="BH2" s="860">
        <v>50237</v>
      </c>
      <c r="BI2" s="860">
        <v>50238</v>
      </c>
      <c r="BJ2" s="860">
        <v>50444</v>
      </c>
      <c r="BK2" s="860">
        <v>0</v>
      </c>
      <c r="BL2" s="860">
        <v>50240</v>
      </c>
      <c r="BM2" s="860">
        <v>50241</v>
      </c>
      <c r="BN2" s="860">
        <v>50521</v>
      </c>
      <c r="BO2" s="860">
        <v>50242</v>
      </c>
      <c r="BP2" s="860">
        <v>50244</v>
      </c>
      <c r="BQ2" s="860">
        <v>50243</v>
      </c>
      <c r="BR2" s="860">
        <v>50245</v>
      </c>
      <c r="BS2" s="860">
        <v>50522</v>
      </c>
      <c r="BT2" s="860">
        <v>50246</v>
      </c>
      <c r="BU2" s="860">
        <v>50247</v>
      </c>
      <c r="BV2" s="860">
        <v>50248</v>
      </c>
      <c r="BW2" s="860">
        <v>50249</v>
      </c>
      <c r="BX2" s="860">
        <v>50250</v>
      </c>
      <c r="BY2" s="860">
        <v>50251</v>
      </c>
      <c r="BZ2" s="860">
        <v>50252</v>
      </c>
      <c r="CA2" s="860">
        <v>50253</v>
      </c>
      <c r="CB2" s="860">
        <v>50454</v>
      </c>
    </row>
    <row r="3" spans="1:80" x14ac:dyDescent="0.25">
      <c r="A3" s="860">
        <v>4</v>
      </c>
      <c r="B3" s="846">
        <v>4</v>
      </c>
      <c r="C3" s="860" t="s">
        <v>717</v>
      </c>
      <c r="D3" s="860" t="s">
        <v>365</v>
      </c>
      <c r="E3" s="516">
        <v>69993</v>
      </c>
      <c r="F3" s="516">
        <v>1049888</v>
      </c>
      <c r="G3" s="516">
        <v>0</v>
      </c>
      <c r="H3" s="516">
        <v>1966073</v>
      </c>
      <c r="I3" s="516">
        <v>89427</v>
      </c>
      <c r="J3" s="516">
        <v>15715</v>
      </c>
      <c r="K3" s="516">
        <v>22605</v>
      </c>
      <c r="L3" s="516">
        <v>22324</v>
      </c>
      <c r="M3" s="516">
        <v>2984680</v>
      </c>
      <c r="N3" s="516">
        <v>13408</v>
      </c>
      <c r="O3" s="516">
        <v>28237</v>
      </c>
      <c r="P3" s="516">
        <v>20981</v>
      </c>
      <c r="Q3" s="516">
        <v>1721806</v>
      </c>
      <c r="R3" s="516">
        <v>448864</v>
      </c>
      <c r="S3" s="516">
        <v>70734</v>
      </c>
      <c r="T3" s="516">
        <v>523354</v>
      </c>
      <c r="U3" s="516">
        <v>0</v>
      </c>
      <c r="V3" s="516">
        <v>1111260</v>
      </c>
      <c r="W3" s="516">
        <v>335</v>
      </c>
      <c r="X3" s="516">
        <v>460059</v>
      </c>
      <c r="Y3" s="516">
        <v>1255274</v>
      </c>
      <c r="Z3" s="516">
        <v>233584</v>
      </c>
      <c r="AA3" s="516">
        <v>86474</v>
      </c>
      <c r="AB3" s="516">
        <v>151717</v>
      </c>
      <c r="AC3" s="516">
        <v>2926</v>
      </c>
      <c r="AD3" s="516">
        <v>42306</v>
      </c>
      <c r="AE3" s="516">
        <v>27506</v>
      </c>
      <c r="AF3" s="516">
        <v>122030</v>
      </c>
      <c r="AG3" s="516">
        <v>3246</v>
      </c>
      <c r="AH3" s="516">
        <v>1263</v>
      </c>
      <c r="AI3" s="516">
        <v>441</v>
      </c>
      <c r="AJ3" s="516">
        <v>129596</v>
      </c>
      <c r="AK3" s="516">
        <v>65111</v>
      </c>
      <c r="AL3" s="516">
        <v>6141</v>
      </c>
      <c r="AM3" s="516">
        <v>1477</v>
      </c>
      <c r="AN3" s="516">
        <v>2306854</v>
      </c>
      <c r="AO3" s="516">
        <v>472624</v>
      </c>
      <c r="AP3" s="516">
        <v>5429</v>
      </c>
      <c r="AQ3" s="516">
        <v>670493</v>
      </c>
      <c r="AR3" s="516">
        <v>975870</v>
      </c>
      <c r="AS3" s="516">
        <v>106799</v>
      </c>
      <c r="AT3" s="516">
        <v>10452</v>
      </c>
      <c r="AU3" s="516">
        <v>160414</v>
      </c>
      <c r="AV3" s="516">
        <v>1389975</v>
      </c>
      <c r="AW3" s="516">
        <v>44927</v>
      </c>
      <c r="AX3" s="516">
        <v>30711</v>
      </c>
      <c r="AY3" s="516">
        <v>502803</v>
      </c>
      <c r="AZ3" s="516">
        <v>83921</v>
      </c>
      <c r="BA3" s="516">
        <v>370146</v>
      </c>
      <c r="BB3" s="516">
        <v>1462</v>
      </c>
      <c r="BC3" s="516">
        <v>0</v>
      </c>
      <c r="BD3" s="516">
        <v>0</v>
      </c>
      <c r="BE3" s="516">
        <v>4263</v>
      </c>
      <c r="BF3" s="516">
        <v>0</v>
      </c>
      <c r="BG3" s="516">
        <v>13307</v>
      </c>
      <c r="BH3" s="516">
        <v>2572</v>
      </c>
      <c r="BI3" s="516">
        <v>44167</v>
      </c>
      <c r="BJ3" s="516">
        <v>101845</v>
      </c>
      <c r="BK3" s="516">
        <v>0</v>
      </c>
      <c r="BL3" s="516">
        <v>58068</v>
      </c>
      <c r="BM3" s="516">
        <v>120716</v>
      </c>
      <c r="BN3" s="516">
        <v>0</v>
      </c>
      <c r="BO3" s="516">
        <v>226820</v>
      </c>
      <c r="BP3" s="516">
        <v>139931</v>
      </c>
      <c r="BQ3" s="516">
        <v>9928</v>
      </c>
      <c r="BR3" s="516">
        <v>45136</v>
      </c>
      <c r="BS3" s="516">
        <v>65030</v>
      </c>
      <c r="BT3" s="516">
        <v>1209583</v>
      </c>
      <c r="BU3" s="516">
        <v>107291</v>
      </c>
      <c r="BV3" s="516">
        <v>60633</v>
      </c>
      <c r="BW3" s="516">
        <v>64410</v>
      </c>
      <c r="BX3" s="516">
        <v>20826</v>
      </c>
      <c r="BY3" s="516">
        <v>0</v>
      </c>
      <c r="BZ3" s="516">
        <v>0</v>
      </c>
      <c r="CA3" s="516">
        <v>1365280</v>
      </c>
      <c r="CB3" s="516">
        <v>2997</v>
      </c>
    </row>
    <row r="4" spans="1:80" x14ac:dyDescent="0.25">
      <c r="A4" s="860">
        <v>5</v>
      </c>
      <c r="B4" s="846">
        <v>5</v>
      </c>
      <c r="C4" s="860" t="s">
        <v>127</v>
      </c>
      <c r="D4" s="860" t="s">
        <v>366</v>
      </c>
      <c r="E4" s="516">
        <v>0</v>
      </c>
      <c r="F4" s="516">
        <v>157285</v>
      </c>
      <c r="G4" s="516">
        <v>0</v>
      </c>
      <c r="H4" s="516">
        <v>81959</v>
      </c>
      <c r="I4" s="516">
        <v>0</v>
      </c>
      <c r="J4" s="516">
        <v>0</v>
      </c>
      <c r="K4" s="516">
        <v>315</v>
      </c>
      <c r="L4" s="516">
        <v>20137</v>
      </c>
      <c r="M4" s="516">
        <v>3872</v>
      </c>
      <c r="N4" s="516">
        <v>0</v>
      </c>
      <c r="O4" s="516">
        <v>2338</v>
      </c>
      <c r="P4" s="516">
        <v>0</v>
      </c>
      <c r="Q4" s="516">
        <v>0</v>
      </c>
      <c r="R4" s="516">
        <v>0</v>
      </c>
      <c r="S4" s="516">
        <v>0</v>
      </c>
      <c r="T4" s="516">
        <v>0</v>
      </c>
      <c r="U4" s="516">
        <v>0</v>
      </c>
      <c r="V4" s="516">
        <v>1180</v>
      </c>
      <c r="W4" s="516">
        <v>0</v>
      </c>
      <c r="X4" s="516">
        <v>0</v>
      </c>
      <c r="Y4" s="516">
        <v>5740</v>
      </c>
      <c r="Z4" s="516">
        <v>0</v>
      </c>
      <c r="AA4" s="516">
        <v>55</v>
      </c>
      <c r="AB4" s="516">
        <v>0</v>
      </c>
      <c r="AC4" s="516">
        <v>0</v>
      </c>
      <c r="AD4" s="516">
        <v>0</v>
      </c>
      <c r="AE4" s="516">
        <v>0</v>
      </c>
      <c r="AF4" s="516">
        <v>0</v>
      </c>
      <c r="AG4" s="516">
        <v>0</v>
      </c>
      <c r="AH4" s="516">
        <v>0</v>
      </c>
      <c r="AI4" s="516">
        <v>0</v>
      </c>
      <c r="AJ4" s="516">
        <v>0</v>
      </c>
      <c r="AK4" s="516">
        <v>28955</v>
      </c>
      <c r="AL4" s="516">
        <v>0</v>
      </c>
      <c r="AM4" s="516">
        <v>0</v>
      </c>
      <c r="AN4" s="516">
        <v>0</v>
      </c>
      <c r="AO4" s="516">
        <v>0</v>
      </c>
      <c r="AP4" s="516">
        <v>0</v>
      </c>
      <c r="AQ4" s="516">
        <v>0</v>
      </c>
      <c r="AR4" s="516">
        <v>0</v>
      </c>
      <c r="AS4" s="516">
        <v>0</v>
      </c>
      <c r="AT4" s="516">
        <v>0</v>
      </c>
      <c r="AU4" s="516">
        <v>3198</v>
      </c>
      <c r="AV4" s="516">
        <v>2680</v>
      </c>
      <c r="AW4" s="516">
        <v>0</v>
      </c>
      <c r="AX4" s="516">
        <v>0</v>
      </c>
      <c r="AY4" s="516">
        <v>0</v>
      </c>
      <c r="AZ4" s="516">
        <v>0</v>
      </c>
      <c r="BA4" s="516">
        <v>0</v>
      </c>
      <c r="BB4" s="516">
        <v>0</v>
      </c>
      <c r="BC4" s="516">
        <v>0</v>
      </c>
      <c r="BD4" s="516">
        <v>0</v>
      </c>
      <c r="BE4" s="516">
        <v>0</v>
      </c>
      <c r="BF4" s="516">
        <v>0</v>
      </c>
      <c r="BG4" s="516">
        <v>0</v>
      </c>
      <c r="BH4" s="516">
        <v>0</v>
      </c>
      <c r="BI4" s="516">
        <v>0</v>
      </c>
      <c r="BJ4" s="516">
        <v>2059</v>
      </c>
      <c r="BK4" s="516">
        <v>0</v>
      </c>
      <c r="BL4" s="516">
        <v>148</v>
      </c>
      <c r="BM4" s="516">
        <v>0</v>
      </c>
      <c r="BN4" s="516">
        <v>0</v>
      </c>
      <c r="BO4" s="516">
        <v>8068</v>
      </c>
      <c r="BP4" s="516">
        <v>929</v>
      </c>
      <c r="BQ4" s="516">
        <v>0</v>
      </c>
      <c r="BR4" s="516">
        <v>0</v>
      </c>
      <c r="BS4" s="516">
        <v>0</v>
      </c>
      <c r="BT4" s="516">
        <v>0</v>
      </c>
      <c r="BU4" s="516">
        <v>0</v>
      </c>
      <c r="BV4" s="516">
        <v>0</v>
      </c>
      <c r="BW4" s="516">
        <v>0</v>
      </c>
      <c r="BX4" s="516">
        <v>0</v>
      </c>
      <c r="BY4" s="516">
        <v>0</v>
      </c>
      <c r="BZ4" s="516">
        <v>0</v>
      </c>
      <c r="CA4" s="516">
        <v>91377</v>
      </c>
      <c r="CB4" s="516">
        <v>0</v>
      </c>
    </row>
    <row r="5" spans="1:80" x14ac:dyDescent="0.25">
      <c r="A5" s="860">
        <v>6</v>
      </c>
      <c r="B5" s="846">
        <v>6</v>
      </c>
      <c r="C5" s="860" t="s">
        <v>332</v>
      </c>
      <c r="D5" s="860" t="s">
        <v>367</v>
      </c>
      <c r="E5" s="516">
        <v>0</v>
      </c>
      <c r="F5" s="516">
        <v>602055</v>
      </c>
      <c r="G5" s="516">
        <v>0</v>
      </c>
      <c r="H5" s="516">
        <v>586607</v>
      </c>
      <c r="I5" s="516">
        <v>0</v>
      </c>
      <c r="J5" s="516">
        <v>0</v>
      </c>
      <c r="K5" s="516">
        <v>0</v>
      </c>
      <c r="L5" s="516">
        <v>0</v>
      </c>
      <c r="M5" s="516">
        <v>0</v>
      </c>
      <c r="N5" s="516">
        <v>0</v>
      </c>
      <c r="O5" s="516">
        <v>0</v>
      </c>
      <c r="P5" s="516">
        <v>0</v>
      </c>
      <c r="Q5" s="516">
        <v>0</v>
      </c>
      <c r="R5" s="516">
        <v>192529</v>
      </c>
      <c r="S5" s="516">
        <v>0</v>
      </c>
      <c r="T5" s="516">
        <v>0</v>
      </c>
      <c r="U5" s="516">
        <v>0</v>
      </c>
      <c r="V5" s="516">
        <v>477070</v>
      </c>
      <c r="W5" s="516">
        <v>0</v>
      </c>
      <c r="X5" s="516">
        <v>26863</v>
      </c>
      <c r="Y5" s="516">
        <v>514104</v>
      </c>
      <c r="Z5" s="516">
        <v>0</v>
      </c>
      <c r="AA5" s="516">
        <v>0</v>
      </c>
      <c r="AB5" s="516">
        <v>0</v>
      </c>
      <c r="AC5" s="516">
        <v>0</v>
      </c>
      <c r="AD5" s="516">
        <v>0</v>
      </c>
      <c r="AE5" s="516">
        <v>0</v>
      </c>
      <c r="AF5" s="516">
        <v>0</v>
      </c>
      <c r="AG5" s="516">
        <v>0</v>
      </c>
      <c r="AH5" s="516">
        <v>0</v>
      </c>
      <c r="AI5" s="516">
        <v>0</v>
      </c>
      <c r="AJ5" s="516">
        <v>0</v>
      </c>
      <c r="AK5" s="516">
        <v>0</v>
      </c>
      <c r="AL5" s="516">
        <v>0</v>
      </c>
      <c r="AM5" s="516">
        <v>0</v>
      </c>
      <c r="AN5" s="516">
        <v>0</v>
      </c>
      <c r="AO5" s="516">
        <v>0</v>
      </c>
      <c r="AP5" s="516">
        <v>0</v>
      </c>
      <c r="AQ5" s="516">
        <v>0</v>
      </c>
      <c r="AR5" s="516">
        <v>2120566</v>
      </c>
      <c r="AS5" s="516">
        <v>0</v>
      </c>
      <c r="AT5" s="516">
        <v>0</v>
      </c>
      <c r="AU5" s="516">
        <v>0</v>
      </c>
      <c r="AV5" s="516">
        <v>0</v>
      </c>
      <c r="AW5" s="516">
        <v>0</v>
      </c>
      <c r="AX5" s="516">
        <v>0</v>
      </c>
      <c r="AY5" s="516">
        <v>16430</v>
      </c>
      <c r="AZ5" s="516">
        <v>0</v>
      </c>
      <c r="BA5" s="516">
        <v>0</v>
      </c>
      <c r="BB5" s="516">
        <v>0</v>
      </c>
      <c r="BC5" s="516">
        <v>0</v>
      </c>
      <c r="BD5" s="516">
        <v>0</v>
      </c>
      <c r="BE5" s="516">
        <v>0</v>
      </c>
      <c r="BF5" s="516">
        <v>0</v>
      </c>
      <c r="BG5" s="516">
        <v>0</v>
      </c>
      <c r="BH5" s="516">
        <v>0</v>
      </c>
      <c r="BI5" s="516">
        <v>0</v>
      </c>
      <c r="BJ5" s="516">
        <v>13840</v>
      </c>
      <c r="BK5" s="516">
        <v>0</v>
      </c>
      <c r="BL5" s="516">
        <v>33831</v>
      </c>
      <c r="BM5" s="516">
        <v>20126</v>
      </c>
      <c r="BN5" s="516">
        <v>0</v>
      </c>
      <c r="BO5" s="516">
        <v>0</v>
      </c>
      <c r="BP5" s="516">
        <v>0</v>
      </c>
      <c r="BQ5" s="516">
        <v>0</v>
      </c>
      <c r="BR5" s="516">
        <v>0</v>
      </c>
      <c r="BS5" s="516">
        <v>0</v>
      </c>
      <c r="BT5" s="516">
        <v>0</v>
      </c>
      <c r="BU5" s="516">
        <v>0</v>
      </c>
      <c r="BV5" s="516">
        <v>0</v>
      </c>
      <c r="BW5" s="516">
        <v>0</v>
      </c>
      <c r="BX5" s="516">
        <v>270000</v>
      </c>
      <c r="BY5" s="516">
        <v>0</v>
      </c>
      <c r="BZ5" s="516">
        <v>0</v>
      </c>
      <c r="CA5" s="516">
        <v>287374</v>
      </c>
      <c r="CB5" s="516">
        <v>0</v>
      </c>
    </row>
    <row r="6" spans="1:80" x14ac:dyDescent="0.25">
      <c r="A6" s="860">
        <v>7</v>
      </c>
      <c r="B6" s="846">
        <v>7</v>
      </c>
      <c r="C6" s="860" t="s">
        <v>269</v>
      </c>
      <c r="D6" s="860" t="s">
        <v>368</v>
      </c>
      <c r="E6" s="516">
        <v>19537</v>
      </c>
      <c r="F6" s="516">
        <v>640</v>
      </c>
      <c r="G6" s="516">
        <v>0</v>
      </c>
      <c r="H6" s="516">
        <v>2108944</v>
      </c>
      <c r="I6" s="516">
        <v>56262</v>
      </c>
      <c r="J6" s="516">
        <v>0</v>
      </c>
      <c r="K6" s="516">
        <v>0</v>
      </c>
      <c r="L6" s="516">
        <v>0</v>
      </c>
      <c r="M6" s="516">
        <v>90473</v>
      </c>
      <c r="N6" s="516">
        <v>0</v>
      </c>
      <c r="O6" s="516">
        <v>0</v>
      </c>
      <c r="P6" s="516">
        <v>0</v>
      </c>
      <c r="Q6" s="516">
        <v>6044</v>
      </c>
      <c r="R6" s="516">
        <v>162783</v>
      </c>
      <c r="S6" s="516">
        <v>157950</v>
      </c>
      <c r="T6" s="516">
        <v>48637</v>
      </c>
      <c r="U6" s="516">
        <v>0</v>
      </c>
      <c r="V6" s="516">
        <v>81568</v>
      </c>
      <c r="W6" s="516">
        <v>0</v>
      </c>
      <c r="X6" s="516">
        <v>39027</v>
      </c>
      <c r="Y6" s="516">
        <v>28820</v>
      </c>
      <c r="Z6" s="516">
        <v>0</v>
      </c>
      <c r="AA6" s="516">
        <v>41381</v>
      </c>
      <c r="AB6" s="516">
        <v>780</v>
      </c>
      <c r="AC6" s="516">
        <v>3961</v>
      </c>
      <c r="AD6" s="516">
        <v>0</v>
      </c>
      <c r="AE6" s="516">
        <v>0</v>
      </c>
      <c r="AF6" s="516">
        <v>0</v>
      </c>
      <c r="AG6" s="516">
        <v>0</v>
      </c>
      <c r="AH6" s="516">
        <v>0</v>
      </c>
      <c r="AI6" s="516">
        <v>0</v>
      </c>
      <c r="AJ6" s="516">
        <v>0</v>
      </c>
      <c r="AK6" s="516">
        <v>34386</v>
      </c>
      <c r="AL6" s="516">
        <v>660</v>
      </c>
      <c r="AM6" s="516">
        <v>0</v>
      </c>
      <c r="AN6" s="516">
        <v>0</v>
      </c>
      <c r="AO6" s="516">
        <v>0</v>
      </c>
      <c r="AP6" s="516">
        <v>0</v>
      </c>
      <c r="AQ6" s="516">
        <v>0</v>
      </c>
      <c r="AR6" s="516">
        <v>3789</v>
      </c>
      <c r="AS6" s="516">
        <v>4392</v>
      </c>
      <c r="AT6" s="516">
        <v>0</v>
      </c>
      <c r="AU6" s="516">
        <v>16856</v>
      </c>
      <c r="AV6" s="516">
        <v>61185</v>
      </c>
      <c r="AW6" s="516">
        <v>0</v>
      </c>
      <c r="AX6" s="516">
        <v>94128</v>
      </c>
      <c r="AY6" s="516">
        <v>149570</v>
      </c>
      <c r="AZ6" s="516">
        <v>6959</v>
      </c>
      <c r="BA6" s="516">
        <v>0</v>
      </c>
      <c r="BB6" s="516">
        <v>0</v>
      </c>
      <c r="BC6" s="516">
        <v>0</v>
      </c>
      <c r="BD6" s="516">
        <v>0</v>
      </c>
      <c r="BE6" s="516">
        <v>0</v>
      </c>
      <c r="BF6" s="516">
        <v>0</v>
      </c>
      <c r="BG6" s="516">
        <v>0</v>
      </c>
      <c r="BH6" s="516">
        <v>0</v>
      </c>
      <c r="BI6" s="516">
        <v>0</v>
      </c>
      <c r="BJ6" s="516">
        <v>7799</v>
      </c>
      <c r="BK6" s="516">
        <v>0</v>
      </c>
      <c r="BL6" s="516">
        <v>4155</v>
      </c>
      <c r="BM6" s="516">
        <v>9213</v>
      </c>
      <c r="BN6" s="516">
        <v>0</v>
      </c>
      <c r="BO6" s="516">
        <v>44872</v>
      </c>
      <c r="BP6" s="516">
        <v>0</v>
      </c>
      <c r="BQ6" s="516">
        <v>4000</v>
      </c>
      <c r="BR6" s="516">
        <v>0</v>
      </c>
      <c r="BS6" s="516">
        <v>900</v>
      </c>
      <c r="BT6" s="516">
        <v>113950</v>
      </c>
      <c r="BU6" s="516">
        <v>0</v>
      </c>
      <c r="BV6" s="516">
        <v>0</v>
      </c>
      <c r="BW6" s="516">
        <v>0</v>
      </c>
      <c r="BX6" s="516">
        <v>0</v>
      </c>
      <c r="BY6" s="516">
        <v>0</v>
      </c>
      <c r="BZ6" s="516">
        <v>0</v>
      </c>
      <c r="CA6" s="516">
        <v>46552</v>
      </c>
      <c r="CB6" s="516">
        <v>0</v>
      </c>
    </row>
    <row r="7" spans="1:80" x14ac:dyDescent="0.25">
      <c r="A7" s="860">
        <v>9</v>
      </c>
      <c r="B7" s="846">
        <v>9</v>
      </c>
      <c r="C7" s="860" t="s">
        <v>271</v>
      </c>
      <c r="D7" s="860" t="s">
        <v>369</v>
      </c>
      <c r="E7" s="516">
        <v>398068</v>
      </c>
      <c r="F7" s="516">
        <v>20804506</v>
      </c>
      <c r="G7" s="516">
        <v>0</v>
      </c>
      <c r="H7" s="516">
        <v>35744634</v>
      </c>
      <c r="I7" s="516">
        <v>4675021</v>
      </c>
      <c r="J7" s="516">
        <v>552427</v>
      </c>
      <c r="K7" s="516">
        <v>2734033</v>
      </c>
      <c r="L7" s="516">
        <v>1416241</v>
      </c>
      <c r="M7" s="516">
        <v>22423915</v>
      </c>
      <c r="N7" s="516">
        <v>232626</v>
      </c>
      <c r="O7" s="516">
        <v>667459</v>
      </c>
      <c r="P7" s="516">
        <v>693974</v>
      </c>
      <c r="Q7" s="516">
        <v>16623471</v>
      </c>
      <c r="R7" s="516">
        <v>19045759</v>
      </c>
      <c r="S7" s="516">
        <v>3227937</v>
      </c>
      <c r="T7" s="516">
        <v>8876015</v>
      </c>
      <c r="U7" s="516">
        <v>0</v>
      </c>
      <c r="V7" s="516">
        <v>7191115</v>
      </c>
      <c r="W7" s="516">
        <v>272605</v>
      </c>
      <c r="X7" s="516">
        <v>11818213</v>
      </c>
      <c r="Y7" s="516">
        <v>7837967</v>
      </c>
      <c r="Z7" s="516">
        <v>4588345</v>
      </c>
      <c r="AA7" s="516">
        <v>2021246</v>
      </c>
      <c r="AB7" s="516">
        <v>3597509</v>
      </c>
      <c r="AC7" s="516">
        <v>1259447</v>
      </c>
      <c r="AD7" s="516">
        <v>261098</v>
      </c>
      <c r="AE7" s="516">
        <v>1401245</v>
      </c>
      <c r="AF7" s="516">
        <v>1674095</v>
      </c>
      <c r="AG7" s="516">
        <v>152941</v>
      </c>
      <c r="AH7" s="516">
        <v>85536</v>
      </c>
      <c r="AI7" s="516">
        <v>305412</v>
      </c>
      <c r="AJ7" s="516">
        <v>1755422</v>
      </c>
      <c r="AK7" s="516">
        <v>2939009</v>
      </c>
      <c r="AL7" s="516">
        <v>260463</v>
      </c>
      <c r="AM7" s="516">
        <v>113794</v>
      </c>
      <c r="AN7" s="516">
        <v>12730118</v>
      </c>
      <c r="AO7" s="516">
        <v>11361196</v>
      </c>
      <c r="AP7" s="516">
        <v>595125</v>
      </c>
      <c r="AQ7" s="516">
        <v>7113966</v>
      </c>
      <c r="AR7" s="516">
        <v>12319411</v>
      </c>
      <c r="AS7" s="516">
        <v>2890568</v>
      </c>
      <c r="AT7" s="516">
        <v>426579</v>
      </c>
      <c r="AU7" s="516">
        <v>2997768</v>
      </c>
      <c r="AV7" s="516">
        <v>5200341</v>
      </c>
      <c r="AW7" s="516">
        <v>113220</v>
      </c>
      <c r="AX7" s="516">
        <v>367757</v>
      </c>
      <c r="AY7" s="516">
        <v>3033528</v>
      </c>
      <c r="AZ7" s="516">
        <v>2690095</v>
      </c>
      <c r="BA7" s="516">
        <v>2221405</v>
      </c>
      <c r="BB7" s="516">
        <v>91000</v>
      </c>
      <c r="BC7" s="516">
        <v>0</v>
      </c>
      <c r="BD7" s="516">
        <v>0</v>
      </c>
      <c r="BE7" s="516">
        <v>379655</v>
      </c>
      <c r="BF7" s="516">
        <v>0</v>
      </c>
      <c r="BG7" s="516">
        <v>496523</v>
      </c>
      <c r="BH7" s="516">
        <v>159015</v>
      </c>
      <c r="BI7" s="516">
        <v>2750974</v>
      </c>
      <c r="BJ7" s="516">
        <v>3192944</v>
      </c>
      <c r="BK7" s="516">
        <v>0</v>
      </c>
      <c r="BL7" s="516">
        <v>2917890</v>
      </c>
      <c r="BM7" s="516">
        <v>5911354</v>
      </c>
      <c r="BN7" s="516">
        <v>131566</v>
      </c>
      <c r="BO7" s="516">
        <v>3934495</v>
      </c>
      <c r="BP7" s="516">
        <v>3167394</v>
      </c>
      <c r="BQ7" s="516">
        <v>1676083</v>
      </c>
      <c r="BR7" s="516">
        <v>1479879</v>
      </c>
      <c r="BS7" s="516">
        <v>1616016</v>
      </c>
      <c r="BT7" s="516">
        <v>11884785</v>
      </c>
      <c r="BU7" s="516">
        <v>2362996</v>
      </c>
      <c r="BV7" s="516">
        <v>1749656</v>
      </c>
      <c r="BW7" s="516">
        <v>1001625</v>
      </c>
      <c r="BX7" s="516">
        <v>1269117</v>
      </c>
      <c r="BY7" s="516">
        <v>177489</v>
      </c>
      <c r="BZ7" s="516">
        <v>209352</v>
      </c>
      <c r="CA7" s="516">
        <v>13391694</v>
      </c>
      <c r="CB7" s="516">
        <v>161839</v>
      </c>
    </row>
    <row r="8" spans="1:80" x14ac:dyDescent="0.25">
      <c r="A8" s="860">
        <v>11</v>
      </c>
      <c r="B8" s="846">
        <v>11</v>
      </c>
      <c r="C8" s="860" t="s">
        <v>270</v>
      </c>
      <c r="D8" s="860" t="s">
        <v>370</v>
      </c>
      <c r="E8" s="516">
        <v>0</v>
      </c>
      <c r="F8" s="516">
        <v>2461264</v>
      </c>
      <c r="G8" s="516">
        <v>0</v>
      </c>
      <c r="H8" s="516">
        <v>506221</v>
      </c>
      <c r="I8" s="516">
        <v>315997</v>
      </c>
      <c r="J8" s="516">
        <v>111447</v>
      </c>
      <c r="K8" s="516">
        <v>2829</v>
      </c>
      <c r="L8" s="516">
        <v>36363</v>
      </c>
      <c r="M8" s="516">
        <v>1193266</v>
      </c>
      <c r="N8" s="516">
        <v>32537</v>
      </c>
      <c r="O8" s="516">
        <v>148481</v>
      </c>
      <c r="P8" s="516">
        <v>126702</v>
      </c>
      <c r="Q8" s="516">
        <v>0</v>
      </c>
      <c r="R8" s="516">
        <v>38153</v>
      </c>
      <c r="S8" s="516">
        <v>610</v>
      </c>
      <c r="T8" s="516">
        <v>166797</v>
      </c>
      <c r="U8" s="516">
        <v>0</v>
      </c>
      <c r="V8" s="516">
        <v>0</v>
      </c>
      <c r="W8" s="516">
        <v>102379</v>
      </c>
      <c r="X8" s="516">
        <v>202805</v>
      </c>
      <c r="Y8" s="516">
        <v>615060</v>
      </c>
      <c r="Z8" s="516">
        <v>232604</v>
      </c>
      <c r="AA8" s="516">
        <v>279057</v>
      </c>
      <c r="AB8" s="516">
        <v>0</v>
      </c>
      <c r="AC8" s="516">
        <v>150429</v>
      </c>
      <c r="AD8" s="516">
        <v>5</v>
      </c>
      <c r="AE8" s="516">
        <v>192527</v>
      </c>
      <c r="AF8" s="516">
        <v>504027</v>
      </c>
      <c r="AG8" s="516">
        <v>14029</v>
      </c>
      <c r="AH8" s="516">
        <v>18433</v>
      </c>
      <c r="AI8" s="516">
        <v>157407</v>
      </c>
      <c r="AJ8" s="516">
        <v>0</v>
      </c>
      <c r="AK8" s="516">
        <v>0</v>
      </c>
      <c r="AL8" s="516">
        <v>25590</v>
      </c>
      <c r="AM8" s="516">
        <v>0</v>
      </c>
      <c r="AN8" s="516">
        <v>484988</v>
      </c>
      <c r="AO8" s="516">
        <v>0</v>
      </c>
      <c r="AP8" s="516">
        <v>71299</v>
      </c>
      <c r="AQ8" s="516">
        <v>531517</v>
      </c>
      <c r="AR8" s="516">
        <v>146609</v>
      </c>
      <c r="AS8" s="516">
        <v>81772</v>
      </c>
      <c r="AT8" s="516">
        <v>22368</v>
      </c>
      <c r="AU8" s="516">
        <v>118705</v>
      </c>
      <c r="AV8" s="516">
        <v>440115</v>
      </c>
      <c r="AW8" s="516">
        <v>1218</v>
      </c>
      <c r="AX8" s="516">
        <v>79806</v>
      </c>
      <c r="AY8" s="516">
        <v>57684</v>
      </c>
      <c r="AZ8" s="516">
        <v>657747</v>
      </c>
      <c r="BA8" s="516">
        <v>47146</v>
      </c>
      <c r="BB8" s="516">
        <v>1276</v>
      </c>
      <c r="BC8" s="516">
        <v>0</v>
      </c>
      <c r="BD8" s="516">
        <v>0</v>
      </c>
      <c r="BE8" s="516">
        <v>12833</v>
      </c>
      <c r="BF8" s="516">
        <v>0</v>
      </c>
      <c r="BG8" s="516">
        <v>73618</v>
      </c>
      <c r="BH8" s="516">
        <v>18670</v>
      </c>
      <c r="BI8" s="516">
        <v>0</v>
      </c>
      <c r="BJ8" s="516">
        <v>125587</v>
      </c>
      <c r="BK8" s="516">
        <v>0</v>
      </c>
      <c r="BL8" s="516">
        <v>146439</v>
      </c>
      <c r="BM8" s="516">
        <v>28722</v>
      </c>
      <c r="BN8" s="516">
        <v>0</v>
      </c>
      <c r="BO8" s="516">
        <v>189534</v>
      </c>
      <c r="BP8" s="516">
        <v>111153</v>
      </c>
      <c r="BQ8" s="516">
        <v>126729</v>
      </c>
      <c r="BR8" s="516">
        <v>164145</v>
      </c>
      <c r="BS8" s="516">
        <v>0</v>
      </c>
      <c r="BT8" s="516">
        <v>598197</v>
      </c>
      <c r="BU8" s="516">
        <v>92639</v>
      </c>
      <c r="BV8" s="516">
        <v>76021</v>
      </c>
      <c r="BW8" s="516">
        <v>33895</v>
      </c>
      <c r="BX8" s="516">
        <v>56018</v>
      </c>
      <c r="BY8" s="516">
        <v>19797</v>
      </c>
      <c r="BZ8" s="516">
        <v>0</v>
      </c>
      <c r="CA8" s="516">
        <v>0</v>
      </c>
      <c r="CB8" s="516">
        <v>35194</v>
      </c>
    </row>
    <row r="9" spans="1:80" x14ac:dyDescent="0.25">
      <c r="A9" s="860"/>
      <c r="B9" s="846">
        <v>12</v>
      </c>
      <c r="C9" s="860" t="s">
        <v>718</v>
      </c>
      <c r="D9" s="860" t="s">
        <v>371</v>
      </c>
      <c r="E9" s="516"/>
      <c r="F9" s="516"/>
      <c r="G9" s="516"/>
      <c r="H9" s="516"/>
      <c r="I9" s="516"/>
      <c r="J9" s="516"/>
      <c r="K9" s="516"/>
      <c r="L9" s="516"/>
      <c r="M9" s="516"/>
      <c r="N9" s="516"/>
      <c r="O9" s="516"/>
      <c r="P9" s="516"/>
      <c r="Q9" s="516"/>
      <c r="R9" s="516"/>
      <c r="S9" s="516"/>
      <c r="T9" s="516"/>
      <c r="U9" s="516"/>
      <c r="V9" s="516"/>
      <c r="W9" s="516"/>
      <c r="X9" s="516"/>
      <c r="Y9" s="516"/>
      <c r="Z9" s="516"/>
      <c r="AA9" s="516"/>
      <c r="AB9" s="516"/>
      <c r="AC9" s="516"/>
      <c r="AD9" s="516"/>
      <c r="AE9" s="516"/>
      <c r="AF9" s="516"/>
      <c r="AG9" s="516"/>
      <c r="AH9" s="516"/>
      <c r="AI9" s="516"/>
      <c r="AJ9" s="516"/>
      <c r="AK9" s="516"/>
      <c r="AL9" s="516"/>
      <c r="AM9" s="516"/>
      <c r="AN9" s="516"/>
      <c r="AO9" s="516"/>
      <c r="AP9" s="516"/>
      <c r="AQ9" s="516"/>
      <c r="AR9" s="516"/>
      <c r="AS9" s="516"/>
      <c r="AT9" s="516"/>
      <c r="AU9" s="516"/>
      <c r="AV9" s="516"/>
      <c r="AW9" s="516"/>
      <c r="AX9" s="516"/>
      <c r="AY9" s="516"/>
      <c r="AZ9" s="516"/>
      <c r="BA9" s="516"/>
      <c r="BB9" s="516"/>
      <c r="BC9" s="516"/>
      <c r="BD9" s="516"/>
      <c r="BE9" s="516"/>
      <c r="BF9" s="516"/>
      <c r="BG9" s="516"/>
      <c r="BH9" s="516"/>
      <c r="BI9" s="516"/>
      <c r="BJ9" s="516"/>
      <c r="BK9" s="516"/>
      <c r="BL9" s="516"/>
      <c r="BM9" s="516"/>
      <c r="BN9" s="516"/>
      <c r="BO9" s="516"/>
      <c r="BP9" s="516"/>
      <c r="BQ9" s="516"/>
      <c r="BR9" s="516"/>
      <c r="BS9" s="516"/>
      <c r="BT9" s="516"/>
      <c r="BU9" s="516"/>
      <c r="BV9" s="516"/>
      <c r="BW9" s="516"/>
      <c r="BX9" s="516"/>
      <c r="BY9" s="516"/>
      <c r="BZ9" s="516"/>
      <c r="CA9" s="516"/>
      <c r="CB9" s="516"/>
    </row>
    <row r="10" spans="1:80" x14ac:dyDescent="0.25">
      <c r="A10" s="860"/>
      <c r="B10" s="846">
        <v>13</v>
      </c>
      <c r="C10" s="860" t="s">
        <v>719</v>
      </c>
      <c r="D10" s="860" t="s">
        <v>372</v>
      </c>
      <c r="E10" s="516"/>
      <c r="F10" s="516"/>
      <c r="G10" s="516"/>
      <c r="H10" s="516"/>
      <c r="I10" s="516"/>
      <c r="J10" s="516"/>
      <c r="K10" s="516"/>
      <c r="L10" s="516"/>
      <c r="M10" s="516"/>
      <c r="N10" s="516"/>
      <c r="O10" s="516"/>
      <c r="P10" s="516"/>
      <c r="Q10" s="516"/>
      <c r="R10" s="516"/>
      <c r="S10" s="516"/>
      <c r="T10" s="516"/>
      <c r="U10" s="516"/>
      <c r="V10" s="516"/>
      <c r="W10" s="516"/>
      <c r="X10" s="516"/>
      <c r="Y10" s="516"/>
      <c r="Z10" s="516"/>
      <c r="AA10" s="516"/>
      <c r="AB10" s="516"/>
      <c r="AC10" s="516"/>
      <c r="AD10" s="516"/>
      <c r="AE10" s="516"/>
      <c r="AF10" s="516"/>
      <c r="AG10" s="516"/>
      <c r="AH10" s="516"/>
      <c r="AI10" s="516"/>
      <c r="AJ10" s="516"/>
      <c r="AK10" s="516"/>
      <c r="AL10" s="516"/>
      <c r="AM10" s="516"/>
      <c r="AN10" s="516"/>
      <c r="AO10" s="516"/>
      <c r="AP10" s="516"/>
      <c r="AQ10" s="516"/>
      <c r="AR10" s="516"/>
      <c r="AS10" s="516"/>
      <c r="AT10" s="516"/>
      <c r="AU10" s="516"/>
      <c r="AV10" s="516"/>
      <c r="AW10" s="516"/>
      <c r="AX10" s="516"/>
      <c r="AY10" s="516"/>
      <c r="AZ10" s="516"/>
      <c r="BA10" s="516"/>
      <c r="BB10" s="516"/>
      <c r="BC10" s="516"/>
      <c r="BD10" s="516"/>
      <c r="BE10" s="516"/>
      <c r="BF10" s="516"/>
      <c r="BG10" s="516"/>
      <c r="BH10" s="516"/>
      <c r="BI10" s="516"/>
      <c r="BJ10" s="516"/>
      <c r="BK10" s="516"/>
      <c r="BL10" s="516"/>
      <c r="BM10" s="516"/>
      <c r="BN10" s="516"/>
      <c r="BO10" s="516"/>
      <c r="BP10" s="516"/>
      <c r="BQ10" s="516"/>
      <c r="BR10" s="516"/>
      <c r="BS10" s="516"/>
      <c r="BT10" s="516"/>
      <c r="BU10" s="516"/>
      <c r="BV10" s="516"/>
      <c r="BW10" s="516"/>
      <c r="BX10" s="516"/>
      <c r="BY10" s="516"/>
      <c r="BZ10" s="516"/>
      <c r="CA10" s="516"/>
      <c r="CB10" s="516"/>
    </row>
    <row r="11" spans="1:80" x14ac:dyDescent="0.25">
      <c r="A11" s="860"/>
      <c r="B11" s="846">
        <v>14</v>
      </c>
      <c r="C11" s="860" t="s">
        <v>373</v>
      </c>
      <c r="D11" s="860" t="s">
        <v>374</v>
      </c>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6"/>
      <c r="AG11" s="516"/>
      <c r="AH11" s="516"/>
      <c r="AI11" s="516"/>
      <c r="AJ11" s="516"/>
      <c r="AK11" s="516"/>
      <c r="AL11" s="516"/>
      <c r="AM11" s="516"/>
      <c r="AN11" s="516"/>
      <c r="AO11" s="516"/>
      <c r="AP11" s="516"/>
      <c r="AQ11" s="516"/>
      <c r="AR11" s="516"/>
      <c r="AS11" s="516"/>
      <c r="AT11" s="516"/>
      <c r="AU11" s="516"/>
      <c r="AV11" s="516"/>
      <c r="AW11" s="516"/>
      <c r="AX11" s="516"/>
      <c r="AY11" s="516"/>
      <c r="AZ11" s="516"/>
      <c r="BA11" s="516"/>
      <c r="BB11" s="516"/>
      <c r="BC11" s="516"/>
      <c r="BD11" s="516"/>
      <c r="BE11" s="516"/>
      <c r="BF11" s="516"/>
      <c r="BG11" s="516"/>
      <c r="BH11" s="516"/>
      <c r="BI11" s="516"/>
      <c r="BJ11" s="516"/>
      <c r="BK11" s="516"/>
      <c r="BL11" s="516"/>
      <c r="BM11" s="516"/>
      <c r="BN11" s="516"/>
      <c r="BO11" s="516"/>
      <c r="BP11" s="516"/>
      <c r="BQ11" s="516"/>
      <c r="BR11" s="516"/>
      <c r="BS11" s="516"/>
      <c r="BT11" s="516"/>
      <c r="BU11" s="516"/>
      <c r="BV11" s="516"/>
      <c r="BW11" s="516"/>
      <c r="BX11" s="516"/>
      <c r="BY11" s="516"/>
      <c r="BZ11" s="516"/>
      <c r="CA11" s="516"/>
      <c r="CB11" s="516"/>
    </row>
    <row r="12" spans="1:80" x14ac:dyDescent="0.25">
      <c r="A12" s="860">
        <v>16</v>
      </c>
      <c r="B12" s="846">
        <v>16</v>
      </c>
      <c r="C12" s="860" t="s">
        <v>273</v>
      </c>
      <c r="D12" s="860" t="s">
        <v>375</v>
      </c>
      <c r="E12" s="516">
        <v>1946297</v>
      </c>
      <c r="F12" s="516">
        <v>14210505</v>
      </c>
      <c r="G12" s="516">
        <v>0</v>
      </c>
      <c r="H12" s="516">
        <v>47021486</v>
      </c>
      <c r="I12" s="516">
        <v>4771476</v>
      </c>
      <c r="J12" s="516">
        <v>271790</v>
      </c>
      <c r="K12" s="516">
        <v>1368135</v>
      </c>
      <c r="L12" s="516">
        <v>2478992</v>
      </c>
      <c r="M12" s="516">
        <v>48489671</v>
      </c>
      <c r="N12" s="516">
        <v>100298</v>
      </c>
      <c r="O12" s="516">
        <v>869727</v>
      </c>
      <c r="P12" s="516">
        <v>1641285</v>
      </c>
      <c r="Q12" s="516">
        <v>32039236</v>
      </c>
      <c r="R12" s="516">
        <v>18847872</v>
      </c>
      <c r="S12" s="516">
        <v>6398081</v>
      </c>
      <c r="T12" s="516">
        <v>14808587</v>
      </c>
      <c r="U12" s="516">
        <v>0</v>
      </c>
      <c r="V12" s="516">
        <v>19825628</v>
      </c>
      <c r="W12" s="516">
        <v>29030</v>
      </c>
      <c r="X12" s="516">
        <v>10594870</v>
      </c>
      <c r="Y12" s="516">
        <v>14970712</v>
      </c>
      <c r="Z12" s="516">
        <v>6300380</v>
      </c>
      <c r="AA12" s="516">
        <v>1937658</v>
      </c>
      <c r="AB12" s="516">
        <v>5634976</v>
      </c>
      <c r="AC12" s="516">
        <v>1272140</v>
      </c>
      <c r="AD12" s="516">
        <v>403033</v>
      </c>
      <c r="AE12" s="516">
        <v>1605037</v>
      </c>
      <c r="AF12" s="516">
        <v>3360207</v>
      </c>
      <c r="AG12" s="516">
        <v>151808</v>
      </c>
      <c r="AH12" s="516">
        <v>48997</v>
      </c>
      <c r="AI12" s="516">
        <v>103612</v>
      </c>
      <c r="AJ12" s="516">
        <v>2722245</v>
      </c>
      <c r="AK12" s="516">
        <v>7227688</v>
      </c>
      <c r="AL12" s="516">
        <v>327697</v>
      </c>
      <c r="AM12" s="516">
        <v>28174</v>
      </c>
      <c r="AN12" s="516">
        <v>19703610</v>
      </c>
      <c r="AO12" s="516">
        <v>18370034</v>
      </c>
      <c r="AP12" s="516">
        <v>490301</v>
      </c>
      <c r="AQ12" s="516">
        <v>4738137</v>
      </c>
      <c r="AR12" s="516">
        <v>21380084</v>
      </c>
      <c r="AS12" s="516">
        <v>2767419</v>
      </c>
      <c r="AT12" s="516">
        <v>664491</v>
      </c>
      <c r="AU12" s="516">
        <v>4587021</v>
      </c>
      <c r="AV12" s="516">
        <v>11162766</v>
      </c>
      <c r="AW12" s="516">
        <v>88359</v>
      </c>
      <c r="AX12" s="516">
        <v>513640</v>
      </c>
      <c r="AY12" s="516">
        <v>3294919</v>
      </c>
      <c r="AZ12" s="516">
        <v>3906844</v>
      </c>
      <c r="BA12" s="516">
        <v>3328553</v>
      </c>
      <c r="BB12" s="516">
        <v>88635</v>
      </c>
      <c r="BC12" s="516">
        <v>0</v>
      </c>
      <c r="BD12" s="516">
        <v>0</v>
      </c>
      <c r="BE12" s="516">
        <v>89127</v>
      </c>
      <c r="BF12" s="516">
        <v>0</v>
      </c>
      <c r="BG12" s="516">
        <v>297939</v>
      </c>
      <c r="BH12" s="516">
        <v>68220</v>
      </c>
      <c r="BI12" s="516">
        <v>3071011</v>
      </c>
      <c r="BJ12" s="516">
        <v>2754816</v>
      </c>
      <c r="BK12" s="516">
        <v>0</v>
      </c>
      <c r="BL12" s="516">
        <v>8709337</v>
      </c>
      <c r="BM12" s="516">
        <v>4518411</v>
      </c>
      <c r="BN12" s="516">
        <v>48783</v>
      </c>
      <c r="BO12" s="516">
        <v>6567808</v>
      </c>
      <c r="BP12" s="516">
        <v>2056622</v>
      </c>
      <c r="BQ12" s="516">
        <v>931969</v>
      </c>
      <c r="BR12" s="516">
        <v>1911552</v>
      </c>
      <c r="BS12" s="516">
        <v>1336578</v>
      </c>
      <c r="BT12" s="516">
        <v>22332395</v>
      </c>
      <c r="BU12" s="516">
        <v>2554974</v>
      </c>
      <c r="BV12" s="516">
        <v>2840620</v>
      </c>
      <c r="BW12" s="516">
        <v>1951065</v>
      </c>
      <c r="BX12" s="516">
        <v>940019</v>
      </c>
      <c r="BY12" s="516">
        <v>38927</v>
      </c>
      <c r="BZ12" s="516">
        <v>47816</v>
      </c>
      <c r="CA12" s="516">
        <v>18130259</v>
      </c>
      <c r="CB12" s="516">
        <v>123864</v>
      </c>
    </row>
    <row r="13" spans="1:80" x14ac:dyDescent="0.25">
      <c r="A13" s="860">
        <v>17</v>
      </c>
      <c r="B13" s="846">
        <v>17</v>
      </c>
      <c r="C13" s="860" t="s">
        <v>276</v>
      </c>
      <c r="D13" s="860" t="s">
        <v>376</v>
      </c>
      <c r="E13" s="516">
        <v>0</v>
      </c>
      <c r="F13" s="516">
        <v>1474771</v>
      </c>
      <c r="G13" s="516">
        <v>0</v>
      </c>
      <c r="H13" s="516">
        <v>426044</v>
      </c>
      <c r="I13" s="516">
        <v>0</v>
      </c>
      <c r="J13" s="516">
        <v>0</v>
      </c>
      <c r="K13" s="516">
        <v>0</v>
      </c>
      <c r="L13" s="516">
        <v>0</v>
      </c>
      <c r="M13" s="516">
        <v>0</v>
      </c>
      <c r="N13" s="516">
        <v>0</v>
      </c>
      <c r="O13" s="516">
        <v>0</v>
      </c>
      <c r="P13" s="516">
        <v>0</v>
      </c>
      <c r="Q13" s="516">
        <v>1079175</v>
      </c>
      <c r="R13" s="516">
        <v>0</v>
      </c>
      <c r="S13" s="516">
        <v>0</v>
      </c>
      <c r="T13" s="516">
        <v>2424757</v>
      </c>
      <c r="U13" s="516">
        <v>0</v>
      </c>
      <c r="V13" s="516">
        <v>0</v>
      </c>
      <c r="W13" s="516">
        <v>0</v>
      </c>
      <c r="X13" s="516">
        <v>0</v>
      </c>
      <c r="Y13" s="516">
        <v>240000</v>
      </c>
      <c r="Z13" s="516">
        <v>948</v>
      </c>
      <c r="AA13" s="516">
        <v>120000</v>
      </c>
      <c r="AB13" s="516">
        <v>338000</v>
      </c>
      <c r="AC13" s="516">
        <v>0</v>
      </c>
      <c r="AD13" s="516">
        <v>0</v>
      </c>
      <c r="AE13" s="516">
        <v>0</v>
      </c>
      <c r="AF13" s="516">
        <v>131260</v>
      </c>
      <c r="AG13" s="516">
        <v>0</v>
      </c>
      <c r="AH13" s="516">
        <v>0</v>
      </c>
      <c r="AI13" s="516">
        <v>0</v>
      </c>
      <c r="AJ13" s="516">
        <v>0</v>
      </c>
      <c r="AK13" s="516">
        <v>63332</v>
      </c>
      <c r="AL13" s="516">
        <v>0</v>
      </c>
      <c r="AM13" s="516">
        <v>0</v>
      </c>
      <c r="AN13" s="516">
        <v>925911</v>
      </c>
      <c r="AO13" s="516">
        <v>0</v>
      </c>
      <c r="AP13" s="516">
        <v>0</v>
      </c>
      <c r="AQ13" s="516">
        <v>95000</v>
      </c>
      <c r="AR13" s="516">
        <v>2891680</v>
      </c>
      <c r="AS13" s="516">
        <v>55585</v>
      </c>
      <c r="AT13" s="516">
        <v>0</v>
      </c>
      <c r="AU13" s="516">
        <v>0</v>
      </c>
      <c r="AV13" s="516">
        <v>405071</v>
      </c>
      <c r="AW13" s="516">
        <v>0</v>
      </c>
      <c r="AX13" s="516">
        <v>0</v>
      </c>
      <c r="AY13" s="516">
        <v>0</v>
      </c>
      <c r="AZ13" s="516">
        <v>0</v>
      </c>
      <c r="BA13" s="516">
        <v>552385</v>
      </c>
      <c r="BB13" s="516">
        <v>0</v>
      </c>
      <c r="BC13" s="516">
        <v>0</v>
      </c>
      <c r="BD13" s="516">
        <v>0</v>
      </c>
      <c r="BE13" s="516">
        <v>0</v>
      </c>
      <c r="BF13" s="516">
        <v>0</v>
      </c>
      <c r="BG13" s="516">
        <v>0</v>
      </c>
      <c r="BH13" s="516">
        <v>0</v>
      </c>
      <c r="BI13" s="516">
        <v>32</v>
      </c>
      <c r="BJ13" s="516">
        <v>0</v>
      </c>
      <c r="BK13" s="516">
        <v>0</v>
      </c>
      <c r="BL13" s="516">
        <v>150000</v>
      </c>
      <c r="BM13" s="516">
        <v>0</v>
      </c>
      <c r="BN13" s="516">
        <v>0</v>
      </c>
      <c r="BO13" s="516">
        <v>173000</v>
      </c>
      <c r="BP13" s="516">
        <v>0</v>
      </c>
      <c r="BQ13" s="516">
        <v>0</v>
      </c>
      <c r="BR13" s="516">
        <v>0</v>
      </c>
      <c r="BS13" s="516">
        <v>99914</v>
      </c>
      <c r="BT13" s="516">
        <v>778958</v>
      </c>
      <c r="BU13" s="516">
        <v>1780</v>
      </c>
      <c r="BV13" s="516">
        <v>0</v>
      </c>
      <c r="BW13" s="516">
        <v>0</v>
      </c>
      <c r="BX13" s="516">
        <v>0</v>
      </c>
      <c r="BY13" s="516">
        <v>0</v>
      </c>
      <c r="BZ13" s="516">
        <v>0</v>
      </c>
      <c r="CA13" s="516">
        <v>0</v>
      </c>
      <c r="CB13" s="516">
        <v>0</v>
      </c>
    </row>
    <row r="14" spans="1:80" x14ac:dyDescent="0.25">
      <c r="A14" s="860"/>
      <c r="B14" s="846">
        <v>19</v>
      </c>
      <c r="C14" s="860" t="s">
        <v>720</v>
      </c>
      <c r="D14" s="860" t="s">
        <v>377</v>
      </c>
      <c r="E14" s="516"/>
      <c r="F14" s="516"/>
      <c r="G14" s="516"/>
      <c r="H14" s="516"/>
      <c r="I14" s="516"/>
      <c r="J14" s="516"/>
      <c r="K14" s="516"/>
      <c r="L14" s="516"/>
      <c r="M14" s="516"/>
      <c r="N14" s="516"/>
      <c r="O14" s="516"/>
      <c r="P14" s="516"/>
      <c r="Q14" s="516"/>
      <c r="R14" s="516"/>
      <c r="S14" s="516"/>
      <c r="T14" s="516"/>
      <c r="U14" s="516"/>
      <c r="V14" s="516"/>
      <c r="W14" s="516"/>
      <c r="X14" s="516"/>
      <c r="Y14" s="516"/>
      <c r="Z14" s="516"/>
      <c r="AA14" s="516"/>
      <c r="AB14" s="516"/>
      <c r="AC14" s="516"/>
      <c r="AD14" s="516"/>
      <c r="AE14" s="516"/>
      <c r="AF14" s="516"/>
      <c r="AG14" s="516"/>
      <c r="AH14" s="516"/>
      <c r="AI14" s="516"/>
      <c r="AJ14" s="516"/>
      <c r="AK14" s="516"/>
      <c r="AL14" s="516"/>
      <c r="AM14" s="516"/>
      <c r="AN14" s="516"/>
      <c r="AO14" s="516"/>
      <c r="AP14" s="516"/>
      <c r="AQ14" s="516"/>
      <c r="AR14" s="516"/>
      <c r="AS14" s="516"/>
      <c r="AT14" s="516"/>
      <c r="AU14" s="516"/>
      <c r="AV14" s="516"/>
      <c r="AW14" s="516"/>
      <c r="AX14" s="516"/>
      <c r="AY14" s="516"/>
      <c r="AZ14" s="516"/>
      <c r="BA14" s="516"/>
      <c r="BB14" s="516"/>
      <c r="BC14" s="516"/>
      <c r="BD14" s="516"/>
      <c r="BE14" s="516"/>
      <c r="BF14" s="516"/>
      <c r="BG14" s="516"/>
      <c r="BH14" s="516"/>
      <c r="BI14" s="516"/>
      <c r="BJ14" s="516"/>
      <c r="BK14" s="516"/>
      <c r="BL14" s="516"/>
      <c r="BM14" s="516"/>
      <c r="BN14" s="516"/>
      <c r="BO14" s="516"/>
      <c r="BP14" s="516"/>
      <c r="BQ14" s="516"/>
      <c r="BR14" s="516"/>
      <c r="BS14" s="516"/>
      <c r="BT14" s="516"/>
      <c r="BU14" s="516"/>
      <c r="BV14" s="516"/>
      <c r="BW14" s="516"/>
      <c r="BX14" s="516"/>
      <c r="BY14" s="516"/>
      <c r="BZ14" s="516"/>
      <c r="CA14" s="516"/>
      <c r="CB14" s="516"/>
    </row>
    <row r="15" spans="1:80" x14ac:dyDescent="0.25">
      <c r="A15" s="860">
        <v>20</v>
      </c>
      <c r="B15" s="846">
        <v>20</v>
      </c>
      <c r="C15" s="860" t="s">
        <v>277</v>
      </c>
      <c r="D15" s="860" t="s">
        <v>378</v>
      </c>
      <c r="E15" s="516">
        <v>0</v>
      </c>
      <c r="F15" s="516">
        <v>2309972</v>
      </c>
      <c r="G15" s="516">
        <v>0</v>
      </c>
      <c r="H15" s="516">
        <v>5132346</v>
      </c>
      <c r="I15" s="516">
        <v>60000</v>
      </c>
      <c r="J15" s="516">
        <v>0</v>
      </c>
      <c r="K15" s="516">
        <v>249595</v>
      </c>
      <c r="L15" s="516">
        <v>0</v>
      </c>
      <c r="M15" s="516">
        <v>5105900</v>
      </c>
      <c r="N15" s="516">
        <v>0</v>
      </c>
      <c r="O15" s="516">
        <v>0</v>
      </c>
      <c r="P15" s="516">
        <v>0</v>
      </c>
      <c r="Q15" s="516">
        <v>1935703</v>
      </c>
      <c r="R15" s="516">
        <v>0</v>
      </c>
      <c r="S15" s="516">
        <v>0</v>
      </c>
      <c r="T15" s="516">
        <v>5000</v>
      </c>
      <c r="U15" s="516">
        <v>0</v>
      </c>
      <c r="V15" s="516">
        <v>2301080</v>
      </c>
      <c r="W15" s="516">
        <v>0</v>
      </c>
      <c r="X15" s="516">
        <v>0</v>
      </c>
      <c r="Y15" s="516">
        <v>717715</v>
      </c>
      <c r="Z15" s="516">
        <v>0</v>
      </c>
      <c r="AA15" s="516">
        <v>88932</v>
      </c>
      <c r="AB15" s="516">
        <v>336810</v>
      </c>
      <c r="AC15" s="516">
        <v>0</v>
      </c>
      <c r="AD15" s="516">
        <v>0</v>
      </c>
      <c r="AE15" s="516">
        <v>0</v>
      </c>
      <c r="AF15" s="516">
        <v>0</v>
      </c>
      <c r="AG15" s="516">
        <v>0</v>
      </c>
      <c r="AH15" s="516">
        <v>0</v>
      </c>
      <c r="AI15" s="516">
        <v>0</v>
      </c>
      <c r="AJ15" s="516">
        <v>0</v>
      </c>
      <c r="AK15" s="516">
        <v>20000</v>
      </c>
      <c r="AL15" s="516">
        <v>0</v>
      </c>
      <c r="AM15" s="516">
        <v>0</v>
      </c>
      <c r="AN15" s="516">
        <v>1358271</v>
      </c>
      <c r="AO15" s="516">
        <v>60000</v>
      </c>
      <c r="AP15" s="516">
        <v>0</v>
      </c>
      <c r="AQ15" s="516">
        <v>659000</v>
      </c>
      <c r="AR15" s="516">
        <v>575192</v>
      </c>
      <c r="AS15" s="516">
        <v>0</v>
      </c>
      <c r="AT15" s="516">
        <v>0</v>
      </c>
      <c r="AU15" s="516">
        <v>0</v>
      </c>
      <c r="AV15" s="516">
        <v>0</v>
      </c>
      <c r="AW15" s="516">
        <v>0</v>
      </c>
      <c r="AX15" s="516">
        <v>0</v>
      </c>
      <c r="AY15" s="516">
        <v>7167</v>
      </c>
      <c r="AZ15" s="516">
        <v>0</v>
      </c>
      <c r="BA15" s="516">
        <v>192933</v>
      </c>
      <c r="BB15" s="516">
        <v>0</v>
      </c>
      <c r="BC15" s="516">
        <v>0</v>
      </c>
      <c r="BD15" s="516">
        <v>0</v>
      </c>
      <c r="BE15" s="516">
        <v>0</v>
      </c>
      <c r="BF15" s="516">
        <v>0</v>
      </c>
      <c r="BG15" s="516">
        <v>0</v>
      </c>
      <c r="BH15" s="516">
        <v>0</v>
      </c>
      <c r="BI15" s="516">
        <v>0</v>
      </c>
      <c r="BJ15" s="516">
        <v>0</v>
      </c>
      <c r="BK15" s="516">
        <v>0</v>
      </c>
      <c r="BL15" s="516">
        <v>0</v>
      </c>
      <c r="BM15" s="516">
        <v>40000</v>
      </c>
      <c r="BN15" s="516">
        <v>0</v>
      </c>
      <c r="BO15" s="516">
        <v>65618</v>
      </c>
      <c r="BP15" s="516">
        <v>0</v>
      </c>
      <c r="BQ15" s="516">
        <v>0</v>
      </c>
      <c r="BR15" s="516">
        <v>0</v>
      </c>
      <c r="BS15" s="516">
        <v>317850</v>
      </c>
      <c r="BT15" s="516">
        <v>243621</v>
      </c>
      <c r="BU15" s="516">
        <v>0</v>
      </c>
      <c r="BV15" s="516">
        <v>27560</v>
      </c>
      <c r="BW15" s="516">
        <v>0</v>
      </c>
      <c r="BX15" s="516">
        <v>12149</v>
      </c>
      <c r="BY15" s="516">
        <v>0</v>
      </c>
      <c r="BZ15" s="516">
        <v>0</v>
      </c>
      <c r="CA15" s="516">
        <v>1500000</v>
      </c>
      <c r="CB15" s="516">
        <v>0</v>
      </c>
    </row>
    <row r="16" spans="1:80" x14ac:dyDescent="0.25">
      <c r="A16" s="860"/>
      <c r="B16" s="846">
        <v>21</v>
      </c>
      <c r="C16" s="860" t="s">
        <v>721</v>
      </c>
      <c r="D16" s="860" t="s">
        <v>379</v>
      </c>
      <c r="E16" s="516"/>
      <c r="F16" s="516"/>
      <c r="G16" s="516"/>
      <c r="H16" s="516"/>
      <c r="I16" s="516"/>
      <c r="J16" s="516"/>
      <c r="K16" s="516"/>
      <c r="L16" s="516"/>
      <c r="M16" s="516"/>
      <c r="N16" s="516"/>
      <c r="O16" s="516"/>
      <c r="P16" s="516"/>
      <c r="Q16" s="516"/>
      <c r="R16" s="516"/>
      <c r="S16" s="516"/>
      <c r="T16" s="516"/>
      <c r="U16" s="516"/>
      <c r="V16" s="516"/>
      <c r="W16" s="516"/>
      <c r="X16" s="516"/>
      <c r="Y16" s="516"/>
      <c r="Z16" s="516"/>
      <c r="AA16" s="516"/>
      <c r="AB16" s="516"/>
      <c r="AC16" s="516"/>
      <c r="AD16" s="516"/>
      <c r="AE16" s="516"/>
      <c r="AF16" s="516"/>
      <c r="AG16" s="516"/>
      <c r="AH16" s="516"/>
      <c r="AI16" s="516"/>
      <c r="AJ16" s="516"/>
      <c r="AK16" s="516"/>
      <c r="AL16" s="516"/>
      <c r="AM16" s="516"/>
      <c r="AN16" s="516"/>
      <c r="AO16" s="516"/>
      <c r="AP16" s="516"/>
      <c r="AQ16" s="516"/>
      <c r="AR16" s="516"/>
      <c r="AS16" s="516"/>
      <c r="AT16" s="516"/>
      <c r="AU16" s="516"/>
      <c r="AV16" s="516"/>
      <c r="AW16" s="516"/>
      <c r="AX16" s="516"/>
      <c r="AY16" s="516"/>
      <c r="AZ16" s="516"/>
      <c r="BA16" s="516"/>
      <c r="BB16" s="516"/>
      <c r="BC16" s="516"/>
      <c r="BD16" s="516"/>
      <c r="BE16" s="516"/>
      <c r="BF16" s="516"/>
      <c r="BG16" s="516"/>
      <c r="BH16" s="516"/>
      <c r="BI16" s="516"/>
      <c r="BJ16" s="516"/>
      <c r="BK16" s="516"/>
      <c r="BL16" s="516"/>
      <c r="BM16" s="516"/>
      <c r="BN16" s="516"/>
      <c r="BO16" s="516"/>
      <c r="BP16" s="516"/>
      <c r="BQ16" s="516"/>
      <c r="BR16" s="516"/>
      <c r="BS16" s="516"/>
      <c r="BT16" s="516"/>
      <c r="BU16" s="516"/>
      <c r="BV16" s="516"/>
      <c r="BW16" s="516"/>
      <c r="BX16" s="516"/>
      <c r="BY16" s="516"/>
      <c r="BZ16" s="516"/>
      <c r="CA16" s="516"/>
      <c r="CB16" s="516"/>
    </row>
    <row r="17" spans="1:80" x14ac:dyDescent="0.25">
      <c r="A17" s="860">
        <v>22</v>
      </c>
      <c r="B17" s="846">
        <v>22</v>
      </c>
      <c r="C17" s="860" t="s">
        <v>279</v>
      </c>
      <c r="D17" s="860" t="s">
        <v>380</v>
      </c>
      <c r="E17" s="516">
        <v>53853</v>
      </c>
      <c r="F17" s="516">
        <v>0</v>
      </c>
      <c r="G17" s="516">
        <v>0</v>
      </c>
      <c r="H17" s="516">
        <v>220066</v>
      </c>
      <c r="I17" s="516">
        <v>35148</v>
      </c>
      <c r="J17" s="516">
        <v>0</v>
      </c>
      <c r="K17" s="516">
        <v>0</v>
      </c>
      <c r="L17" s="516">
        <v>30000</v>
      </c>
      <c r="M17" s="516">
        <v>0</v>
      </c>
      <c r="N17" s="516">
        <v>0</v>
      </c>
      <c r="O17" s="516">
        <v>29449</v>
      </c>
      <c r="P17" s="516">
        <v>0</v>
      </c>
      <c r="Q17" s="516">
        <v>8231</v>
      </c>
      <c r="R17" s="516">
        <v>45307</v>
      </c>
      <c r="S17" s="516">
        <v>65017</v>
      </c>
      <c r="T17" s="516">
        <v>0</v>
      </c>
      <c r="U17" s="516">
        <v>0</v>
      </c>
      <c r="V17" s="516">
        <v>0</v>
      </c>
      <c r="W17" s="516">
        <v>0</v>
      </c>
      <c r="X17" s="516">
        <v>0</v>
      </c>
      <c r="Y17" s="516">
        <v>40954</v>
      </c>
      <c r="Z17" s="516">
        <v>0</v>
      </c>
      <c r="AA17" s="516">
        <v>0</v>
      </c>
      <c r="AB17" s="516">
        <v>0</v>
      </c>
      <c r="AC17" s="516">
        <v>0</v>
      </c>
      <c r="AD17" s="516">
        <v>0</v>
      </c>
      <c r="AE17" s="516">
        <v>0</v>
      </c>
      <c r="AF17" s="516">
        <v>252000</v>
      </c>
      <c r="AG17" s="516">
        <v>0</v>
      </c>
      <c r="AH17" s="516">
        <v>0</v>
      </c>
      <c r="AI17" s="516">
        <v>0</v>
      </c>
      <c r="AJ17" s="516">
        <v>2336</v>
      </c>
      <c r="AK17" s="516">
        <v>0</v>
      </c>
      <c r="AL17" s="516">
        <v>0</v>
      </c>
      <c r="AM17" s="516">
        <v>0</v>
      </c>
      <c r="AN17" s="516">
        <v>0</v>
      </c>
      <c r="AO17" s="516">
        <v>0</v>
      </c>
      <c r="AP17" s="516">
        <v>0</v>
      </c>
      <c r="AQ17" s="516">
        <v>0</v>
      </c>
      <c r="AR17" s="516">
        <v>825</v>
      </c>
      <c r="AS17" s="516">
        <v>236</v>
      </c>
      <c r="AT17" s="516">
        <v>4549</v>
      </c>
      <c r="AU17" s="516">
        <v>10368</v>
      </c>
      <c r="AV17" s="516">
        <v>15000</v>
      </c>
      <c r="AW17" s="516">
        <v>205801</v>
      </c>
      <c r="AX17" s="516">
        <v>0</v>
      </c>
      <c r="AY17" s="516">
        <v>0</v>
      </c>
      <c r="AZ17" s="516">
        <v>0</v>
      </c>
      <c r="BA17" s="516">
        <v>12035</v>
      </c>
      <c r="BB17" s="516">
        <v>0</v>
      </c>
      <c r="BC17" s="516">
        <v>0</v>
      </c>
      <c r="BD17" s="516">
        <v>0</v>
      </c>
      <c r="BE17" s="516">
        <v>0</v>
      </c>
      <c r="BF17" s="516">
        <v>0</v>
      </c>
      <c r="BG17" s="516">
        <v>178200</v>
      </c>
      <c r="BH17" s="516">
        <v>0</v>
      </c>
      <c r="BI17" s="516">
        <v>0</v>
      </c>
      <c r="BJ17" s="516">
        <v>0</v>
      </c>
      <c r="BK17" s="516">
        <v>0</v>
      </c>
      <c r="BL17" s="516">
        <v>536973</v>
      </c>
      <c r="BM17" s="516">
        <v>0</v>
      </c>
      <c r="BN17" s="516">
        <v>0</v>
      </c>
      <c r="BO17" s="516">
        <v>228317</v>
      </c>
      <c r="BP17" s="516">
        <v>0</v>
      </c>
      <c r="BQ17" s="516">
        <v>0</v>
      </c>
      <c r="BR17" s="516">
        <v>0</v>
      </c>
      <c r="BS17" s="516">
        <v>0</v>
      </c>
      <c r="BT17" s="516">
        <v>56046</v>
      </c>
      <c r="BU17" s="516">
        <v>0</v>
      </c>
      <c r="BV17" s="516">
        <v>0</v>
      </c>
      <c r="BW17" s="516">
        <v>39631</v>
      </c>
      <c r="BX17" s="516">
        <v>0</v>
      </c>
      <c r="BY17" s="516">
        <v>0</v>
      </c>
      <c r="BZ17" s="516">
        <v>0</v>
      </c>
      <c r="CA17" s="516">
        <v>0</v>
      </c>
      <c r="CB17" s="516">
        <v>0</v>
      </c>
    </row>
    <row r="18" spans="1:80" x14ac:dyDescent="0.25">
      <c r="A18" s="860">
        <v>23</v>
      </c>
      <c r="B18" s="846">
        <v>23</v>
      </c>
      <c r="C18" s="860" t="s">
        <v>282</v>
      </c>
      <c r="D18" s="860" t="s">
        <v>381</v>
      </c>
      <c r="E18" s="516">
        <v>-70891</v>
      </c>
      <c r="F18" s="516">
        <v>1551623</v>
      </c>
      <c r="G18" s="516">
        <v>0</v>
      </c>
      <c r="H18" s="516">
        <v>3634010</v>
      </c>
      <c r="I18" s="516">
        <v>676789</v>
      </c>
      <c r="J18" s="516">
        <v>22698</v>
      </c>
      <c r="K18" s="516">
        <v>45016</v>
      </c>
      <c r="L18" s="516">
        <v>42003</v>
      </c>
      <c r="M18" s="516">
        <v>3622843</v>
      </c>
      <c r="N18" s="516">
        <v>12265</v>
      </c>
      <c r="O18" s="516">
        <v>33272</v>
      </c>
      <c r="P18" s="516">
        <v>134603</v>
      </c>
      <c r="Q18" s="516">
        <v>2417707</v>
      </c>
      <c r="R18" s="516">
        <v>1035222</v>
      </c>
      <c r="S18" s="516">
        <v>-327455</v>
      </c>
      <c r="T18" s="516">
        <v>2120444</v>
      </c>
      <c r="U18" s="516">
        <v>0</v>
      </c>
      <c r="V18" s="516">
        <v>-3355431</v>
      </c>
      <c r="W18" s="516">
        <v>3595</v>
      </c>
      <c r="X18" s="516">
        <v>1462783</v>
      </c>
      <c r="Y18" s="516">
        <v>-386979</v>
      </c>
      <c r="Z18" s="516">
        <v>361064</v>
      </c>
      <c r="AA18" s="516">
        <v>459338</v>
      </c>
      <c r="AB18" s="516">
        <v>596353</v>
      </c>
      <c r="AC18" s="516">
        <v>-46505</v>
      </c>
      <c r="AD18" s="516">
        <v>76710</v>
      </c>
      <c r="AE18" s="516">
        <v>230478</v>
      </c>
      <c r="AF18" s="516">
        <v>305797</v>
      </c>
      <c r="AG18" s="516">
        <v>23729</v>
      </c>
      <c r="AH18" s="516">
        <v>11018</v>
      </c>
      <c r="AI18" s="516">
        <v>9691</v>
      </c>
      <c r="AJ18" s="516">
        <v>611</v>
      </c>
      <c r="AK18" s="516">
        <v>-760488</v>
      </c>
      <c r="AL18" s="516">
        <v>-36671</v>
      </c>
      <c r="AM18" s="516">
        <v>4935</v>
      </c>
      <c r="AN18" s="516">
        <v>-813375</v>
      </c>
      <c r="AO18" s="516">
        <v>995347</v>
      </c>
      <c r="AP18" s="516">
        <v>53737</v>
      </c>
      <c r="AQ18" s="516">
        <v>287948</v>
      </c>
      <c r="AR18" s="516">
        <v>1999188</v>
      </c>
      <c r="AS18" s="516">
        <v>219136</v>
      </c>
      <c r="AT18" s="516">
        <v>42361</v>
      </c>
      <c r="AU18" s="516">
        <v>-1547699</v>
      </c>
      <c r="AV18" s="516">
        <v>408154</v>
      </c>
      <c r="AW18" s="516">
        <v>-9947</v>
      </c>
      <c r="AX18" s="516">
        <v>-51539</v>
      </c>
      <c r="AY18" s="516">
        <v>450177</v>
      </c>
      <c r="AZ18" s="516">
        <v>443065</v>
      </c>
      <c r="BA18" s="516">
        <v>-32277</v>
      </c>
      <c r="BB18" s="516">
        <v>-23222</v>
      </c>
      <c r="BC18" s="516">
        <v>0</v>
      </c>
      <c r="BD18" s="516">
        <v>0</v>
      </c>
      <c r="BE18" s="516">
        <v>13418</v>
      </c>
      <c r="BF18" s="516">
        <v>0</v>
      </c>
      <c r="BG18" s="516">
        <v>89396</v>
      </c>
      <c r="BH18" s="516">
        <v>13055</v>
      </c>
      <c r="BI18" s="516">
        <v>84127</v>
      </c>
      <c r="BJ18" s="516">
        <v>291791</v>
      </c>
      <c r="BK18" s="516">
        <v>0</v>
      </c>
      <c r="BL18" s="516">
        <v>-5606</v>
      </c>
      <c r="BM18" s="516">
        <v>441980</v>
      </c>
      <c r="BN18" s="516">
        <v>7290</v>
      </c>
      <c r="BO18" s="516">
        <v>149877</v>
      </c>
      <c r="BP18" s="516">
        <v>193398</v>
      </c>
      <c r="BQ18" s="516">
        <v>16312</v>
      </c>
      <c r="BR18" s="516">
        <v>88220</v>
      </c>
      <c r="BS18" s="516">
        <v>166210</v>
      </c>
      <c r="BT18" s="516">
        <v>403712</v>
      </c>
      <c r="BU18" s="516">
        <v>751941</v>
      </c>
      <c r="BV18" s="516">
        <v>100546</v>
      </c>
      <c r="BW18" s="516">
        <v>858759</v>
      </c>
      <c r="BX18" s="516">
        <v>-119185</v>
      </c>
      <c r="BY18" s="516">
        <v>11923</v>
      </c>
      <c r="BZ18" s="516">
        <v>3552</v>
      </c>
      <c r="CA18" s="516">
        <v>1194284</v>
      </c>
      <c r="CB18" s="516">
        <v>58498</v>
      </c>
    </row>
    <row r="19" spans="1:80" x14ac:dyDescent="0.25">
      <c r="A19" s="860"/>
      <c r="B19" s="846">
        <v>31</v>
      </c>
      <c r="C19" s="860" t="s">
        <v>722</v>
      </c>
      <c r="D19" s="860" t="s">
        <v>382</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516"/>
      <c r="BW19" s="516"/>
      <c r="BX19" s="516"/>
      <c r="BY19" s="516"/>
      <c r="BZ19" s="516"/>
      <c r="CA19" s="516"/>
      <c r="CB19" s="516"/>
    </row>
    <row r="20" spans="1:80" x14ac:dyDescent="0.25">
      <c r="A20" s="860"/>
      <c r="B20" s="846">
        <v>32</v>
      </c>
      <c r="C20" s="860" t="s">
        <v>383</v>
      </c>
      <c r="D20" s="860" t="s">
        <v>384</v>
      </c>
      <c r="E20" s="516"/>
      <c r="F20" s="516"/>
      <c r="G20" s="516"/>
      <c r="H20" s="516"/>
      <c r="I20" s="516"/>
      <c r="J20" s="516"/>
      <c r="K20" s="516"/>
      <c r="L20" s="516"/>
      <c r="M20" s="516"/>
      <c r="N20" s="516"/>
      <c r="O20" s="516"/>
      <c r="P20" s="516"/>
      <c r="Q20" s="516"/>
      <c r="R20" s="516"/>
      <c r="S20" s="516"/>
      <c r="T20" s="516"/>
      <c r="U20" s="516"/>
      <c r="V20" s="516"/>
      <c r="W20" s="516"/>
      <c r="X20" s="516"/>
      <c r="Y20" s="516"/>
      <c r="Z20" s="516"/>
      <c r="AA20" s="516"/>
      <c r="AB20" s="516"/>
      <c r="AC20" s="516"/>
      <c r="AD20" s="516"/>
      <c r="AE20" s="516"/>
      <c r="AF20" s="516"/>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16"/>
      <c r="BN20" s="516"/>
      <c r="BO20" s="516"/>
      <c r="BP20" s="516"/>
      <c r="BQ20" s="516"/>
      <c r="BR20" s="516"/>
      <c r="BS20" s="516"/>
      <c r="BT20" s="516"/>
      <c r="BU20" s="516"/>
      <c r="BV20" s="516"/>
      <c r="BW20" s="516"/>
      <c r="BX20" s="516"/>
      <c r="BY20" s="516"/>
      <c r="BZ20" s="516"/>
      <c r="CA20" s="516"/>
      <c r="CB20" s="516"/>
    </row>
    <row r="21" spans="1:80" x14ac:dyDescent="0.25">
      <c r="A21" s="860"/>
      <c r="B21" s="846">
        <v>33</v>
      </c>
      <c r="C21" s="860" t="s">
        <v>385</v>
      </c>
      <c r="D21" s="860" t="s">
        <v>386</v>
      </c>
      <c r="E21" s="516"/>
      <c r="F21" s="516"/>
      <c r="G21" s="516"/>
      <c r="H21" s="516"/>
      <c r="I21" s="516"/>
      <c r="J21" s="516"/>
      <c r="K21" s="516"/>
      <c r="L21" s="516"/>
      <c r="M21" s="516"/>
      <c r="N21" s="516"/>
      <c r="O21" s="516"/>
      <c r="P21" s="516"/>
      <c r="Q21" s="516"/>
      <c r="R21" s="516"/>
      <c r="S21" s="516"/>
      <c r="T21" s="516"/>
      <c r="U21" s="516"/>
      <c r="V21" s="516"/>
      <c r="W21" s="516"/>
      <c r="X21" s="516"/>
      <c r="Y21" s="516"/>
      <c r="Z21" s="516"/>
      <c r="AA21" s="516"/>
      <c r="AB21" s="516"/>
      <c r="AC21" s="516"/>
      <c r="AD21" s="516"/>
      <c r="AE21" s="516"/>
      <c r="AF21" s="516"/>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row>
    <row r="22" spans="1:80" x14ac:dyDescent="0.25">
      <c r="A22" s="860"/>
      <c r="B22" s="846">
        <v>34</v>
      </c>
      <c r="C22" s="860" t="s">
        <v>387</v>
      </c>
      <c r="D22" s="860" t="s">
        <v>388</v>
      </c>
      <c r="E22" s="516"/>
      <c r="F22" s="516"/>
      <c r="G22" s="516"/>
      <c r="H22" s="516"/>
      <c r="I22" s="516"/>
      <c r="J22" s="516"/>
      <c r="K22" s="516"/>
      <c r="L22" s="516"/>
      <c r="M22" s="516"/>
      <c r="N22" s="516"/>
      <c r="O22" s="516"/>
      <c r="P22" s="516"/>
      <c r="Q22" s="516"/>
      <c r="R22" s="516"/>
      <c r="S22" s="516"/>
      <c r="T22" s="516"/>
      <c r="U22" s="516"/>
      <c r="V22" s="516"/>
      <c r="W22" s="516"/>
      <c r="X22" s="516"/>
      <c r="Y22" s="516"/>
      <c r="Z22" s="516"/>
      <c r="AA22" s="516"/>
      <c r="AB22" s="516"/>
      <c r="AC22" s="516"/>
      <c r="AD22" s="516"/>
      <c r="AE22" s="516"/>
      <c r="AF22" s="516"/>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6"/>
      <c r="BQ22" s="516"/>
      <c r="BR22" s="516"/>
      <c r="BS22" s="516"/>
      <c r="BT22" s="516"/>
      <c r="BU22" s="516"/>
      <c r="BV22" s="516"/>
      <c r="BW22" s="516"/>
      <c r="BX22" s="516"/>
      <c r="BY22" s="516"/>
      <c r="BZ22" s="516"/>
      <c r="CA22" s="516"/>
      <c r="CB22" s="516"/>
    </row>
    <row r="23" spans="1:80" x14ac:dyDescent="0.25">
      <c r="A23" s="860"/>
      <c r="B23" s="846">
        <v>35</v>
      </c>
      <c r="C23" s="860" t="s">
        <v>723</v>
      </c>
      <c r="D23" s="860" t="s">
        <v>389</v>
      </c>
      <c r="E23" s="516"/>
      <c r="F23" s="516"/>
      <c r="G23" s="516"/>
      <c r="H23" s="516"/>
      <c r="I23" s="516"/>
      <c r="J23" s="516"/>
      <c r="K23" s="516"/>
      <c r="L23" s="516"/>
      <c r="M23" s="516"/>
      <c r="N23" s="516"/>
      <c r="O23" s="516"/>
      <c r="P23" s="516"/>
      <c r="Q23" s="516"/>
      <c r="R23" s="516"/>
      <c r="S23" s="516"/>
      <c r="T23" s="516"/>
      <c r="U23" s="516"/>
      <c r="V23" s="516"/>
      <c r="W23" s="516"/>
      <c r="X23" s="516"/>
      <c r="Y23" s="516"/>
      <c r="Z23" s="516"/>
      <c r="AA23" s="516"/>
      <c r="AB23" s="516"/>
      <c r="AC23" s="516"/>
      <c r="AD23" s="516"/>
      <c r="AE23" s="516"/>
      <c r="AF23" s="516"/>
      <c r="AG23" s="516"/>
      <c r="AH23" s="516"/>
      <c r="AI23" s="516"/>
      <c r="AJ23" s="516"/>
      <c r="AK23" s="516"/>
      <c r="AL23" s="516"/>
      <c r="AM23" s="516"/>
      <c r="AN23" s="516"/>
      <c r="AO23" s="516"/>
      <c r="AP23" s="516"/>
      <c r="AQ23" s="516"/>
      <c r="AR23" s="516"/>
      <c r="AS23" s="516"/>
      <c r="AT23" s="516"/>
      <c r="AU23" s="516"/>
      <c r="AV23" s="516"/>
      <c r="AW23" s="516"/>
      <c r="AX23" s="516"/>
      <c r="AY23" s="516"/>
      <c r="AZ23" s="516"/>
      <c r="BA23" s="516"/>
      <c r="BB23" s="516"/>
      <c r="BC23" s="516"/>
      <c r="BD23" s="516"/>
      <c r="BE23" s="516"/>
      <c r="BF23" s="516"/>
      <c r="BG23" s="516"/>
      <c r="BH23" s="516"/>
      <c r="BI23" s="516"/>
      <c r="BJ23" s="516"/>
      <c r="BK23" s="516"/>
      <c r="BL23" s="516"/>
      <c r="BM23" s="516"/>
      <c r="BN23" s="516"/>
      <c r="BO23" s="516"/>
      <c r="BP23" s="516"/>
      <c r="BQ23" s="516"/>
      <c r="BR23" s="516"/>
      <c r="BS23" s="516"/>
      <c r="BT23" s="516"/>
      <c r="BU23" s="516"/>
      <c r="BV23" s="516"/>
      <c r="BW23" s="516"/>
      <c r="BX23" s="516"/>
      <c r="BY23" s="516"/>
      <c r="BZ23" s="516"/>
      <c r="CA23" s="516"/>
      <c r="CB23" s="516"/>
    </row>
    <row r="24" spans="1:80" x14ac:dyDescent="0.25">
      <c r="A24" s="860"/>
      <c r="B24" s="846">
        <v>36</v>
      </c>
      <c r="C24" s="860" t="s">
        <v>724</v>
      </c>
      <c r="D24" s="860" t="s">
        <v>390</v>
      </c>
      <c r="E24" s="516"/>
      <c r="F24" s="516"/>
      <c r="G24" s="516"/>
      <c r="H24" s="516"/>
      <c r="I24" s="516"/>
      <c r="J24" s="516"/>
      <c r="K24" s="516"/>
      <c r="L24" s="516"/>
      <c r="M24" s="516"/>
      <c r="N24" s="516"/>
      <c r="O24" s="516"/>
      <c r="P24" s="516"/>
      <c r="Q24" s="516"/>
      <c r="R24" s="516"/>
      <c r="S24" s="516"/>
      <c r="T24" s="516"/>
      <c r="U24" s="516"/>
      <c r="V24" s="516"/>
      <c r="W24" s="516"/>
      <c r="X24" s="516"/>
      <c r="Y24" s="516"/>
      <c r="Z24" s="516"/>
      <c r="AA24" s="516"/>
      <c r="AB24" s="516"/>
      <c r="AC24" s="516"/>
      <c r="AD24" s="516"/>
      <c r="AE24" s="516"/>
      <c r="AF24" s="516"/>
      <c r="AG24" s="516"/>
      <c r="AH24" s="516"/>
      <c r="AI24" s="516"/>
      <c r="AJ24" s="516"/>
      <c r="AK24" s="516"/>
      <c r="AL24" s="516"/>
      <c r="AM24" s="516"/>
      <c r="AN24" s="516"/>
      <c r="AO24" s="516"/>
      <c r="AP24" s="516"/>
      <c r="AQ24" s="516"/>
      <c r="AR24" s="516"/>
      <c r="AS24" s="516"/>
      <c r="AT24" s="516"/>
      <c r="AU24" s="516"/>
      <c r="AV24" s="516"/>
      <c r="AW24" s="516"/>
      <c r="AX24" s="516"/>
      <c r="AY24" s="516"/>
      <c r="AZ24" s="516"/>
      <c r="BA24" s="516"/>
      <c r="BB24" s="516"/>
      <c r="BC24" s="516"/>
      <c r="BD24" s="516"/>
      <c r="BE24" s="516"/>
      <c r="BF24" s="516"/>
      <c r="BG24" s="516"/>
      <c r="BH24" s="516"/>
      <c r="BI24" s="516"/>
      <c r="BJ24" s="516"/>
      <c r="BK24" s="516"/>
      <c r="BL24" s="516"/>
      <c r="BM24" s="516"/>
      <c r="BN24" s="516"/>
      <c r="BO24" s="516"/>
      <c r="BP24" s="516"/>
      <c r="BQ24" s="516"/>
      <c r="BR24" s="516"/>
      <c r="BS24" s="516"/>
      <c r="BT24" s="516"/>
      <c r="BU24" s="516"/>
      <c r="BV24" s="516"/>
      <c r="BW24" s="516"/>
      <c r="BX24" s="516"/>
      <c r="BY24" s="516"/>
      <c r="BZ24" s="516"/>
      <c r="CA24" s="516"/>
      <c r="CB24" s="516"/>
    </row>
    <row r="25" spans="1:80" x14ac:dyDescent="0.25">
      <c r="A25" s="860"/>
      <c r="B25" s="846">
        <v>37</v>
      </c>
      <c r="C25" s="860" t="s">
        <v>391</v>
      </c>
      <c r="D25" s="860" t="s">
        <v>392</v>
      </c>
      <c r="E25" s="516"/>
      <c r="F25" s="516"/>
      <c r="G25" s="516"/>
      <c r="H25" s="516"/>
      <c r="I25" s="516"/>
      <c r="J25" s="516"/>
      <c r="K25" s="516"/>
      <c r="L25" s="516"/>
      <c r="M25" s="516"/>
      <c r="N25" s="516"/>
      <c r="O25" s="516"/>
      <c r="P25" s="516"/>
      <c r="Q25" s="516"/>
      <c r="R25" s="516"/>
      <c r="S25" s="516"/>
      <c r="T25" s="516"/>
      <c r="U25" s="516"/>
      <c r="V25" s="516"/>
      <c r="W25" s="516"/>
      <c r="X25" s="516"/>
      <c r="Y25" s="516"/>
      <c r="Z25" s="516"/>
      <c r="AA25" s="516"/>
      <c r="AB25" s="516"/>
      <c r="AC25" s="516"/>
      <c r="AD25" s="516"/>
      <c r="AE25" s="516"/>
      <c r="AF25" s="516"/>
      <c r="AG25" s="516"/>
      <c r="AH25" s="516"/>
      <c r="AI25" s="516"/>
      <c r="AJ25" s="516"/>
      <c r="AK25" s="516"/>
      <c r="AL25" s="516"/>
      <c r="AM25" s="516"/>
      <c r="AN25" s="516"/>
      <c r="AO25" s="516"/>
      <c r="AP25" s="516"/>
      <c r="AQ25" s="516"/>
      <c r="AR25" s="516"/>
      <c r="AS25" s="516"/>
      <c r="AT25" s="516"/>
      <c r="AU25" s="516"/>
      <c r="AV25" s="516"/>
      <c r="AW25" s="516"/>
      <c r="AX25" s="516"/>
      <c r="AY25" s="516"/>
      <c r="AZ25" s="516"/>
      <c r="BA25" s="516"/>
      <c r="BB25" s="516"/>
      <c r="BC25" s="516"/>
      <c r="BD25" s="516"/>
      <c r="BE25" s="516"/>
      <c r="BF25" s="516"/>
      <c r="BG25" s="516"/>
      <c r="BH25" s="516"/>
      <c r="BI25" s="516"/>
      <c r="BJ25" s="516"/>
      <c r="BK25" s="516"/>
      <c r="BL25" s="516"/>
      <c r="BM25" s="516"/>
      <c r="BN25" s="516"/>
      <c r="BO25" s="516"/>
      <c r="BP25" s="516"/>
      <c r="BQ25" s="516"/>
      <c r="BR25" s="516"/>
      <c r="BS25" s="516"/>
      <c r="BT25" s="516"/>
      <c r="BU25" s="516"/>
      <c r="BV25" s="516"/>
      <c r="BW25" s="516"/>
      <c r="BX25" s="516"/>
      <c r="BY25" s="516"/>
      <c r="BZ25" s="516"/>
      <c r="CA25" s="516"/>
      <c r="CB25" s="516"/>
    </row>
    <row r="26" spans="1:80" x14ac:dyDescent="0.25">
      <c r="A26" s="860"/>
      <c r="B26" s="846">
        <v>38</v>
      </c>
      <c r="C26" s="860" t="s">
        <v>725</v>
      </c>
      <c r="D26" s="860" t="s">
        <v>393</v>
      </c>
      <c r="E26" s="516"/>
      <c r="F26" s="516"/>
      <c r="G26" s="516"/>
      <c r="H26" s="516"/>
      <c r="I26" s="516"/>
      <c r="J26" s="516"/>
      <c r="K26" s="516"/>
      <c r="L26" s="516"/>
      <c r="M26" s="516"/>
      <c r="N26" s="516"/>
      <c r="O26" s="516"/>
      <c r="P26" s="516"/>
      <c r="Q26" s="516"/>
      <c r="R26" s="516"/>
      <c r="S26" s="516"/>
      <c r="T26" s="516"/>
      <c r="U26" s="516"/>
      <c r="V26" s="516"/>
      <c r="W26" s="516"/>
      <c r="X26" s="516"/>
      <c r="Y26" s="516"/>
      <c r="Z26" s="516"/>
      <c r="AA26" s="516"/>
      <c r="AB26" s="516"/>
      <c r="AC26" s="516"/>
      <c r="AD26" s="516"/>
      <c r="AE26" s="516"/>
      <c r="AF26" s="516"/>
      <c r="AG26" s="516"/>
      <c r="AH26" s="516"/>
      <c r="AI26" s="516"/>
      <c r="AJ26" s="516"/>
      <c r="AK26" s="516"/>
      <c r="AL26" s="516"/>
      <c r="AM26" s="516"/>
      <c r="AN26" s="516"/>
      <c r="AO26" s="516"/>
      <c r="AP26" s="516"/>
      <c r="AQ26" s="516"/>
      <c r="AR26" s="516"/>
      <c r="AS26" s="516"/>
      <c r="AT26" s="516"/>
      <c r="AU26" s="516"/>
      <c r="AV26" s="516"/>
      <c r="AW26" s="516"/>
      <c r="AX26" s="516"/>
      <c r="AY26" s="516"/>
      <c r="AZ26" s="516"/>
      <c r="BA26" s="516"/>
      <c r="BB26" s="516"/>
      <c r="BC26" s="516"/>
      <c r="BD26" s="516"/>
      <c r="BE26" s="516"/>
      <c r="BF26" s="516"/>
      <c r="BG26" s="516"/>
      <c r="BH26" s="516"/>
      <c r="BI26" s="516"/>
      <c r="BJ26" s="516"/>
      <c r="BK26" s="516"/>
      <c r="BL26" s="516"/>
      <c r="BM26" s="516"/>
      <c r="BN26" s="516"/>
      <c r="BO26" s="516"/>
      <c r="BP26" s="516"/>
      <c r="BQ26" s="516"/>
      <c r="BR26" s="516"/>
      <c r="BS26" s="516"/>
      <c r="BT26" s="516"/>
      <c r="BU26" s="516"/>
      <c r="BV26" s="516"/>
      <c r="BW26" s="516"/>
      <c r="BX26" s="516"/>
      <c r="BY26" s="516"/>
      <c r="BZ26" s="516"/>
      <c r="CA26" s="516"/>
      <c r="CB26" s="516"/>
    </row>
    <row r="27" spans="1:80" x14ac:dyDescent="0.25">
      <c r="A27" s="860"/>
      <c r="B27" s="846">
        <v>39</v>
      </c>
      <c r="C27" s="860" t="s">
        <v>394</v>
      </c>
      <c r="D27" s="860" t="s">
        <v>395</v>
      </c>
      <c r="E27" s="516"/>
      <c r="F27" s="516"/>
      <c r="G27" s="516"/>
      <c r="H27" s="516"/>
      <c r="I27" s="516"/>
      <c r="J27" s="516"/>
      <c r="K27" s="516"/>
      <c r="L27" s="516"/>
      <c r="M27" s="516"/>
      <c r="N27" s="516"/>
      <c r="O27" s="516"/>
      <c r="P27" s="516"/>
      <c r="Q27" s="516"/>
      <c r="R27" s="516"/>
      <c r="S27" s="516"/>
      <c r="T27" s="516"/>
      <c r="U27" s="516"/>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B27" s="516"/>
      <c r="BC27" s="516"/>
      <c r="BD27" s="516"/>
      <c r="BE27" s="516"/>
      <c r="BF27" s="516"/>
      <c r="BG27" s="516"/>
      <c r="BH27" s="516"/>
      <c r="BI27" s="516"/>
      <c r="BJ27" s="516"/>
      <c r="BK27" s="516"/>
      <c r="BL27" s="516"/>
      <c r="BM27" s="516"/>
      <c r="BN27" s="516"/>
      <c r="BO27" s="516"/>
      <c r="BP27" s="516"/>
      <c r="BQ27" s="516"/>
      <c r="BR27" s="516"/>
      <c r="BS27" s="516"/>
      <c r="BT27" s="516"/>
      <c r="BU27" s="516"/>
      <c r="BV27" s="516"/>
      <c r="BW27" s="516"/>
      <c r="BX27" s="516"/>
      <c r="BY27" s="516"/>
      <c r="BZ27" s="516"/>
      <c r="CA27" s="516"/>
      <c r="CB27" s="516"/>
    </row>
    <row r="28" spans="1:80" x14ac:dyDescent="0.25">
      <c r="A28" s="860"/>
      <c r="B28" s="846">
        <v>40</v>
      </c>
      <c r="C28" s="860" t="s">
        <v>396</v>
      </c>
      <c r="D28" s="860" t="s">
        <v>397</v>
      </c>
      <c r="E28" s="516"/>
      <c r="F28" s="516"/>
      <c r="G28" s="516"/>
      <c r="H28" s="516"/>
      <c r="I28" s="516"/>
      <c r="J28" s="516"/>
      <c r="K28" s="516"/>
      <c r="L28" s="516"/>
      <c r="M28" s="516"/>
      <c r="N28" s="516"/>
      <c r="O28" s="516"/>
      <c r="P28" s="516"/>
      <c r="Q28" s="516"/>
      <c r="R28" s="516"/>
      <c r="S28" s="516"/>
      <c r="T28" s="516"/>
      <c r="U28" s="516"/>
      <c r="V28" s="516"/>
      <c r="W28" s="516"/>
      <c r="X28" s="516"/>
      <c r="Y28" s="516"/>
      <c r="Z28" s="516"/>
      <c r="AA28" s="516"/>
      <c r="AB28" s="516"/>
      <c r="AC28" s="516"/>
      <c r="AD28" s="516"/>
      <c r="AE28" s="516"/>
      <c r="AF28" s="516"/>
      <c r="AG28" s="516"/>
      <c r="AH28" s="516"/>
      <c r="AI28" s="516"/>
      <c r="AJ28" s="516"/>
      <c r="AK28" s="516"/>
      <c r="AL28" s="516"/>
      <c r="AM28" s="516"/>
      <c r="AN28" s="516"/>
      <c r="AO28" s="516"/>
      <c r="AP28" s="516"/>
      <c r="AQ28" s="516"/>
      <c r="AR28" s="516"/>
      <c r="AS28" s="516"/>
      <c r="AT28" s="516"/>
      <c r="AU28" s="516"/>
      <c r="AV28" s="516"/>
      <c r="AW28" s="516"/>
      <c r="AX28" s="516"/>
      <c r="AY28" s="516"/>
      <c r="AZ28" s="516"/>
      <c r="BA28" s="516"/>
      <c r="BB28" s="516"/>
      <c r="BC28" s="516"/>
      <c r="BD28" s="516"/>
      <c r="BE28" s="516"/>
      <c r="BF28" s="516"/>
      <c r="BG28" s="516"/>
      <c r="BH28" s="516"/>
      <c r="BI28" s="516"/>
      <c r="BJ28" s="516"/>
      <c r="BK28" s="516"/>
      <c r="BL28" s="516"/>
      <c r="BM28" s="516"/>
      <c r="BN28" s="516"/>
      <c r="BO28" s="516"/>
      <c r="BP28" s="516"/>
      <c r="BQ28" s="516"/>
      <c r="BR28" s="516"/>
      <c r="BS28" s="516"/>
      <c r="BT28" s="516"/>
      <c r="BU28" s="516"/>
      <c r="BV28" s="516"/>
      <c r="BW28" s="516"/>
      <c r="BX28" s="516"/>
      <c r="BY28" s="516"/>
      <c r="BZ28" s="516"/>
      <c r="CA28" s="516"/>
      <c r="CB28" s="516"/>
    </row>
    <row r="29" spans="1:80" x14ac:dyDescent="0.25">
      <c r="A29" s="860"/>
      <c r="B29" s="846">
        <v>41</v>
      </c>
      <c r="C29" s="860" t="s">
        <v>398</v>
      </c>
      <c r="D29" s="860" t="s">
        <v>399</v>
      </c>
      <c r="E29" s="516"/>
      <c r="F29" s="516"/>
      <c r="G29" s="516"/>
      <c r="H29" s="516"/>
      <c r="I29" s="516"/>
      <c r="J29" s="516"/>
      <c r="K29" s="516"/>
      <c r="L29" s="516"/>
      <c r="M29" s="516"/>
      <c r="N29" s="516"/>
      <c r="O29" s="516"/>
      <c r="P29" s="516"/>
      <c r="Q29" s="516"/>
      <c r="R29" s="516"/>
      <c r="S29" s="516"/>
      <c r="T29" s="516"/>
      <c r="U29" s="516"/>
      <c r="V29" s="516"/>
      <c r="W29" s="516"/>
      <c r="X29" s="516"/>
      <c r="Y29" s="516"/>
      <c r="Z29" s="516"/>
      <c r="AA29" s="516"/>
      <c r="AB29" s="516"/>
      <c r="AC29" s="516"/>
      <c r="AD29" s="516"/>
      <c r="AE29" s="516"/>
      <c r="AF29" s="516"/>
      <c r="AG29" s="516"/>
      <c r="AH29" s="516"/>
      <c r="AI29" s="516"/>
      <c r="AJ29" s="516"/>
      <c r="AK29" s="516"/>
      <c r="AL29" s="516"/>
      <c r="AM29" s="516"/>
      <c r="AN29" s="516"/>
      <c r="AO29" s="516"/>
      <c r="AP29" s="516"/>
      <c r="AQ29" s="516"/>
      <c r="AR29" s="516"/>
      <c r="AS29" s="516"/>
      <c r="AT29" s="516"/>
      <c r="AU29" s="516"/>
      <c r="AV29" s="516"/>
      <c r="AW29" s="516"/>
      <c r="AX29" s="516"/>
      <c r="AY29" s="516"/>
      <c r="AZ29" s="516"/>
      <c r="BA29" s="516"/>
      <c r="BB29" s="516"/>
      <c r="BC29" s="516"/>
      <c r="BD29" s="516"/>
      <c r="BE29" s="516"/>
      <c r="BF29" s="516"/>
      <c r="BG29" s="516"/>
      <c r="BH29" s="516"/>
      <c r="BI29" s="516"/>
      <c r="BJ29" s="516"/>
      <c r="BK29" s="516"/>
      <c r="BL29" s="516"/>
      <c r="BM29" s="516"/>
      <c r="BN29" s="516"/>
      <c r="BO29" s="516"/>
      <c r="BP29" s="516"/>
      <c r="BQ29" s="516"/>
      <c r="BR29" s="516"/>
      <c r="BS29" s="516"/>
      <c r="BT29" s="516"/>
      <c r="BU29" s="516"/>
      <c r="BV29" s="516"/>
      <c r="BW29" s="516"/>
      <c r="BX29" s="516"/>
      <c r="BY29" s="516"/>
      <c r="BZ29" s="516"/>
      <c r="CA29" s="516"/>
      <c r="CB29" s="516"/>
    </row>
    <row r="30" spans="1:80" x14ac:dyDescent="0.25">
      <c r="A30" s="860"/>
      <c r="B30" s="846">
        <v>43</v>
      </c>
      <c r="C30" s="860" t="s">
        <v>400</v>
      </c>
      <c r="D30" s="860" t="s">
        <v>401</v>
      </c>
      <c r="E30" s="516"/>
      <c r="F30" s="516"/>
      <c r="G30" s="516"/>
      <c r="H30" s="516"/>
      <c r="I30" s="516"/>
      <c r="J30" s="516"/>
      <c r="K30" s="516"/>
      <c r="L30" s="516"/>
      <c r="M30" s="516"/>
      <c r="N30" s="516"/>
      <c r="O30" s="516"/>
      <c r="P30" s="516"/>
      <c r="Q30" s="516"/>
      <c r="R30" s="516"/>
      <c r="S30" s="516"/>
      <c r="T30" s="516"/>
      <c r="U30" s="516"/>
      <c r="V30" s="516"/>
      <c r="W30" s="516"/>
      <c r="X30" s="516"/>
      <c r="Y30" s="516"/>
      <c r="Z30" s="516"/>
      <c r="AA30" s="516"/>
      <c r="AB30" s="516"/>
      <c r="AC30" s="516"/>
      <c r="AD30" s="516"/>
      <c r="AE30" s="516"/>
      <c r="AF30" s="516"/>
      <c r="AG30" s="516"/>
      <c r="AH30" s="516"/>
      <c r="AI30" s="516"/>
      <c r="AJ30" s="516"/>
      <c r="AK30" s="516"/>
      <c r="AL30" s="516"/>
      <c r="AM30" s="516"/>
      <c r="AN30" s="516"/>
      <c r="AO30" s="516"/>
      <c r="AP30" s="516"/>
      <c r="AQ30" s="516"/>
      <c r="AR30" s="516"/>
      <c r="AS30" s="516"/>
      <c r="AT30" s="516"/>
      <c r="AU30" s="516"/>
      <c r="AV30" s="516"/>
      <c r="AW30" s="516"/>
      <c r="AX30" s="516"/>
      <c r="AY30" s="516"/>
      <c r="AZ30" s="516"/>
      <c r="BA30" s="516"/>
      <c r="BB30" s="516"/>
      <c r="BC30" s="516"/>
      <c r="BD30" s="516"/>
      <c r="BE30" s="516"/>
      <c r="BF30" s="516"/>
      <c r="BG30" s="516"/>
      <c r="BH30" s="516"/>
      <c r="BI30" s="516"/>
      <c r="BJ30" s="516"/>
      <c r="BK30" s="516"/>
      <c r="BL30" s="516"/>
      <c r="BM30" s="516"/>
      <c r="BN30" s="516"/>
      <c r="BO30" s="516"/>
      <c r="BP30" s="516"/>
      <c r="BQ30" s="516"/>
      <c r="BR30" s="516"/>
      <c r="BS30" s="516"/>
      <c r="BT30" s="516"/>
      <c r="BU30" s="516"/>
      <c r="BV30" s="516"/>
      <c r="BW30" s="516"/>
      <c r="BX30" s="516"/>
      <c r="BY30" s="516"/>
      <c r="BZ30" s="516"/>
      <c r="CA30" s="516"/>
      <c r="CB30" s="516"/>
    </row>
    <row r="31" spans="1:80" x14ac:dyDescent="0.25">
      <c r="A31" s="860">
        <v>44</v>
      </c>
      <c r="B31" s="846">
        <v>44</v>
      </c>
      <c r="C31" s="860" t="s">
        <v>726</v>
      </c>
      <c r="D31" s="860" t="s">
        <v>402</v>
      </c>
      <c r="E31" s="516">
        <v>0</v>
      </c>
      <c r="F31" s="516">
        <v>0</v>
      </c>
      <c r="G31" s="516">
        <v>0</v>
      </c>
      <c r="H31" s="516">
        <v>36379052</v>
      </c>
      <c r="I31" s="516">
        <v>8307372</v>
      </c>
      <c r="J31" s="516">
        <v>243633</v>
      </c>
      <c r="K31" s="516">
        <v>5516454</v>
      </c>
      <c r="L31" s="516">
        <v>925144</v>
      </c>
      <c r="M31" s="516">
        <v>10574089</v>
      </c>
      <c r="N31" s="516">
        <v>0</v>
      </c>
      <c r="O31" s="516">
        <v>1638473</v>
      </c>
      <c r="P31" s="516">
        <v>1008499</v>
      </c>
      <c r="Q31" s="516">
        <v>0</v>
      </c>
      <c r="R31" s="516">
        <v>8989647</v>
      </c>
      <c r="S31" s="516">
        <v>7682977</v>
      </c>
      <c r="T31" s="516">
        <v>7739057</v>
      </c>
      <c r="U31" s="516">
        <v>0</v>
      </c>
      <c r="V31" s="516">
        <v>7992876</v>
      </c>
      <c r="W31" s="516">
        <v>0</v>
      </c>
      <c r="X31" s="516">
        <v>0</v>
      </c>
      <c r="Y31" s="516">
        <v>225204</v>
      </c>
      <c r="Z31" s="516">
        <v>2572924</v>
      </c>
      <c r="AA31" s="516">
        <v>1080401</v>
      </c>
      <c r="AB31" s="516">
        <v>506834</v>
      </c>
      <c r="AC31" s="516">
        <v>0</v>
      </c>
      <c r="AD31" s="516">
        <v>89870</v>
      </c>
      <c r="AE31" s="516">
        <v>1674537</v>
      </c>
      <c r="AF31" s="516">
        <v>1205943</v>
      </c>
      <c r="AG31" s="516">
        <v>67368</v>
      </c>
      <c r="AH31" s="516">
        <v>0</v>
      </c>
      <c r="AI31" s="516">
        <v>0</v>
      </c>
      <c r="AJ31" s="516">
        <v>868276</v>
      </c>
      <c r="AK31" s="516">
        <v>7450529</v>
      </c>
      <c r="AL31" s="516">
        <v>396468</v>
      </c>
      <c r="AM31" s="516">
        <v>0</v>
      </c>
      <c r="AN31" s="516">
        <v>15602691</v>
      </c>
      <c r="AO31" s="516">
        <v>9591368</v>
      </c>
      <c r="AP31" s="516">
        <v>91513</v>
      </c>
      <c r="AQ31" s="516">
        <v>0</v>
      </c>
      <c r="AR31" s="516">
        <v>6965311</v>
      </c>
      <c r="AS31" s="516">
        <v>1435585</v>
      </c>
      <c r="AT31" s="516">
        <v>257387</v>
      </c>
      <c r="AU31" s="516">
        <v>1393625</v>
      </c>
      <c r="AV31" s="516">
        <v>11046482</v>
      </c>
      <c r="AW31" s="516">
        <v>1084763</v>
      </c>
      <c r="AX31" s="516">
        <v>245930</v>
      </c>
      <c r="AY31" s="516">
        <v>1562977</v>
      </c>
      <c r="AZ31" s="516">
        <v>878752</v>
      </c>
      <c r="BA31" s="516">
        <v>2211300</v>
      </c>
      <c r="BB31" s="516">
        <v>0</v>
      </c>
      <c r="BC31" s="516">
        <v>0</v>
      </c>
      <c r="BD31" s="516">
        <v>0</v>
      </c>
      <c r="BE31" s="516">
        <v>0</v>
      </c>
      <c r="BF31" s="516">
        <v>0</v>
      </c>
      <c r="BG31" s="516">
        <v>31323</v>
      </c>
      <c r="BH31" s="516">
        <v>0</v>
      </c>
      <c r="BI31" s="516">
        <v>1024902</v>
      </c>
      <c r="BJ31" s="516">
        <v>1942673</v>
      </c>
      <c r="BK31" s="516">
        <v>0</v>
      </c>
      <c r="BL31" s="516">
        <v>5240473</v>
      </c>
      <c r="BM31" s="516">
        <v>2576961</v>
      </c>
      <c r="BN31" s="516">
        <v>0</v>
      </c>
      <c r="BO31" s="516">
        <v>2366257</v>
      </c>
      <c r="BP31" s="516">
        <v>3888326</v>
      </c>
      <c r="BQ31" s="516">
        <v>886896</v>
      </c>
      <c r="BR31" s="516">
        <v>3462252</v>
      </c>
      <c r="BS31" s="516">
        <v>0</v>
      </c>
      <c r="BT31" s="516">
        <v>0</v>
      </c>
      <c r="BU31" s="516">
        <v>1308558</v>
      </c>
      <c r="BV31" s="516">
        <v>2343639</v>
      </c>
      <c r="BW31" s="516">
        <v>183127</v>
      </c>
      <c r="BX31" s="516">
        <v>1587780</v>
      </c>
      <c r="BY31" s="516">
        <v>0</v>
      </c>
      <c r="BZ31" s="516">
        <v>0</v>
      </c>
      <c r="CA31" s="516">
        <v>10038366</v>
      </c>
      <c r="CB31" s="516">
        <v>0</v>
      </c>
    </row>
    <row r="32" spans="1:80" x14ac:dyDescent="0.25">
      <c r="A32" s="860">
        <v>45</v>
      </c>
      <c r="B32" s="846">
        <v>45</v>
      </c>
      <c r="C32" s="860" t="s">
        <v>727</v>
      </c>
      <c r="D32" s="860" t="s">
        <v>403</v>
      </c>
      <c r="E32" s="516">
        <v>0</v>
      </c>
      <c r="F32" s="516">
        <v>0</v>
      </c>
      <c r="G32" s="516">
        <v>0</v>
      </c>
      <c r="H32" s="516">
        <v>6455318</v>
      </c>
      <c r="I32" s="516">
        <v>165984</v>
      </c>
      <c r="J32" s="516">
        <v>27744</v>
      </c>
      <c r="K32" s="516">
        <v>9243</v>
      </c>
      <c r="L32" s="516">
        <v>430619</v>
      </c>
      <c r="M32" s="516">
        <v>4294936</v>
      </c>
      <c r="N32" s="516">
        <v>0</v>
      </c>
      <c r="O32" s="516">
        <v>38612</v>
      </c>
      <c r="P32" s="516">
        <v>30324</v>
      </c>
      <c r="Q32" s="516">
        <v>0</v>
      </c>
      <c r="R32" s="516">
        <v>347783</v>
      </c>
      <c r="S32" s="516">
        <v>924542</v>
      </c>
      <c r="T32" s="516">
        <v>1703354</v>
      </c>
      <c r="U32" s="516">
        <v>0</v>
      </c>
      <c r="V32" s="516">
        <v>2326380</v>
      </c>
      <c r="W32" s="516">
        <v>0</v>
      </c>
      <c r="X32" s="516">
        <v>0</v>
      </c>
      <c r="Y32" s="516">
        <v>187869</v>
      </c>
      <c r="Z32" s="516">
        <v>339271</v>
      </c>
      <c r="AA32" s="516">
        <v>96257</v>
      </c>
      <c r="AB32" s="516">
        <v>144685</v>
      </c>
      <c r="AC32" s="516">
        <v>0</v>
      </c>
      <c r="AD32" s="516">
        <v>5155</v>
      </c>
      <c r="AE32" s="516">
        <v>203758</v>
      </c>
      <c r="AF32" s="516">
        <v>734055</v>
      </c>
      <c r="AG32" s="516">
        <v>785</v>
      </c>
      <c r="AH32" s="516">
        <v>0</v>
      </c>
      <c r="AI32" s="516">
        <v>0</v>
      </c>
      <c r="AJ32" s="516">
        <v>37565</v>
      </c>
      <c r="AK32" s="516">
        <v>994144</v>
      </c>
      <c r="AL32" s="516">
        <v>19676</v>
      </c>
      <c r="AM32" s="516">
        <v>0</v>
      </c>
      <c r="AN32" s="516">
        <v>1145329</v>
      </c>
      <c r="AO32" s="516">
        <v>1965636</v>
      </c>
      <c r="AP32" s="516">
        <v>10777</v>
      </c>
      <c r="AQ32" s="516">
        <v>0</v>
      </c>
      <c r="AR32" s="516">
        <v>408258</v>
      </c>
      <c r="AS32" s="516">
        <v>69083</v>
      </c>
      <c r="AT32" s="516">
        <v>14577</v>
      </c>
      <c r="AU32" s="516">
        <v>384845</v>
      </c>
      <c r="AV32" s="516">
        <v>2818131</v>
      </c>
      <c r="AW32" s="516">
        <v>35711</v>
      </c>
      <c r="AX32" s="516">
        <v>45206</v>
      </c>
      <c r="AY32" s="516">
        <v>48701</v>
      </c>
      <c r="AZ32" s="516">
        <v>68128</v>
      </c>
      <c r="BA32" s="516">
        <v>356636</v>
      </c>
      <c r="BB32" s="516">
        <v>0</v>
      </c>
      <c r="BC32" s="516">
        <v>0</v>
      </c>
      <c r="BD32" s="516">
        <v>0</v>
      </c>
      <c r="BE32" s="516">
        <v>0</v>
      </c>
      <c r="BF32" s="516">
        <v>0</v>
      </c>
      <c r="BG32" s="516">
        <v>63562</v>
      </c>
      <c r="BH32" s="516">
        <v>0</v>
      </c>
      <c r="BI32" s="516">
        <v>350835</v>
      </c>
      <c r="BJ32" s="516">
        <v>181630</v>
      </c>
      <c r="BK32" s="516">
        <v>0</v>
      </c>
      <c r="BL32" s="516">
        <v>199800</v>
      </c>
      <c r="BM32" s="516">
        <v>107293</v>
      </c>
      <c r="BN32" s="516">
        <v>0</v>
      </c>
      <c r="BO32" s="516">
        <v>445895</v>
      </c>
      <c r="BP32" s="516">
        <v>240750</v>
      </c>
      <c r="BQ32" s="516">
        <v>61429</v>
      </c>
      <c r="BR32" s="516">
        <v>754240</v>
      </c>
      <c r="BS32" s="516">
        <v>0</v>
      </c>
      <c r="BT32" s="516">
        <v>0</v>
      </c>
      <c r="BU32" s="516">
        <v>131669</v>
      </c>
      <c r="BV32" s="516">
        <v>383880</v>
      </c>
      <c r="BW32" s="516">
        <v>46822</v>
      </c>
      <c r="BX32" s="516">
        <v>613188</v>
      </c>
      <c r="BY32" s="516">
        <v>0</v>
      </c>
      <c r="BZ32" s="516">
        <v>0</v>
      </c>
      <c r="CA32" s="516">
        <v>1228570</v>
      </c>
      <c r="CB32" s="516">
        <v>0</v>
      </c>
    </row>
    <row r="33" spans="1:80" x14ac:dyDescent="0.25">
      <c r="A33" s="860"/>
      <c r="B33" s="846">
        <v>46</v>
      </c>
      <c r="C33" s="860" t="s">
        <v>728</v>
      </c>
      <c r="D33" s="860" t="s">
        <v>404</v>
      </c>
      <c r="E33" s="516"/>
      <c r="F33" s="516"/>
      <c r="G33" s="516"/>
      <c r="H33" s="516"/>
      <c r="I33" s="516"/>
      <c r="J33" s="516"/>
      <c r="K33" s="516"/>
      <c r="L33" s="516"/>
      <c r="M33" s="516"/>
      <c r="N33" s="516"/>
      <c r="O33" s="516"/>
      <c r="P33" s="516"/>
      <c r="Q33" s="516"/>
      <c r="R33" s="516"/>
      <c r="S33" s="516"/>
      <c r="T33" s="516"/>
      <c r="U33" s="516"/>
      <c r="V33" s="516"/>
      <c r="W33" s="516"/>
      <c r="X33" s="516"/>
      <c r="Y33" s="516"/>
      <c r="Z33" s="516"/>
      <c r="AA33" s="516"/>
      <c r="AB33" s="516"/>
      <c r="AC33" s="516"/>
      <c r="AD33" s="516"/>
      <c r="AE33" s="516"/>
      <c r="AF33" s="516"/>
      <c r="AG33" s="516"/>
      <c r="AH33" s="516"/>
      <c r="AI33" s="516"/>
      <c r="AJ33" s="516"/>
      <c r="AK33" s="516"/>
      <c r="AL33" s="516"/>
      <c r="AM33" s="516"/>
      <c r="AN33" s="516"/>
      <c r="AO33" s="516"/>
      <c r="AP33" s="516"/>
      <c r="AQ33" s="516"/>
      <c r="AR33" s="516"/>
      <c r="AS33" s="516"/>
      <c r="AT33" s="516"/>
      <c r="AU33" s="516"/>
      <c r="AV33" s="516"/>
      <c r="AW33" s="516"/>
      <c r="AX33" s="516"/>
      <c r="AY33" s="516"/>
      <c r="AZ33" s="516"/>
      <c r="BA33" s="516"/>
      <c r="BB33" s="516"/>
      <c r="BC33" s="516"/>
      <c r="BD33" s="516"/>
      <c r="BE33" s="516"/>
      <c r="BF33" s="516"/>
      <c r="BG33" s="516"/>
      <c r="BH33" s="516"/>
      <c r="BI33" s="516"/>
      <c r="BJ33" s="516"/>
      <c r="BK33" s="516"/>
      <c r="BL33" s="516"/>
      <c r="BM33" s="516"/>
      <c r="BN33" s="516"/>
      <c r="BO33" s="516"/>
      <c r="BP33" s="516"/>
      <c r="BQ33" s="516"/>
      <c r="BR33" s="516"/>
      <c r="BS33" s="516"/>
      <c r="BT33" s="516"/>
      <c r="BU33" s="516"/>
      <c r="BV33" s="516"/>
      <c r="BW33" s="516"/>
      <c r="BX33" s="516"/>
      <c r="BY33" s="516"/>
      <c r="BZ33" s="516"/>
      <c r="CA33" s="516"/>
      <c r="CB33" s="516"/>
    </row>
    <row r="34" spans="1:80" x14ac:dyDescent="0.25">
      <c r="A34" s="860">
        <v>47</v>
      </c>
      <c r="B34" s="846">
        <v>47</v>
      </c>
      <c r="C34" s="860" t="s">
        <v>729</v>
      </c>
      <c r="D34" s="860" t="s">
        <v>405</v>
      </c>
      <c r="E34" s="516">
        <v>0</v>
      </c>
      <c r="F34" s="516">
        <v>0</v>
      </c>
      <c r="G34" s="516">
        <v>0</v>
      </c>
      <c r="H34" s="516">
        <v>0</v>
      </c>
      <c r="I34" s="516">
        <v>0</v>
      </c>
      <c r="J34" s="516">
        <v>0</v>
      </c>
      <c r="K34" s="516">
        <v>0</v>
      </c>
      <c r="L34" s="516">
        <v>0</v>
      </c>
      <c r="M34" s="516">
        <v>0</v>
      </c>
      <c r="N34" s="516">
        <v>0</v>
      </c>
      <c r="O34" s="516">
        <v>0</v>
      </c>
      <c r="P34" s="516">
        <v>0</v>
      </c>
      <c r="Q34" s="516">
        <v>0</v>
      </c>
      <c r="R34" s="516">
        <v>0</v>
      </c>
      <c r="S34" s="516">
        <v>0</v>
      </c>
      <c r="T34" s="516">
        <v>5999827</v>
      </c>
      <c r="U34" s="516">
        <v>0</v>
      </c>
      <c r="V34" s="516">
        <v>27984530</v>
      </c>
      <c r="W34" s="516">
        <v>0</v>
      </c>
      <c r="X34" s="516">
        <v>0</v>
      </c>
      <c r="Y34" s="516">
        <v>0</v>
      </c>
      <c r="Z34" s="516">
        <v>0</v>
      </c>
      <c r="AA34" s="516">
        <v>1280837</v>
      </c>
      <c r="AB34" s="516">
        <v>943372</v>
      </c>
      <c r="AC34" s="516">
        <v>0</v>
      </c>
      <c r="AD34" s="516">
        <v>0</v>
      </c>
      <c r="AE34" s="516">
        <v>0</v>
      </c>
      <c r="AF34" s="516">
        <v>1270998</v>
      </c>
      <c r="AG34" s="516">
        <v>0</v>
      </c>
      <c r="AH34" s="516">
        <v>0</v>
      </c>
      <c r="AI34" s="516">
        <v>0</v>
      </c>
      <c r="AJ34" s="516">
        <v>0</v>
      </c>
      <c r="AK34" s="516">
        <v>6260352</v>
      </c>
      <c r="AL34" s="516">
        <v>0</v>
      </c>
      <c r="AM34" s="516">
        <v>0</v>
      </c>
      <c r="AN34" s="516">
        <v>0</v>
      </c>
      <c r="AO34" s="516">
        <v>0</v>
      </c>
      <c r="AP34" s="516">
        <v>0</v>
      </c>
      <c r="AQ34" s="516">
        <v>0</v>
      </c>
      <c r="AR34" s="516">
        <v>20837411</v>
      </c>
      <c r="AS34" s="516">
        <v>0</v>
      </c>
      <c r="AT34" s="516">
        <v>0</v>
      </c>
      <c r="AU34" s="516">
        <v>0</v>
      </c>
      <c r="AV34" s="516">
        <v>4276362</v>
      </c>
      <c r="AW34" s="516">
        <v>0</v>
      </c>
      <c r="AX34" s="516">
        <v>0</v>
      </c>
      <c r="AY34" s="516">
        <v>0</v>
      </c>
      <c r="AZ34" s="516">
        <v>0</v>
      </c>
      <c r="BA34" s="516">
        <v>2670415</v>
      </c>
      <c r="BB34" s="516">
        <v>0</v>
      </c>
      <c r="BC34" s="516">
        <v>0</v>
      </c>
      <c r="BD34" s="516">
        <v>0</v>
      </c>
      <c r="BE34" s="516">
        <v>0</v>
      </c>
      <c r="BF34" s="516">
        <v>0</v>
      </c>
      <c r="BG34" s="516">
        <v>407446</v>
      </c>
      <c r="BH34" s="516">
        <v>0</v>
      </c>
      <c r="BI34" s="516">
        <v>0</v>
      </c>
      <c r="BJ34" s="516">
        <v>0</v>
      </c>
      <c r="BK34" s="516">
        <v>0</v>
      </c>
      <c r="BL34" s="516">
        <v>2363881</v>
      </c>
      <c r="BM34" s="516">
        <v>0</v>
      </c>
      <c r="BN34" s="516">
        <v>0</v>
      </c>
      <c r="BO34" s="516">
        <v>0</v>
      </c>
      <c r="BP34" s="516">
        <v>0</v>
      </c>
      <c r="BQ34" s="516">
        <v>0</v>
      </c>
      <c r="BR34" s="516">
        <v>0</v>
      </c>
      <c r="BS34" s="516">
        <v>0</v>
      </c>
      <c r="BT34" s="516">
        <v>0</v>
      </c>
      <c r="BU34" s="516">
        <v>0</v>
      </c>
      <c r="BV34" s="516">
        <v>0</v>
      </c>
      <c r="BW34" s="516">
        <v>0</v>
      </c>
      <c r="BX34" s="516">
        <v>0</v>
      </c>
      <c r="BY34" s="516">
        <v>0</v>
      </c>
      <c r="BZ34" s="516">
        <v>0</v>
      </c>
      <c r="CA34" s="516">
        <v>0</v>
      </c>
      <c r="CB34" s="516">
        <v>0</v>
      </c>
    </row>
    <row r="35" spans="1:80" x14ac:dyDescent="0.25">
      <c r="A35" s="860">
        <v>48</v>
      </c>
      <c r="B35" s="846">
        <v>48</v>
      </c>
      <c r="C35" s="860" t="s">
        <v>130</v>
      </c>
      <c r="D35" s="860" t="s">
        <v>406</v>
      </c>
      <c r="E35" s="516">
        <v>0</v>
      </c>
      <c r="F35" s="516">
        <v>0</v>
      </c>
      <c r="G35" s="516">
        <v>0</v>
      </c>
      <c r="H35" s="516">
        <v>0</v>
      </c>
      <c r="I35" s="516">
        <v>0</v>
      </c>
      <c r="J35" s="516">
        <v>0</v>
      </c>
      <c r="K35" s="516">
        <v>0</v>
      </c>
      <c r="L35" s="516">
        <v>0</v>
      </c>
      <c r="M35" s="516">
        <v>0</v>
      </c>
      <c r="N35" s="516">
        <v>0</v>
      </c>
      <c r="O35" s="516">
        <v>0</v>
      </c>
      <c r="P35" s="516">
        <v>0</v>
      </c>
      <c r="Q35" s="516">
        <v>0</v>
      </c>
      <c r="R35" s="516">
        <v>0</v>
      </c>
      <c r="S35" s="516">
        <v>0</v>
      </c>
      <c r="T35" s="516">
        <v>897748</v>
      </c>
      <c r="U35" s="516">
        <v>0</v>
      </c>
      <c r="V35" s="516">
        <v>5508967</v>
      </c>
      <c r="W35" s="516">
        <v>0</v>
      </c>
      <c r="X35" s="516">
        <v>0</v>
      </c>
      <c r="Y35" s="516">
        <v>0</v>
      </c>
      <c r="Z35" s="516">
        <v>0</v>
      </c>
      <c r="AA35" s="516">
        <v>327270</v>
      </c>
      <c r="AB35" s="516">
        <v>466727</v>
      </c>
      <c r="AC35" s="516">
        <v>0</v>
      </c>
      <c r="AD35" s="516">
        <v>0</v>
      </c>
      <c r="AE35" s="516">
        <v>0</v>
      </c>
      <c r="AF35" s="516">
        <v>537265</v>
      </c>
      <c r="AG35" s="516">
        <v>0</v>
      </c>
      <c r="AH35" s="516">
        <v>0</v>
      </c>
      <c r="AI35" s="516">
        <v>0</v>
      </c>
      <c r="AJ35" s="516">
        <v>0</v>
      </c>
      <c r="AK35" s="516">
        <v>1277706</v>
      </c>
      <c r="AL35" s="516">
        <v>0</v>
      </c>
      <c r="AM35" s="516">
        <v>0</v>
      </c>
      <c r="AN35" s="516">
        <v>0</v>
      </c>
      <c r="AO35" s="516">
        <v>0</v>
      </c>
      <c r="AP35" s="516">
        <v>0</v>
      </c>
      <c r="AQ35" s="516">
        <v>0</v>
      </c>
      <c r="AR35" s="516">
        <v>5498603</v>
      </c>
      <c r="AS35" s="516">
        <v>0</v>
      </c>
      <c r="AT35" s="516">
        <v>0</v>
      </c>
      <c r="AU35" s="516">
        <v>0</v>
      </c>
      <c r="AV35" s="516">
        <v>730857</v>
      </c>
      <c r="AW35" s="516">
        <v>0</v>
      </c>
      <c r="AX35" s="516">
        <v>0</v>
      </c>
      <c r="AY35" s="516">
        <v>0</v>
      </c>
      <c r="AZ35" s="516">
        <v>0</v>
      </c>
      <c r="BA35" s="516">
        <v>534929</v>
      </c>
      <c r="BB35" s="516">
        <v>0</v>
      </c>
      <c r="BC35" s="516">
        <v>0</v>
      </c>
      <c r="BD35" s="516">
        <v>0</v>
      </c>
      <c r="BE35" s="516">
        <v>0</v>
      </c>
      <c r="BF35" s="516">
        <v>0</v>
      </c>
      <c r="BG35" s="516">
        <v>28668</v>
      </c>
      <c r="BH35" s="516">
        <v>0</v>
      </c>
      <c r="BI35" s="516">
        <v>0</v>
      </c>
      <c r="BJ35" s="516">
        <v>0</v>
      </c>
      <c r="BK35" s="516">
        <v>0</v>
      </c>
      <c r="BL35" s="516">
        <v>145621</v>
      </c>
      <c r="BM35" s="516">
        <v>0</v>
      </c>
      <c r="BN35" s="516">
        <v>0</v>
      </c>
      <c r="BO35" s="516">
        <v>0</v>
      </c>
      <c r="BP35" s="516">
        <v>0</v>
      </c>
      <c r="BQ35" s="516">
        <v>0</v>
      </c>
      <c r="BR35" s="516">
        <v>0</v>
      </c>
      <c r="BS35" s="516">
        <v>0</v>
      </c>
      <c r="BT35" s="516">
        <v>0</v>
      </c>
      <c r="BU35" s="516">
        <v>0</v>
      </c>
      <c r="BV35" s="516">
        <v>0</v>
      </c>
      <c r="BW35" s="516">
        <v>0</v>
      </c>
      <c r="BX35" s="516">
        <v>0</v>
      </c>
      <c r="BY35" s="516">
        <v>0</v>
      </c>
      <c r="BZ35" s="516">
        <v>0</v>
      </c>
      <c r="CA35" s="516">
        <v>0</v>
      </c>
      <c r="CB35" s="516">
        <v>0</v>
      </c>
    </row>
    <row r="36" spans="1:80" x14ac:dyDescent="0.25">
      <c r="A36" s="860">
        <v>49</v>
      </c>
      <c r="B36" s="846">
        <v>49</v>
      </c>
      <c r="C36" s="860" t="s">
        <v>295</v>
      </c>
      <c r="D36" s="860" t="s">
        <v>407</v>
      </c>
      <c r="E36" s="516">
        <v>0</v>
      </c>
      <c r="F36" s="516">
        <v>0</v>
      </c>
      <c r="G36" s="516">
        <v>0</v>
      </c>
      <c r="H36" s="516">
        <v>8503830</v>
      </c>
      <c r="I36" s="516">
        <v>591439</v>
      </c>
      <c r="J36" s="516">
        <v>19398</v>
      </c>
      <c r="K36" s="516">
        <v>236436</v>
      </c>
      <c r="L36" s="516">
        <v>153094</v>
      </c>
      <c r="M36" s="516">
        <v>2758552</v>
      </c>
      <c r="N36" s="516">
        <v>0</v>
      </c>
      <c r="O36" s="516">
        <v>131239</v>
      </c>
      <c r="P36" s="516">
        <v>223024</v>
      </c>
      <c r="Q36" s="516">
        <v>0</v>
      </c>
      <c r="R36" s="516">
        <v>721956</v>
      </c>
      <c r="S36" s="516">
        <v>1029190</v>
      </c>
      <c r="T36" s="516">
        <v>2738347</v>
      </c>
      <c r="U36" s="516">
        <v>0</v>
      </c>
      <c r="V36" s="516">
        <v>2875515</v>
      </c>
      <c r="W36" s="516">
        <v>0</v>
      </c>
      <c r="X36" s="516">
        <v>0</v>
      </c>
      <c r="Y36" s="516">
        <v>0</v>
      </c>
      <c r="Z36" s="516">
        <v>252643</v>
      </c>
      <c r="AA36" s="516">
        <v>401506</v>
      </c>
      <c r="AB36" s="516">
        <v>301705</v>
      </c>
      <c r="AC36" s="516">
        <v>0</v>
      </c>
      <c r="AD36" s="516">
        <v>4009</v>
      </c>
      <c r="AE36" s="516">
        <v>302061</v>
      </c>
      <c r="AF36" s="516">
        <v>556143</v>
      </c>
      <c r="AG36" s="516">
        <v>25726</v>
      </c>
      <c r="AH36" s="516">
        <v>0</v>
      </c>
      <c r="AI36" s="516">
        <v>0</v>
      </c>
      <c r="AJ36" s="516">
        <v>65383</v>
      </c>
      <c r="AK36" s="516">
        <v>1535376</v>
      </c>
      <c r="AL36" s="516">
        <v>52740</v>
      </c>
      <c r="AM36" s="516">
        <v>0</v>
      </c>
      <c r="AN36" s="516">
        <v>1611344</v>
      </c>
      <c r="AO36" s="516">
        <v>1428765</v>
      </c>
      <c r="AP36" s="516">
        <v>10832</v>
      </c>
      <c r="AQ36" s="516">
        <v>0</v>
      </c>
      <c r="AR36" s="516">
        <v>1261484</v>
      </c>
      <c r="AS36" s="516">
        <v>256265</v>
      </c>
      <c r="AT36" s="516">
        <v>120440</v>
      </c>
      <c r="AU36" s="516">
        <v>256769</v>
      </c>
      <c r="AV36" s="516">
        <v>1657257</v>
      </c>
      <c r="AW36" s="516">
        <v>60968</v>
      </c>
      <c r="AX36" s="516">
        <v>175643</v>
      </c>
      <c r="AY36" s="516">
        <v>287292</v>
      </c>
      <c r="AZ36" s="516">
        <v>341453</v>
      </c>
      <c r="BA36" s="516">
        <v>541181</v>
      </c>
      <c r="BB36" s="516">
        <v>0</v>
      </c>
      <c r="BC36" s="516">
        <v>0</v>
      </c>
      <c r="BD36" s="516">
        <v>0</v>
      </c>
      <c r="BE36" s="516">
        <v>0</v>
      </c>
      <c r="BF36" s="516">
        <v>0</v>
      </c>
      <c r="BG36" s="516">
        <v>106319</v>
      </c>
      <c r="BH36" s="516">
        <v>0</v>
      </c>
      <c r="BI36" s="516">
        <v>293991</v>
      </c>
      <c r="BJ36" s="516">
        <v>183675</v>
      </c>
      <c r="BK36" s="516">
        <v>0</v>
      </c>
      <c r="BL36" s="516">
        <v>359919</v>
      </c>
      <c r="BM36" s="516">
        <v>310258</v>
      </c>
      <c r="BN36" s="516">
        <v>0</v>
      </c>
      <c r="BO36" s="516">
        <v>894589</v>
      </c>
      <c r="BP36" s="516">
        <v>284251</v>
      </c>
      <c r="BQ36" s="516">
        <v>272850</v>
      </c>
      <c r="BR36" s="516">
        <v>167773</v>
      </c>
      <c r="BS36" s="516">
        <v>0</v>
      </c>
      <c r="BT36" s="516">
        <v>0</v>
      </c>
      <c r="BU36" s="516">
        <v>248586</v>
      </c>
      <c r="BV36" s="516">
        <v>559540</v>
      </c>
      <c r="BW36" s="516">
        <v>143074</v>
      </c>
      <c r="BX36" s="516">
        <v>33834</v>
      </c>
      <c r="BY36" s="516">
        <v>0</v>
      </c>
      <c r="BZ36" s="516">
        <v>0</v>
      </c>
      <c r="CA36" s="516">
        <v>1488275</v>
      </c>
      <c r="CB36" s="516">
        <v>0</v>
      </c>
    </row>
    <row r="37" spans="1:80" x14ac:dyDescent="0.25">
      <c r="A37" s="860">
        <v>50</v>
      </c>
      <c r="B37" s="846">
        <v>50</v>
      </c>
      <c r="C37" s="860" t="s">
        <v>107</v>
      </c>
      <c r="D37" s="860" t="s">
        <v>408</v>
      </c>
      <c r="E37" s="516">
        <v>0</v>
      </c>
      <c r="F37" s="516">
        <v>0</v>
      </c>
      <c r="G37" s="516">
        <v>0</v>
      </c>
      <c r="H37" s="516">
        <v>3932536</v>
      </c>
      <c r="I37" s="516">
        <v>1287972</v>
      </c>
      <c r="J37" s="516">
        <v>945</v>
      </c>
      <c r="K37" s="516">
        <v>323757</v>
      </c>
      <c r="L37" s="516">
        <v>40157</v>
      </c>
      <c r="M37" s="516">
        <v>1790020</v>
      </c>
      <c r="N37" s="516">
        <v>0</v>
      </c>
      <c r="O37" s="516">
        <v>42517</v>
      </c>
      <c r="P37" s="516">
        <v>48886</v>
      </c>
      <c r="Q37" s="516">
        <v>0</v>
      </c>
      <c r="R37" s="516">
        <v>1375674</v>
      </c>
      <c r="S37" s="516">
        <v>552715</v>
      </c>
      <c r="T37" s="516">
        <v>673383</v>
      </c>
      <c r="U37" s="516">
        <v>0</v>
      </c>
      <c r="V37" s="516">
        <v>-2855074</v>
      </c>
      <c r="W37" s="516">
        <v>0</v>
      </c>
      <c r="X37" s="516">
        <v>0</v>
      </c>
      <c r="Y37" s="516">
        <v>-58489</v>
      </c>
      <c r="Z37" s="516">
        <v>302092</v>
      </c>
      <c r="AA37" s="516">
        <v>165799</v>
      </c>
      <c r="AB37" s="516">
        <v>-863629</v>
      </c>
      <c r="AC37" s="516">
        <v>0</v>
      </c>
      <c r="AD37" s="516">
        <v>-6905</v>
      </c>
      <c r="AE37" s="516">
        <v>-59169</v>
      </c>
      <c r="AF37" s="516">
        <v>128296</v>
      </c>
      <c r="AG37" s="516">
        <v>-12826</v>
      </c>
      <c r="AH37" s="516">
        <v>0</v>
      </c>
      <c r="AI37" s="516">
        <v>0</v>
      </c>
      <c r="AJ37" s="516">
        <v>44700</v>
      </c>
      <c r="AK37" s="516">
        <v>2154827</v>
      </c>
      <c r="AL37" s="516">
        <v>-48841</v>
      </c>
      <c r="AM37" s="516">
        <v>0</v>
      </c>
      <c r="AN37" s="516">
        <v>2188970</v>
      </c>
      <c r="AO37" s="516">
        <v>2124827</v>
      </c>
      <c r="AP37" s="516">
        <v>28941</v>
      </c>
      <c r="AQ37" s="516">
        <v>0</v>
      </c>
      <c r="AR37" s="516">
        <v>4582005</v>
      </c>
      <c r="AS37" s="516">
        <v>-159349</v>
      </c>
      <c r="AT37" s="516">
        <v>-106144</v>
      </c>
      <c r="AU37" s="516">
        <v>-583397</v>
      </c>
      <c r="AV37" s="516">
        <v>1317599</v>
      </c>
      <c r="AW37" s="516">
        <v>55488</v>
      </c>
      <c r="AX37" s="516">
        <v>-155933</v>
      </c>
      <c r="AY37" s="516">
        <v>951447</v>
      </c>
      <c r="AZ37" s="516">
        <v>1219995</v>
      </c>
      <c r="BA37" s="516">
        <v>-180704</v>
      </c>
      <c r="BB37" s="516">
        <v>0</v>
      </c>
      <c r="BC37" s="516">
        <v>0</v>
      </c>
      <c r="BD37" s="516">
        <v>0</v>
      </c>
      <c r="BE37" s="516">
        <v>0</v>
      </c>
      <c r="BF37" s="516">
        <v>0</v>
      </c>
      <c r="BG37" s="516">
        <v>-103895</v>
      </c>
      <c r="BH37" s="516">
        <v>0</v>
      </c>
      <c r="BI37" s="516">
        <v>172067</v>
      </c>
      <c r="BJ37" s="516">
        <v>154002</v>
      </c>
      <c r="BK37" s="516">
        <v>0</v>
      </c>
      <c r="BL37" s="516">
        <v>-25593</v>
      </c>
      <c r="BM37" s="516">
        <v>144889</v>
      </c>
      <c r="BN37" s="516">
        <v>0</v>
      </c>
      <c r="BO37" s="516">
        <v>-36880</v>
      </c>
      <c r="BP37" s="516">
        <v>797625</v>
      </c>
      <c r="BQ37" s="516">
        <v>1280839</v>
      </c>
      <c r="BR37" s="516">
        <v>228724</v>
      </c>
      <c r="BS37" s="516">
        <v>0</v>
      </c>
      <c r="BT37" s="516">
        <v>0</v>
      </c>
      <c r="BU37" s="516">
        <v>410207</v>
      </c>
      <c r="BV37" s="516">
        <v>192300</v>
      </c>
      <c r="BW37" s="516">
        <v>93984</v>
      </c>
      <c r="BX37" s="516">
        <v>1360230</v>
      </c>
      <c r="BY37" s="516">
        <v>0</v>
      </c>
      <c r="BZ37" s="516">
        <v>0</v>
      </c>
      <c r="CA37" s="516">
        <v>655821</v>
      </c>
      <c r="CB37" s="516">
        <v>0</v>
      </c>
    </row>
    <row r="38" spans="1:80" x14ac:dyDescent="0.25">
      <c r="A38" s="860">
        <v>51</v>
      </c>
      <c r="B38" s="846">
        <v>51</v>
      </c>
      <c r="C38" s="860" t="s">
        <v>313</v>
      </c>
      <c r="D38" s="860" t="s">
        <v>409</v>
      </c>
      <c r="E38" s="516">
        <v>0</v>
      </c>
      <c r="F38" s="516">
        <v>0</v>
      </c>
      <c r="G38" s="516">
        <v>0</v>
      </c>
      <c r="H38" s="516">
        <v>11875639</v>
      </c>
      <c r="I38" s="516">
        <v>1718527</v>
      </c>
      <c r="J38" s="516">
        <v>15916</v>
      </c>
      <c r="K38" s="516">
        <v>267350</v>
      </c>
      <c r="L38" s="516">
        <v>329988</v>
      </c>
      <c r="M38" s="516">
        <v>3530260</v>
      </c>
      <c r="N38" s="516">
        <v>0</v>
      </c>
      <c r="O38" s="516">
        <v>140119</v>
      </c>
      <c r="P38" s="516">
        <v>161135</v>
      </c>
      <c r="Q38" s="516">
        <v>0</v>
      </c>
      <c r="R38" s="516">
        <v>1398881</v>
      </c>
      <c r="S38" s="516">
        <v>1432194</v>
      </c>
      <c r="T38" s="516">
        <v>3285160</v>
      </c>
      <c r="U38" s="516">
        <v>0</v>
      </c>
      <c r="V38" s="516">
        <v>1211118</v>
      </c>
      <c r="W38" s="516">
        <v>0</v>
      </c>
      <c r="X38" s="516">
        <v>0</v>
      </c>
      <c r="Y38" s="516">
        <v>0</v>
      </c>
      <c r="Z38" s="516">
        <v>460447</v>
      </c>
      <c r="AA38" s="516">
        <v>578745</v>
      </c>
      <c r="AB38" s="516">
        <v>517136</v>
      </c>
      <c r="AC38" s="516">
        <v>0</v>
      </c>
      <c r="AD38" s="516">
        <v>11544</v>
      </c>
      <c r="AE38" s="516">
        <v>249235</v>
      </c>
      <c r="AF38" s="516">
        <v>693214</v>
      </c>
      <c r="AG38" s="516">
        <v>5955</v>
      </c>
      <c r="AH38" s="516">
        <v>0</v>
      </c>
      <c r="AI38" s="516">
        <v>0</v>
      </c>
      <c r="AJ38" s="516">
        <v>62048</v>
      </c>
      <c r="AK38" s="516">
        <v>3263406</v>
      </c>
      <c r="AL38" s="516">
        <v>-793</v>
      </c>
      <c r="AM38" s="516">
        <v>0</v>
      </c>
      <c r="AN38" s="516">
        <v>3431377</v>
      </c>
      <c r="AO38" s="516">
        <v>3489001</v>
      </c>
      <c r="AP38" s="516">
        <v>21248</v>
      </c>
      <c r="AQ38" s="516">
        <v>0</v>
      </c>
      <c r="AR38" s="516">
        <v>2054393</v>
      </c>
      <c r="AS38" s="516">
        <v>10835</v>
      </c>
      <c r="AT38" s="516">
        <v>27908</v>
      </c>
      <c r="AU38" s="516">
        <v>-56972</v>
      </c>
      <c r="AV38" s="516">
        <v>3114375</v>
      </c>
      <c r="AW38" s="516">
        <v>116593</v>
      </c>
      <c r="AX38" s="516">
        <v>4011</v>
      </c>
      <c r="AY38" s="516">
        <v>1234412</v>
      </c>
      <c r="AZ38" s="516">
        <v>207857</v>
      </c>
      <c r="BA38" s="516">
        <v>454333</v>
      </c>
      <c r="BB38" s="516">
        <v>0</v>
      </c>
      <c r="BC38" s="516">
        <v>0</v>
      </c>
      <c r="BD38" s="516">
        <v>0</v>
      </c>
      <c r="BE38" s="516">
        <v>0</v>
      </c>
      <c r="BF38" s="516">
        <v>0</v>
      </c>
      <c r="BG38" s="516">
        <v>-34931</v>
      </c>
      <c r="BH38" s="516">
        <v>0</v>
      </c>
      <c r="BI38" s="516">
        <v>283752</v>
      </c>
      <c r="BJ38" s="516">
        <v>349881</v>
      </c>
      <c r="BK38" s="516">
        <v>0</v>
      </c>
      <c r="BL38" s="516">
        <v>550459</v>
      </c>
      <c r="BM38" s="516">
        <v>548929</v>
      </c>
      <c r="BN38" s="516">
        <v>0</v>
      </c>
      <c r="BO38" s="516">
        <v>697233</v>
      </c>
      <c r="BP38" s="516">
        <v>186312</v>
      </c>
      <c r="BQ38" s="516">
        <v>197026</v>
      </c>
      <c r="BR38" s="516">
        <v>349264</v>
      </c>
      <c r="BS38" s="516">
        <v>0</v>
      </c>
      <c r="BT38" s="516">
        <v>0</v>
      </c>
      <c r="BU38" s="516">
        <v>70337</v>
      </c>
      <c r="BV38" s="516">
        <v>564544</v>
      </c>
      <c r="BW38" s="516">
        <v>120596</v>
      </c>
      <c r="BX38" s="516">
        <v>198471</v>
      </c>
      <c r="BY38" s="516">
        <v>0</v>
      </c>
      <c r="BZ38" s="516">
        <v>0</v>
      </c>
      <c r="CA38" s="516">
        <v>1860081</v>
      </c>
      <c r="CB38" s="516">
        <v>0</v>
      </c>
    </row>
    <row r="39" spans="1:80" x14ac:dyDescent="0.25">
      <c r="A39" s="860">
        <v>52</v>
      </c>
      <c r="B39" s="846">
        <v>52</v>
      </c>
      <c r="C39" s="860" t="s">
        <v>306</v>
      </c>
      <c r="D39" s="860" t="s">
        <v>410</v>
      </c>
      <c r="E39" s="516">
        <v>0</v>
      </c>
      <c r="F39" s="516">
        <v>0</v>
      </c>
      <c r="G39" s="516">
        <v>0</v>
      </c>
      <c r="H39" s="516">
        <v>0</v>
      </c>
      <c r="I39" s="516">
        <v>0</v>
      </c>
      <c r="J39" s="516">
        <v>0</v>
      </c>
      <c r="K39" s="516">
        <v>0</v>
      </c>
      <c r="L39" s="516">
        <v>0</v>
      </c>
      <c r="M39" s="516">
        <v>0</v>
      </c>
      <c r="N39" s="516">
        <v>0</v>
      </c>
      <c r="O39" s="516">
        <v>0</v>
      </c>
      <c r="P39" s="516">
        <v>0</v>
      </c>
      <c r="Q39" s="516">
        <v>0</v>
      </c>
      <c r="R39" s="516">
        <v>0</v>
      </c>
      <c r="S39" s="516">
        <v>0</v>
      </c>
      <c r="T39" s="516">
        <v>783338</v>
      </c>
      <c r="U39" s="516">
        <v>0</v>
      </c>
      <c r="V39" s="516">
        <v>1151958</v>
      </c>
      <c r="W39" s="516">
        <v>0</v>
      </c>
      <c r="X39" s="516">
        <v>0</v>
      </c>
      <c r="Y39" s="516">
        <v>0</v>
      </c>
      <c r="Z39" s="516">
        <v>0</v>
      </c>
      <c r="AA39" s="516">
        <v>123954</v>
      </c>
      <c r="AB39" s="516">
        <v>99872</v>
      </c>
      <c r="AC39" s="516">
        <v>0</v>
      </c>
      <c r="AD39" s="516">
        <v>0</v>
      </c>
      <c r="AE39" s="516">
        <v>0</v>
      </c>
      <c r="AF39" s="516">
        <v>166910</v>
      </c>
      <c r="AG39" s="516">
        <v>0</v>
      </c>
      <c r="AH39" s="516">
        <v>0</v>
      </c>
      <c r="AI39" s="516">
        <v>0</v>
      </c>
      <c r="AJ39" s="516">
        <v>0</v>
      </c>
      <c r="AK39" s="516">
        <v>408127</v>
      </c>
      <c r="AL39" s="516">
        <v>0</v>
      </c>
      <c r="AM39" s="516">
        <v>0</v>
      </c>
      <c r="AN39" s="516">
        <v>0</v>
      </c>
      <c r="AO39" s="516">
        <v>0</v>
      </c>
      <c r="AP39" s="516">
        <v>0</v>
      </c>
      <c r="AQ39" s="516">
        <v>0</v>
      </c>
      <c r="AR39" s="516">
        <v>1081713</v>
      </c>
      <c r="AS39" s="516">
        <v>0</v>
      </c>
      <c r="AT39" s="516">
        <v>0</v>
      </c>
      <c r="AU39" s="516">
        <v>0</v>
      </c>
      <c r="AV39" s="516">
        <v>154209</v>
      </c>
      <c r="AW39" s="516">
        <v>0</v>
      </c>
      <c r="AX39" s="516">
        <v>0</v>
      </c>
      <c r="AY39" s="516">
        <v>0</v>
      </c>
      <c r="AZ39" s="516">
        <v>0</v>
      </c>
      <c r="BA39" s="516">
        <v>227637</v>
      </c>
      <c r="BB39" s="516">
        <v>0</v>
      </c>
      <c r="BC39" s="516">
        <v>0</v>
      </c>
      <c r="BD39" s="516">
        <v>0</v>
      </c>
      <c r="BE39" s="516">
        <v>0</v>
      </c>
      <c r="BF39" s="516">
        <v>0</v>
      </c>
      <c r="BG39" s="516">
        <v>1622</v>
      </c>
      <c r="BH39" s="516">
        <v>0</v>
      </c>
      <c r="BI39" s="516">
        <v>0</v>
      </c>
      <c r="BJ39" s="516">
        <v>0</v>
      </c>
      <c r="BK39" s="516">
        <v>0</v>
      </c>
      <c r="BL39" s="516">
        <v>195948</v>
      </c>
      <c r="BM39" s="516">
        <v>0</v>
      </c>
      <c r="BN39" s="516">
        <v>0</v>
      </c>
      <c r="BO39" s="516">
        <v>0</v>
      </c>
      <c r="BP39" s="516">
        <v>0</v>
      </c>
      <c r="BQ39" s="516">
        <v>0</v>
      </c>
      <c r="BR39" s="516">
        <v>0</v>
      </c>
      <c r="BS39" s="516">
        <v>0</v>
      </c>
      <c r="BT39" s="516">
        <v>0</v>
      </c>
      <c r="BU39" s="516">
        <v>0</v>
      </c>
      <c r="BV39" s="516">
        <v>0</v>
      </c>
      <c r="BW39" s="516">
        <v>0</v>
      </c>
      <c r="BX39" s="516">
        <v>0</v>
      </c>
      <c r="BY39" s="516">
        <v>0</v>
      </c>
      <c r="BZ39" s="516">
        <v>0</v>
      </c>
      <c r="CA39" s="516">
        <v>0</v>
      </c>
      <c r="CB39" s="516">
        <v>0</v>
      </c>
    </row>
    <row r="40" spans="1:80" x14ac:dyDescent="0.25">
      <c r="A40" s="860">
        <v>53</v>
      </c>
      <c r="B40" s="846">
        <v>53</v>
      </c>
      <c r="C40" s="860" t="s">
        <v>108</v>
      </c>
      <c r="D40" s="860" t="s">
        <v>411</v>
      </c>
      <c r="E40" s="516">
        <v>0</v>
      </c>
      <c r="F40" s="516">
        <v>0</v>
      </c>
      <c r="G40" s="516">
        <v>0</v>
      </c>
      <c r="H40" s="516">
        <v>0</v>
      </c>
      <c r="I40" s="516">
        <v>0</v>
      </c>
      <c r="J40" s="516">
        <v>0</v>
      </c>
      <c r="K40" s="516">
        <v>0</v>
      </c>
      <c r="L40" s="516">
        <v>0</v>
      </c>
      <c r="M40" s="516">
        <v>0</v>
      </c>
      <c r="N40" s="516">
        <v>0</v>
      </c>
      <c r="O40" s="516">
        <v>0</v>
      </c>
      <c r="P40" s="516">
        <v>0</v>
      </c>
      <c r="Q40" s="516">
        <v>0</v>
      </c>
      <c r="R40" s="516">
        <v>0</v>
      </c>
      <c r="S40" s="516">
        <v>0</v>
      </c>
      <c r="T40" s="516">
        <v>1061684</v>
      </c>
      <c r="U40" s="516">
        <v>0</v>
      </c>
      <c r="V40" s="516">
        <v>5115764</v>
      </c>
      <c r="W40" s="516">
        <v>0</v>
      </c>
      <c r="X40" s="516">
        <v>0</v>
      </c>
      <c r="Y40" s="516">
        <v>0</v>
      </c>
      <c r="Z40" s="516">
        <v>0</v>
      </c>
      <c r="AA40" s="516">
        <v>-45342</v>
      </c>
      <c r="AB40" s="516">
        <v>611399</v>
      </c>
      <c r="AC40" s="516">
        <v>0</v>
      </c>
      <c r="AD40" s="516">
        <v>0</v>
      </c>
      <c r="AE40" s="516">
        <v>0</v>
      </c>
      <c r="AF40" s="516">
        <v>479269</v>
      </c>
      <c r="AG40" s="516">
        <v>0</v>
      </c>
      <c r="AH40" s="516">
        <v>0</v>
      </c>
      <c r="AI40" s="516">
        <v>0</v>
      </c>
      <c r="AJ40" s="516">
        <v>0</v>
      </c>
      <c r="AK40" s="516">
        <v>1602310</v>
      </c>
      <c r="AL40" s="516">
        <v>0</v>
      </c>
      <c r="AM40" s="516">
        <v>0</v>
      </c>
      <c r="AN40" s="516">
        <v>0</v>
      </c>
      <c r="AO40" s="516">
        <v>0</v>
      </c>
      <c r="AP40" s="516">
        <v>0</v>
      </c>
      <c r="AQ40" s="516">
        <v>0</v>
      </c>
      <c r="AR40" s="516">
        <v>5428591</v>
      </c>
      <c r="AS40" s="516">
        <v>0</v>
      </c>
      <c r="AT40" s="516">
        <v>0</v>
      </c>
      <c r="AU40" s="516">
        <v>0</v>
      </c>
      <c r="AV40" s="516">
        <v>812615</v>
      </c>
      <c r="AW40" s="516">
        <v>0</v>
      </c>
      <c r="AX40" s="516">
        <v>0</v>
      </c>
      <c r="AY40" s="516">
        <v>0</v>
      </c>
      <c r="AZ40" s="516">
        <v>0</v>
      </c>
      <c r="BA40" s="516">
        <v>95133</v>
      </c>
      <c r="BB40" s="516">
        <v>0</v>
      </c>
      <c r="BC40" s="516">
        <v>0</v>
      </c>
      <c r="BD40" s="516">
        <v>0</v>
      </c>
      <c r="BE40" s="516">
        <v>0</v>
      </c>
      <c r="BF40" s="516">
        <v>0</v>
      </c>
      <c r="BG40" s="516">
        <v>59042</v>
      </c>
      <c r="BH40" s="516">
        <v>0</v>
      </c>
      <c r="BI40" s="516">
        <v>0</v>
      </c>
      <c r="BJ40" s="516">
        <v>0</v>
      </c>
      <c r="BK40" s="516">
        <v>0</v>
      </c>
      <c r="BL40" s="516">
        <v>224834</v>
      </c>
      <c r="BM40" s="516">
        <v>0</v>
      </c>
      <c r="BN40" s="516">
        <v>0</v>
      </c>
      <c r="BO40" s="516">
        <v>0</v>
      </c>
      <c r="BP40" s="516">
        <v>0</v>
      </c>
      <c r="BQ40" s="516">
        <v>0</v>
      </c>
      <c r="BR40" s="516">
        <v>0</v>
      </c>
      <c r="BS40" s="516">
        <v>0</v>
      </c>
      <c r="BT40" s="516">
        <v>0</v>
      </c>
      <c r="BU40" s="516">
        <v>0</v>
      </c>
      <c r="BV40" s="516">
        <v>0</v>
      </c>
      <c r="BW40" s="516">
        <v>0</v>
      </c>
      <c r="BX40" s="516">
        <v>0</v>
      </c>
      <c r="BY40" s="516">
        <v>0</v>
      </c>
      <c r="BZ40" s="516">
        <v>0</v>
      </c>
      <c r="CA40" s="516">
        <v>0</v>
      </c>
      <c r="CB40" s="516">
        <v>0</v>
      </c>
    </row>
    <row r="41" spans="1:80" x14ac:dyDescent="0.25">
      <c r="A41" s="860"/>
      <c r="B41" s="846">
        <v>54</v>
      </c>
      <c r="C41" s="860" t="s">
        <v>730</v>
      </c>
      <c r="D41" s="860" t="s">
        <v>412</v>
      </c>
      <c r="E41" s="516"/>
      <c r="F41" s="516"/>
      <c r="G41" s="516"/>
      <c r="H41" s="516"/>
      <c r="I41" s="516"/>
      <c r="J41" s="516"/>
      <c r="K41" s="516"/>
      <c r="L41" s="516"/>
      <c r="M41" s="516"/>
      <c r="N41" s="516"/>
      <c r="O41" s="516"/>
      <c r="P41" s="516"/>
      <c r="Q41" s="516"/>
      <c r="R41" s="516"/>
      <c r="S41" s="516"/>
      <c r="T41" s="516"/>
      <c r="U41" s="516"/>
      <c r="V41" s="516"/>
      <c r="W41" s="516"/>
      <c r="X41" s="516"/>
      <c r="Y41" s="516"/>
      <c r="Z41" s="516"/>
      <c r="AA41" s="516"/>
      <c r="AB41" s="516"/>
      <c r="AC41" s="516"/>
      <c r="AD41" s="516"/>
      <c r="AE41" s="516"/>
      <c r="AF41" s="516"/>
      <c r="AG41" s="516"/>
      <c r="AH41" s="516"/>
      <c r="AI41" s="516"/>
      <c r="AJ41" s="516"/>
      <c r="AK41" s="516"/>
      <c r="AL41" s="516"/>
      <c r="AM41" s="516"/>
      <c r="AN41" s="516"/>
      <c r="AO41" s="516"/>
      <c r="AP41" s="516"/>
      <c r="AQ41" s="516"/>
      <c r="AR41" s="516"/>
      <c r="AS41" s="516"/>
      <c r="AT41" s="516"/>
      <c r="AU41" s="516"/>
      <c r="AV41" s="516"/>
      <c r="AW41" s="516"/>
      <c r="AX41" s="516"/>
      <c r="AY41" s="516"/>
      <c r="AZ41" s="516"/>
      <c r="BA41" s="516"/>
      <c r="BB41" s="516"/>
      <c r="BC41" s="516"/>
      <c r="BD41" s="516"/>
      <c r="BE41" s="516"/>
      <c r="BF41" s="516"/>
      <c r="BG41" s="516"/>
      <c r="BH41" s="516"/>
      <c r="BI41" s="516"/>
      <c r="BJ41" s="516"/>
      <c r="BK41" s="516"/>
      <c r="BL41" s="516"/>
      <c r="BM41" s="516"/>
      <c r="BN41" s="516"/>
      <c r="BO41" s="516"/>
      <c r="BP41" s="516"/>
      <c r="BQ41" s="516"/>
      <c r="BR41" s="516"/>
      <c r="BS41" s="516"/>
      <c r="BT41" s="516"/>
      <c r="BU41" s="516"/>
      <c r="BV41" s="516"/>
      <c r="BW41" s="516"/>
      <c r="BX41" s="516"/>
      <c r="BY41" s="516"/>
      <c r="BZ41" s="516"/>
      <c r="CA41" s="516"/>
      <c r="CB41" s="516"/>
    </row>
    <row r="42" spans="1:80" x14ac:dyDescent="0.25">
      <c r="A42" s="860">
        <v>55</v>
      </c>
      <c r="B42" s="846">
        <v>55</v>
      </c>
      <c r="C42" s="860" t="s">
        <v>316</v>
      </c>
      <c r="D42" s="860" t="s">
        <v>413</v>
      </c>
      <c r="E42" s="516">
        <v>0</v>
      </c>
      <c r="F42" s="516">
        <v>0</v>
      </c>
      <c r="G42" s="516">
        <v>0</v>
      </c>
      <c r="H42" s="516">
        <v>0</v>
      </c>
      <c r="I42" s="516">
        <v>0</v>
      </c>
      <c r="J42" s="516">
        <v>0</v>
      </c>
      <c r="K42" s="516">
        <v>0</v>
      </c>
      <c r="L42" s="516">
        <v>0</v>
      </c>
      <c r="M42" s="516">
        <v>0</v>
      </c>
      <c r="N42" s="516">
        <v>0</v>
      </c>
      <c r="O42" s="516">
        <v>0</v>
      </c>
      <c r="P42" s="516">
        <v>0</v>
      </c>
      <c r="Q42" s="516">
        <v>0</v>
      </c>
      <c r="R42" s="516">
        <v>0</v>
      </c>
      <c r="S42" s="516">
        <v>0</v>
      </c>
      <c r="T42" s="516">
        <v>2873810</v>
      </c>
      <c r="U42" s="516">
        <v>0</v>
      </c>
      <c r="V42" s="516">
        <v>9622054</v>
      </c>
      <c r="W42" s="516">
        <v>0</v>
      </c>
      <c r="X42" s="516">
        <v>0</v>
      </c>
      <c r="Y42" s="516">
        <v>0</v>
      </c>
      <c r="Z42" s="516">
        <v>0</v>
      </c>
      <c r="AA42" s="516">
        <v>77541</v>
      </c>
      <c r="AB42" s="516">
        <v>691639</v>
      </c>
      <c r="AC42" s="516">
        <v>0</v>
      </c>
      <c r="AD42" s="516">
        <v>0</v>
      </c>
      <c r="AE42" s="516">
        <v>0</v>
      </c>
      <c r="AF42" s="516">
        <v>517943</v>
      </c>
      <c r="AG42" s="516">
        <v>0</v>
      </c>
      <c r="AH42" s="516">
        <v>0</v>
      </c>
      <c r="AI42" s="516">
        <v>0</v>
      </c>
      <c r="AJ42" s="516">
        <v>0</v>
      </c>
      <c r="AK42" s="516">
        <v>1559859</v>
      </c>
      <c r="AL42" s="516">
        <v>0</v>
      </c>
      <c r="AM42" s="516">
        <v>0</v>
      </c>
      <c r="AN42" s="516">
        <v>0</v>
      </c>
      <c r="AO42" s="516">
        <v>0</v>
      </c>
      <c r="AP42" s="516">
        <v>0</v>
      </c>
      <c r="AQ42" s="516">
        <v>0</v>
      </c>
      <c r="AR42" s="516">
        <v>4669654</v>
      </c>
      <c r="AS42" s="516">
        <v>0</v>
      </c>
      <c r="AT42" s="516">
        <v>0</v>
      </c>
      <c r="AU42" s="516">
        <v>0</v>
      </c>
      <c r="AV42" s="516">
        <v>1025526</v>
      </c>
      <c r="AW42" s="516">
        <v>0</v>
      </c>
      <c r="AX42" s="516">
        <v>0</v>
      </c>
      <c r="AY42" s="516">
        <v>0</v>
      </c>
      <c r="AZ42" s="516">
        <v>0</v>
      </c>
      <c r="BA42" s="516">
        <v>567786</v>
      </c>
      <c r="BB42" s="516">
        <v>0</v>
      </c>
      <c r="BC42" s="516">
        <v>0</v>
      </c>
      <c r="BD42" s="516">
        <v>0</v>
      </c>
      <c r="BE42" s="516">
        <v>0</v>
      </c>
      <c r="BF42" s="516">
        <v>0</v>
      </c>
      <c r="BG42" s="516">
        <v>-11792</v>
      </c>
      <c r="BH42" s="516">
        <v>0</v>
      </c>
      <c r="BI42" s="516">
        <v>0</v>
      </c>
      <c r="BJ42" s="516">
        <v>0</v>
      </c>
      <c r="BK42" s="516">
        <v>0</v>
      </c>
      <c r="BL42" s="516">
        <v>432582</v>
      </c>
      <c r="BM42" s="516">
        <v>0</v>
      </c>
      <c r="BN42" s="516">
        <v>0</v>
      </c>
      <c r="BO42" s="516">
        <v>0</v>
      </c>
      <c r="BP42" s="516">
        <v>0</v>
      </c>
      <c r="BQ42" s="516">
        <v>0</v>
      </c>
      <c r="BR42" s="516">
        <v>0</v>
      </c>
      <c r="BS42" s="516">
        <v>0</v>
      </c>
      <c r="BT42" s="516">
        <v>0</v>
      </c>
      <c r="BU42" s="516">
        <v>0</v>
      </c>
      <c r="BV42" s="516">
        <v>0</v>
      </c>
      <c r="BW42" s="516">
        <v>0</v>
      </c>
      <c r="BX42" s="516">
        <v>0</v>
      </c>
      <c r="BY42" s="516">
        <v>0</v>
      </c>
      <c r="BZ42" s="516">
        <v>0</v>
      </c>
      <c r="CA42" s="516">
        <v>0</v>
      </c>
      <c r="CB42" s="516">
        <v>0</v>
      </c>
    </row>
    <row r="43" spans="1:80" x14ac:dyDescent="0.25">
      <c r="A43" s="860">
        <v>61</v>
      </c>
      <c r="B43" s="846">
        <v>61</v>
      </c>
      <c r="C43" s="860" t="s">
        <v>335</v>
      </c>
      <c r="D43" s="860" t="s">
        <v>414</v>
      </c>
      <c r="E43" s="862">
        <v>99.53</v>
      </c>
      <c r="F43" s="862">
        <v>99.75</v>
      </c>
      <c r="G43" s="862">
        <v>0</v>
      </c>
      <c r="H43" s="862">
        <v>99.34</v>
      </c>
      <c r="I43" s="862">
        <v>99.58</v>
      </c>
      <c r="J43" s="862">
        <v>91.8</v>
      </c>
      <c r="K43" s="862">
        <v>95.12</v>
      </c>
      <c r="L43" s="862">
        <v>96.79</v>
      </c>
      <c r="M43" s="862">
        <v>98.31</v>
      </c>
      <c r="N43" s="862">
        <v>94.06</v>
      </c>
      <c r="O43" s="862">
        <v>97.11</v>
      </c>
      <c r="P43" s="862">
        <v>99.53</v>
      </c>
      <c r="Q43" s="862">
        <v>99.36</v>
      </c>
      <c r="R43" s="862">
        <v>99.59</v>
      </c>
      <c r="S43" s="862">
        <v>98.54</v>
      </c>
      <c r="T43" s="862">
        <v>99.36</v>
      </c>
      <c r="U43" s="862">
        <v>0</v>
      </c>
      <c r="V43" s="862">
        <v>97.44</v>
      </c>
      <c r="W43" s="862">
        <v>93.72</v>
      </c>
      <c r="X43" s="862">
        <v>99.35</v>
      </c>
      <c r="Y43" s="862">
        <v>99.73</v>
      </c>
      <c r="Z43" s="862">
        <v>99.8</v>
      </c>
      <c r="AA43" s="862">
        <v>95.73</v>
      </c>
      <c r="AB43" s="862">
        <v>98.77</v>
      </c>
      <c r="AC43" s="862">
        <v>99.21</v>
      </c>
      <c r="AD43" s="862">
        <v>99.43</v>
      </c>
      <c r="AE43" s="862">
        <v>99.02</v>
      </c>
      <c r="AF43" s="862">
        <v>95.94</v>
      </c>
      <c r="AG43" s="862">
        <v>91.43</v>
      </c>
      <c r="AH43" s="862">
        <v>98.68</v>
      </c>
      <c r="AI43" s="862">
        <v>98.45</v>
      </c>
      <c r="AJ43" s="862">
        <v>99.59</v>
      </c>
      <c r="AK43" s="862">
        <v>94.56</v>
      </c>
      <c r="AL43" s="862">
        <v>96.46</v>
      </c>
      <c r="AM43" s="862">
        <v>96.82</v>
      </c>
      <c r="AN43" s="862">
        <v>99.4</v>
      </c>
      <c r="AO43" s="862">
        <v>95.77</v>
      </c>
      <c r="AP43" s="862">
        <v>94.86</v>
      </c>
      <c r="AQ43" s="862">
        <v>99.69</v>
      </c>
      <c r="AR43" s="862">
        <v>96.85</v>
      </c>
      <c r="AS43" s="862">
        <v>98.66</v>
      </c>
      <c r="AT43" s="862">
        <v>94.35</v>
      </c>
      <c r="AU43" s="862">
        <v>99.83</v>
      </c>
      <c r="AV43" s="862">
        <v>98.38</v>
      </c>
      <c r="AW43" s="862">
        <v>96.71</v>
      </c>
      <c r="AX43" s="862">
        <v>97.47</v>
      </c>
      <c r="AY43" s="862">
        <v>98.3</v>
      </c>
      <c r="AZ43" s="862">
        <v>97.23</v>
      </c>
      <c r="BA43" s="862">
        <v>98.61</v>
      </c>
      <c r="BB43" s="862">
        <v>92.56</v>
      </c>
      <c r="BC43" s="862">
        <v>0</v>
      </c>
      <c r="BD43" s="862">
        <v>0</v>
      </c>
      <c r="BE43" s="862">
        <v>96.54</v>
      </c>
      <c r="BF43" s="862">
        <v>0</v>
      </c>
      <c r="BG43" s="862">
        <v>89.69</v>
      </c>
      <c r="BH43" s="862">
        <v>95.61</v>
      </c>
      <c r="BI43" s="862">
        <v>99.43</v>
      </c>
      <c r="BJ43" s="862">
        <v>96.49</v>
      </c>
      <c r="BK43" s="862">
        <v>0</v>
      </c>
      <c r="BL43" s="862">
        <v>99.69</v>
      </c>
      <c r="BM43" s="862">
        <v>99.46</v>
      </c>
      <c r="BN43" s="862">
        <v>0</v>
      </c>
      <c r="BO43" s="862">
        <v>99.09</v>
      </c>
      <c r="BP43" s="862">
        <v>97.31</v>
      </c>
      <c r="BQ43" s="862">
        <v>96.89</v>
      </c>
      <c r="BR43" s="862">
        <v>98.36</v>
      </c>
      <c r="BS43" s="862">
        <v>99.82</v>
      </c>
      <c r="BT43" s="862">
        <v>99.65</v>
      </c>
      <c r="BU43" s="862">
        <v>86.41</v>
      </c>
      <c r="BV43" s="862">
        <v>99.22</v>
      </c>
      <c r="BW43" s="862">
        <v>95.19</v>
      </c>
      <c r="BX43" s="862">
        <v>99.76</v>
      </c>
      <c r="BY43" s="862">
        <v>92.2</v>
      </c>
      <c r="BZ43" s="862">
        <v>96.69</v>
      </c>
      <c r="CA43" s="862">
        <v>99.46</v>
      </c>
      <c r="CB43" s="862">
        <v>89.25</v>
      </c>
    </row>
    <row r="44" spans="1:80" x14ac:dyDescent="0.25">
      <c r="A44" s="860">
        <v>80</v>
      </c>
      <c r="B44" s="846">
        <v>80</v>
      </c>
      <c r="C44" s="860" t="s">
        <v>285</v>
      </c>
      <c r="D44" s="860" t="s">
        <v>415</v>
      </c>
      <c r="E44" s="516">
        <v>0</v>
      </c>
      <c r="F44" s="516">
        <v>0</v>
      </c>
      <c r="G44" s="516">
        <v>0</v>
      </c>
      <c r="H44" s="516">
        <v>27839762</v>
      </c>
      <c r="I44" s="516">
        <v>7615573</v>
      </c>
      <c r="J44" s="516">
        <v>222005</v>
      </c>
      <c r="K44" s="516">
        <v>5434840</v>
      </c>
      <c r="L44" s="516">
        <v>595429</v>
      </c>
      <c r="M44" s="516">
        <v>7052326</v>
      </c>
      <c r="N44" s="516">
        <v>0</v>
      </c>
      <c r="O44" s="516">
        <v>1544646</v>
      </c>
      <c r="P44" s="516">
        <v>877560</v>
      </c>
      <c r="Q44" s="516">
        <v>0</v>
      </c>
      <c r="R44" s="516">
        <v>7838144</v>
      </c>
      <c r="S44" s="516">
        <v>6391338</v>
      </c>
      <c r="T44" s="516">
        <v>6663580</v>
      </c>
      <c r="U44" s="516">
        <v>0</v>
      </c>
      <c r="V44" s="516">
        <v>5545169</v>
      </c>
      <c r="W44" s="516">
        <v>0</v>
      </c>
      <c r="X44" s="516">
        <v>0</v>
      </c>
      <c r="Y44" s="516">
        <v>75625</v>
      </c>
      <c r="Z44" s="516">
        <v>2208369</v>
      </c>
      <c r="AA44" s="516">
        <v>916414</v>
      </c>
      <c r="AB44" s="516">
        <v>253307</v>
      </c>
      <c r="AC44" s="516">
        <v>0</v>
      </c>
      <c r="AD44" s="516">
        <v>73177</v>
      </c>
      <c r="AE44" s="516">
        <v>1468193</v>
      </c>
      <c r="AF44" s="516">
        <v>285813</v>
      </c>
      <c r="AG44" s="516">
        <v>57129</v>
      </c>
      <c r="AH44" s="516">
        <v>0</v>
      </c>
      <c r="AI44" s="516">
        <v>0</v>
      </c>
      <c r="AJ44" s="516">
        <v>770422</v>
      </c>
      <c r="AK44" s="516">
        <v>6510447</v>
      </c>
      <c r="AL44" s="516">
        <v>376579</v>
      </c>
      <c r="AM44" s="516">
        <v>0</v>
      </c>
      <c r="AN44" s="516">
        <v>14635677</v>
      </c>
      <c r="AO44" s="516">
        <v>7433828</v>
      </c>
      <c r="AP44" s="516">
        <v>71734</v>
      </c>
      <c r="AQ44" s="516">
        <v>0</v>
      </c>
      <c r="AR44" s="516">
        <v>5086072</v>
      </c>
      <c r="AS44" s="516">
        <v>1146099</v>
      </c>
      <c r="AT44" s="516">
        <v>225026</v>
      </c>
      <c r="AU44" s="516">
        <v>1130632</v>
      </c>
      <c r="AV44" s="516">
        <v>10216824</v>
      </c>
      <c r="AW44" s="516">
        <v>1007277</v>
      </c>
      <c r="AX44" s="516">
        <v>188440</v>
      </c>
      <c r="AY44" s="516">
        <v>951833</v>
      </c>
      <c r="AZ44" s="516">
        <v>507602</v>
      </c>
      <c r="BA44" s="516">
        <v>1700021</v>
      </c>
      <c r="BB44" s="516">
        <v>0</v>
      </c>
      <c r="BC44" s="516">
        <v>0</v>
      </c>
      <c r="BD44" s="516">
        <v>0</v>
      </c>
      <c r="BE44" s="516">
        <v>0</v>
      </c>
      <c r="BF44" s="516">
        <v>0</v>
      </c>
      <c r="BG44" s="516">
        <v>0</v>
      </c>
      <c r="BH44" s="516">
        <v>0</v>
      </c>
      <c r="BI44" s="516">
        <v>758411</v>
      </c>
      <c r="BJ44" s="516">
        <v>1788162</v>
      </c>
      <c r="BK44" s="516">
        <v>0</v>
      </c>
      <c r="BL44" s="516">
        <v>4825944</v>
      </c>
      <c r="BM44" s="516">
        <v>2243145</v>
      </c>
      <c r="BN44" s="516">
        <v>0</v>
      </c>
      <c r="BO44" s="516">
        <v>1563515</v>
      </c>
      <c r="BP44" s="516">
        <v>2526181</v>
      </c>
      <c r="BQ44" s="516">
        <v>810538</v>
      </c>
      <c r="BR44" s="516">
        <v>3202694</v>
      </c>
      <c r="BS44" s="516">
        <v>0</v>
      </c>
      <c r="BT44" s="516">
        <v>0</v>
      </c>
      <c r="BU44" s="516">
        <v>984792</v>
      </c>
      <c r="BV44" s="516">
        <v>1780570</v>
      </c>
      <c r="BW44" s="516">
        <v>79369</v>
      </c>
      <c r="BX44" s="516">
        <v>980972</v>
      </c>
      <c r="BY44" s="516">
        <v>0</v>
      </c>
      <c r="BZ44" s="516">
        <v>0</v>
      </c>
      <c r="CA44" s="516">
        <v>8102532</v>
      </c>
      <c r="CB44" s="516">
        <v>0</v>
      </c>
    </row>
    <row r="45" spans="1:80" x14ac:dyDescent="0.25">
      <c r="A45" s="860">
        <v>81</v>
      </c>
      <c r="B45" s="846">
        <v>81</v>
      </c>
      <c r="C45" s="860" t="s">
        <v>286</v>
      </c>
      <c r="D45" s="860" t="s">
        <v>416</v>
      </c>
      <c r="E45" s="516">
        <v>0</v>
      </c>
      <c r="F45" s="516">
        <v>0</v>
      </c>
      <c r="G45" s="516">
        <v>0</v>
      </c>
      <c r="H45" s="516">
        <v>3542954</v>
      </c>
      <c r="I45" s="516">
        <v>286160</v>
      </c>
      <c r="J45" s="516">
        <v>21628</v>
      </c>
      <c r="K45" s="516">
        <v>76928</v>
      </c>
      <c r="L45" s="516">
        <v>199777</v>
      </c>
      <c r="M45" s="516">
        <v>3340085</v>
      </c>
      <c r="N45" s="516">
        <v>0</v>
      </c>
      <c r="O45" s="516">
        <v>93827</v>
      </c>
      <c r="P45" s="516">
        <v>120696</v>
      </c>
      <c r="Q45" s="516">
        <v>0</v>
      </c>
      <c r="R45" s="516">
        <v>973712</v>
      </c>
      <c r="S45" s="516">
        <v>1221579</v>
      </c>
      <c r="T45" s="516">
        <v>623592</v>
      </c>
      <c r="U45" s="516">
        <v>0</v>
      </c>
      <c r="V45" s="516">
        <v>2054367</v>
      </c>
      <c r="W45" s="516">
        <v>0</v>
      </c>
      <c r="X45" s="516">
        <v>0</v>
      </c>
      <c r="Y45" s="516">
        <v>0</v>
      </c>
      <c r="Z45" s="516">
        <v>364555</v>
      </c>
      <c r="AA45" s="516">
        <v>66931</v>
      </c>
      <c r="AB45" s="516">
        <v>221262</v>
      </c>
      <c r="AC45" s="516">
        <v>0</v>
      </c>
      <c r="AD45" s="516">
        <v>542</v>
      </c>
      <c r="AE45" s="516">
        <v>107236</v>
      </c>
      <c r="AF45" s="516">
        <v>310738</v>
      </c>
      <c r="AG45" s="516">
        <v>10239</v>
      </c>
      <c r="AH45" s="516">
        <v>0</v>
      </c>
      <c r="AI45" s="516">
        <v>0</v>
      </c>
      <c r="AJ45" s="516">
        <v>93854</v>
      </c>
      <c r="AK45" s="516">
        <v>509365</v>
      </c>
      <c r="AL45" s="516">
        <v>17989</v>
      </c>
      <c r="AM45" s="516">
        <v>0</v>
      </c>
      <c r="AN45" s="516">
        <v>957816</v>
      </c>
      <c r="AO45" s="516">
        <v>566813</v>
      </c>
      <c r="AP45" s="516">
        <v>19779</v>
      </c>
      <c r="AQ45" s="516">
        <v>0</v>
      </c>
      <c r="AR45" s="516">
        <v>1355941</v>
      </c>
      <c r="AS45" s="516">
        <v>288414</v>
      </c>
      <c r="AT45" s="516">
        <v>32361</v>
      </c>
      <c r="AU45" s="516">
        <v>236352</v>
      </c>
      <c r="AV45" s="516">
        <v>736825</v>
      </c>
      <c r="AW45" s="516">
        <v>36445</v>
      </c>
      <c r="AX45" s="516">
        <v>57490</v>
      </c>
      <c r="AY45" s="516">
        <v>151727</v>
      </c>
      <c r="AZ45" s="516">
        <v>168068</v>
      </c>
      <c r="BA45" s="516">
        <v>286824</v>
      </c>
      <c r="BB45" s="516">
        <v>0</v>
      </c>
      <c r="BC45" s="516">
        <v>0</v>
      </c>
      <c r="BD45" s="516">
        <v>0</v>
      </c>
      <c r="BE45" s="516">
        <v>0</v>
      </c>
      <c r="BF45" s="516">
        <v>0</v>
      </c>
      <c r="BG45" s="516">
        <v>28973</v>
      </c>
      <c r="BH45" s="516">
        <v>0</v>
      </c>
      <c r="BI45" s="516">
        <v>140092</v>
      </c>
      <c r="BJ45" s="516">
        <v>152911</v>
      </c>
      <c r="BK45" s="516">
        <v>0</v>
      </c>
      <c r="BL45" s="516">
        <v>192192</v>
      </c>
      <c r="BM45" s="516">
        <v>329203</v>
      </c>
      <c r="BN45" s="516">
        <v>0</v>
      </c>
      <c r="BO45" s="516">
        <v>515577</v>
      </c>
      <c r="BP45" s="516">
        <v>188582</v>
      </c>
      <c r="BQ45" s="516">
        <v>64358</v>
      </c>
      <c r="BR45" s="516">
        <v>119905</v>
      </c>
      <c r="BS45" s="516">
        <v>0</v>
      </c>
      <c r="BT45" s="516">
        <v>0</v>
      </c>
      <c r="BU45" s="516">
        <v>215762</v>
      </c>
      <c r="BV45" s="516">
        <v>272642</v>
      </c>
      <c r="BW45" s="516">
        <v>85239</v>
      </c>
      <c r="BX45" s="516">
        <v>67982</v>
      </c>
      <c r="BY45" s="516">
        <v>0</v>
      </c>
      <c r="BZ45" s="516">
        <v>0</v>
      </c>
      <c r="CA45" s="516">
        <v>802481</v>
      </c>
      <c r="CB45" s="516">
        <v>0</v>
      </c>
    </row>
    <row r="46" spans="1:80" x14ac:dyDescent="0.25">
      <c r="A46" s="860">
        <v>82</v>
      </c>
      <c r="B46" s="846">
        <v>82</v>
      </c>
      <c r="C46" s="860" t="s">
        <v>648</v>
      </c>
      <c r="D46" s="860" t="s">
        <v>417</v>
      </c>
      <c r="E46" s="516">
        <v>0</v>
      </c>
      <c r="F46" s="516">
        <v>0</v>
      </c>
      <c r="G46" s="516">
        <v>0</v>
      </c>
      <c r="H46" s="516">
        <v>65538927</v>
      </c>
      <c r="I46" s="516">
        <v>1656421</v>
      </c>
      <c r="J46" s="516">
        <v>0</v>
      </c>
      <c r="K46" s="516">
        <v>0</v>
      </c>
      <c r="L46" s="516">
        <v>2428000</v>
      </c>
      <c r="M46" s="516">
        <v>48271722</v>
      </c>
      <c r="N46" s="516">
        <v>0</v>
      </c>
      <c r="O46" s="516">
        <v>23296</v>
      </c>
      <c r="P46" s="516">
        <v>26667</v>
      </c>
      <c r="Q46" s="516">
        <v>0</v>
      </c>
      <c r="R46" s="516">
        <v>30944</v>
      </c>
      <c r="S46" s="516">
        <v>11705215</v>
      </c>
      <c r="T46" s="516">
        <v>25056784</v>
      </c>
      <c r="U46" s="516">
        <v>0</v>
      </c>
      <c r="V46" s="516">
        <v>11723137</v>
      </c>
      <c r="W46" s="516">
        <v>0</v>
      </c>
      <c r="X46" s="516">
        <v>0</v>
      </c>
      <c r="Y46" s="516">
        <v>440632</v>
      </c>
      <c r="Z46" s="516">
        <v>1048679</v>
      </c>
      <c r="AA46" s="516">
        <v>432106</v>
      </c>
      <c r="AB46" s="516">
        <v>1159556</v>
      </c>
      <c r="AC46" s="516">
        <v>0</v>
      </c>
      <c r="AD46" s="516">
        <v>24779</v>
      </c>
      <c r="AE46" s="516">
        <v>1256551</v>
      </c>
      <c r="AF46" s="516">
        <v>5081551</v>
      </c>
      <c r="AG46" s="516">
        <v>0</v>
      </c>
      <c r="AH46" s="516">
        <v>0</v>
      </c>
      <c r="AI46" s="516">
        <v>0</v>
      </c>
      <c r="AJ46" s="516">
        <v>0</v>
      </c>
      <c r="AK46" s="516">
        <v>5285109</v>
      </c>
      <c r="AL46" s="516">
        <v>0</v>
      </c>
      <c r="AM46" s="516">
        <v>0</v>
      </c>
      <c r="AN46" s="516">
        <v>6714166</v>
      </c>
      <c r="AO46" s="516">
        <v>19423648</v>
      </c>
      <c r="AP46" s="516">
        <v>0</v>
      </c>
      <c r="AQ46" s="516">
        <v>0</v>
      </c>
      <c r="AR46" s="516">
        <v>282866</v>
      </c>
      <c r="AS46" s="516">
        <v>60643</v>
      </c>
      <c r="AT46" s="516">
        <v>246000</v>
      </c>
      <c r="AU46" s="516">
        <v>0</v>
      </c>
      <c r="AV46" s="516">
        <v>8564015</v>
      </c>
      <c r="AW46" s="516">
        <v>181758</v>
      </c>
      <c r="AX46" s="516">
        <v>239423</v>
      </c>
      <c r="AY46" s="516">
        <v>695916</v>
      </c>
      <c r="AZ46" s="516">
        <v>193930</v>
      </c>
      <c r="BA46" s="516">
        <v>3464038</v>
      </c>
      <c r="BB46" s="516">
        <v>0</v>
      </c>
      <c r="BC46" s="516">
        <v>0</v>
      </c>
      <c r="BD46" s="516">
        <v>0</v>
      </c>
      <c r="BE46" s="516">
        <v>0</v>
      </c>
      <c r="BF46" s="516">
        <v>0</v>
      </c>
      <c r="BG46" s="516">
        <v>0</v>
      </c>
      <c r="BH46" s="516">
        <v>0</v>
      </c>
      <c r="BI46" s="516">
        <v>1487605</v>
      </c>
      <c r="BJ46" s="516">
        <v>1466646</v>
      </c>
      <c r="BK46" s="516">
        <v>0</v>
      </c>
      <c r="BL46" s="516">
        <v>618723</v>
      </c>
      <c r="BM46" s="516">
        <v>329975</v>
      </c>
      <c r="BN46" s="516">
        <v>0</v>
      </c>
      <c r="BO46" s="516">
        <v>1568494</v>
      </c>
      <c r="BP46" s="516">
        <v>786857</v>
      </c>
      <c r="BQ46" s="516">
        <v>679314</v>
      </c>
      <c r="BR46" s="516">
        <v>766372</v>
      </c>
      <c r="BS46" s="516">
        <v>0</v>
      </c>
      <c r="BT46" s="516">
        <v>0</v>
      </c>
      <c r="BU46" s="516">
        <v>303883</v>
      </c>
      <c r="BV46" s="516">
        <v>1741286</v>
      </c>
      <c r="BW46" s="516">
        <v>109715</v>
      </c>
      <c r="BX46" s="516">
        <v>0</v>
      </c>
      <c r="BY46" s="516">
        <v>0</v>
      </c>
      <c r="BZ46" s="516">
        <v>0</v>
      </c>
      <c r="CA46" s="516">
        <v>8235575</v>
      </c>
      <c r="CB46" s="516">
        <v>0</v>
      </c>
    </row>
    <row r="47" spans="1:80" x14ac:dyDescent="0.25">
      <c r="A47" s="860">
        <v>83</v>
      </c>
      <c r="B47" s="846">
        <v>83</v>
      </c>
      <c r="C47" s="860" t="s">
        <v>109</v>
      </c>
      <c r="D47" s="860" t="s">
        <v>418</v>
      </c>
      <c r="E47" s="516">
        <v>0</v>
      </c>
      <c r="F47" s="516">
        <v>0</v>
      </c>
      <c r="G47" s="516">
        <v>0</v>
      </c>
      <c r="H47" s="516">
        <v>68345744</v>
      </c>
      <c r="I47" s="516">
        <v>22183079</v>
      </c>
      <c r="J47" s="516">
        <v>318648</v>
      </c>
      <c r="K47" s="516">
        <v>10911873</v>
      </c>
      <c r="L47" s="516">
        <v>3691873</v>
      </c>
      <c r="M47" s="516">
        <v>71315883</v>
      </c>
      <c r="N47" s="516">
        <v>0</v>
      </c>
      <c r="O47" s="516">
        <v>3156793</v>
      </c>
      <c r="P47" s="516">
        <v>5294542</v>
      </c>
      <c r="Q47" s="516">
        <v>0</v>
      </c>
      <c r="R47" s="516">
        <v>20873137</v>
      </c>
      <c r="S47" s="516">
        <v>23618399</v>
      </c>
      <c r="T47" s="516">
        <v>35901880</v>
      </c>
      <c r="U47" s="516">
        <v>0</v>
      </c>
      <c r="V47" s="516">
        <v>73045340</v>
      </c>
      <c r="W47" s="516">
        <v>0</v>
      </c>
      <c r="X47" s="516">
        <v>0</v>
      </c>
      <c r="Y47" s="516">
        <v>37335</v>
      </c>
      <c r="Z47" s="516">
        <v>7036441</v>
      </c>
      <c r="AA47" s="516">
        <v>8047916</v>
      </c>
      <c r="AB47" s="516">
        <v>5749157</v>
      </c>
      <c r="AC47" s="516">
        <v>0</v>
      </c>
      <c r="AD47" s="516">
        <v>139098</v>
      </c>
      <c r="AE47" s="516">
        <v>8534041</v>
      </c>
      <c r="AF47" s="516">
        <v>7139234</v>
      </c>
      <c r="AG47" s="516">
        <v>715787</v>
      </c>
      <c r="AH47" s="516">
        <v>0</v>
      </c>
      <c r="AI47" s="516">
        <v>0</v>
      </c>
      <c r="AJ47" s="516">
        <v>2507362</v>
      </c>
      <c r="AK47" s="516">
        <v>35294972</v>
      </c>
      <c r="AL47" s="516">
        <v>1878972</v>
      </c>
      <c r="AM47" s="516">
        <v>0</v>
      </c>
      <c r="AN47" s="516">
        <v>49224538</v>
      </c>
      <c r="AO47" s="516">
        <v>55138264</v>
      </c>
      <c r="AP47" s="516">
        <v>354328</v>
      </c>
      <c r="AQ47" s="516">
        <v>0</v>
      </c>
      <c r="AR47" s="516">
        <v>45071206</v>
      </c>
      <c r="AS47" s="516">
        <v>5544647</v>
      </c>
      <c r="AT47" s="516">
        <v>4385422</v>
      </c>
      <c r="AU47" s="516">
        <v>5072456</v>
      </c>
      <c r="AV47" s="516">
        <v>27021449</v>
      </c>
      <c r="AW47" s="516">
        <v>1550190</v>
      </c>
      <c r="AX47" s="516">
        <v>4753786</v>
      </c>
      <c r="AY47" s="516">
        <v>10297979</v>
      </c>
      <c r="AZ47" s="516">
        <v>9036654</v>
      </c>
      <c r="BA47" s="516">
        <v>12788337</v>
      </c>
      <c r="BB47" s="516">
        <v>0</v>
      </c>
      <c r="BC47" s="516">
        <v>0</v>
      </c>
      <c r="BD47" s="516">
        <v>0</v>
      </c>
      <c r="BE47" s="516">
        <v>0</v>
      </c>
      <c r="BF47" s="516">
        <v>0</v>
      </c>
      <c r="BG47" s="516">
        <v>2705939</v>
      </c>
      <c r="BH47" s="516">
        <v>0</v>
      </c>
      <c r="BI47" s="516">
        <v>5358317</v>
      </c>
      <c r="BJ47" s="516">
        <v>6025628</v>
      </c>
      <c r="BK47" s="516">
        <v>0</v>
      </c>
      <c r="BL47" s="516">
        <v>12819898</v>
      </c>
      <c r="BM47" s="516">
        <v>6823373</v>
      </c>
      <c r="BN47" s="516">
        <v>0</v>
      </c>
      <c r="BO47" s="516">
        <v>19732573</v>
      </c>
      <c r="BP47" s="516">
        <v>11441277</v>
      </c>
      <c r="BQ47" s="516">
        <v>8306592</v>
      </c>
      <c r="BR47" s="516">
        <v>6688481</v>
      </c>
      <c r="BS47" s="516">
        <v>0</v>
      </c>
      <c r="BT47" s="516">
        <v>0</v>
      </c>
      <c r="BU47" s="516">
        <v>6758075</v>
      </c>
      <c r="BV47" s="516">
        <v>12526821</v>
      </c>
      <c r="BW47" s="516">
        <v>3984960</v>
      </c>
      <c r="BX47" s="516">
        <v>3465811</v>
      </c>
      <c r="BY47" s="516">
        <v>0</v>
      </c>
      <c r="BZ47" s="516">
        <v>0</v>
      </c>
      <c r="CA47" s="516">
        <v>47191471</v>
      </c>
      <c r="CB47" s="516">
        <v>0</v>
      </c>
    </row>
    <row r="48" spans="1:80" x14ac:dyDescent="0.25">
      <c r="A48" s="860">
        <v>84</v>
      </c>
      <c r="B48" s="846">
        <v>84</v>
      </c>
      <c r="C48" s="860" t="s">
        <v>294</v>
      </c>
      <c r="D48" s="860" t="s">
        <v>419</v>
      </c>
      <c r="E48" s="516">
        <v>0</v>
      </c>
      <c r="F48" s="516">
        <v>0</v>
      </c>
      <c r="G48" s="516">
        <v>0</v>
      </c>
      <c r="H48" s="516">
        <v>24481121</v>
      </c>
      <c r="I48" s="516">
        <v>3982528</v>
      </c>
      <c r="J48" s="516">
        <v>197325</v>
      </c>
      <c r="K48" s="516">
        <v>899650</v>
      </c>
      <c r="L48" s="516">
        <v>876266</v>
      </c>
      <c r="M48" s="516">
        <v>17112636</v>
      </c>
      <c r="N48" s="516">
        <v>0</v>
      </c>
      <c r="O48" s="516">
        <v>677507</v>
      </c>
      <c r="P48" s="516">
        <v>1338480</v>
      </c>
      <c r="Q48" s="516">
        <v>0</v>
      </c>
      <c r="R48" s="516">
        <v>4198715</v>
      </c>
      <c r="S48" s="516">
        <v>6226182</v>
      </c>
      <c r="T48" s="516">
        <v>6865446</v>
      </c>
      <c r="U48" s="516">
        <v>0</v>
      </c>
      <c r="V48" s="516">
        <v>16573545</v>
      </c>
      <c r="W48" s="516">
        <v>0</v>
      </c>
      <c r="X48" s="516">
        <v>0</v>
      </c>
      <c r="Y48" s="516">
        <v>0</v>
      </c>
      <c r="Z48" s="516">
        <v>2144521</v>
      </c>
      <c r="AA48" s="516">
        <v>1369275</v>
      </c>
      <c r="AB48" s="516">
        <v>1260327</v>
      </c>
      <c r="AC48" s="516">
        <v>0</v>
      </c>
      <c r="AD48" s="516">
        <v>99225</v>
      </c>
      <c r="AE48" s="516">
        <v>881952</v>
      </c>
      <c r="AF48" s="516">
        <v>2398931</v>
      </c>
      <c r="AG48" s="516">
        <v>55822</v>
      </c>
      <c r="AH48" s="516">
        <v>0</v>
      </c>
      <c r="AI48" s="516">
        <v>0</v>
      </c>
      <c r="AJ48" s="516">
        <v>464954</v>
      </c>
      <c r="AK48" s="516">
        <v>8141946</v>
      </c>
      <c r="AL48" s="516">
        <v>107500</v>
      </c>
      <c r="AM48" s="516">
        <v>0</v>
      </c>
      <c r="AN48" s="516">
        <v>6319812</v>
      </c>
      <c r="AO48" s="516">
        <v>9336640</v>
      </c>
      <c r="AP48" s="516">
        <v>125846</v>
      </c>
      <c r="AQ48" s="516">
        <v>0</v>
      </c>
      <c r="AR48" s="516">
        <v>10718813</v>
      </c>
      <c r="AS48" s="516">
        <v>912856</v>
      </c>
      <c r="AT48" s="516">
        <v>307393</v>
      </c>
      <c r="AU48" s="516">
        <v>2127215</v>
      </c>
      <c r="AV48" s="516">
        <v>7660499</v>
      </c>
      <c r="AW48" s="516">
        <v>379480</v>
      </c>
      <c r="AX48" s="516">
        <v>398155</v>
      </c>
      <c r="AY48" s="516">
        <v>1964485</v>
      </c>
      <c r="AZ48" s="516">
        <v>2084019</v>
      </c>
      <c r="BA48" s="516">
        <v>2619002</v>
      </c>
      <c r="BB48" s="516">
        <v>0</v>
      </c>
      <c r="BC48" s="516">
        <v>0</v>
      </c>
      <c r="BD48" s="516">
        <v>0</v>
      </c>
      <c r="BE48" s="516">
        <v>0</v>
      </c>
      <c r="BF48" s="516">
        <v>0</v>
      </c>
      <c r="BG48" s="516">
        <v>202226</v>
      </c>
      <c r="BH48" s="516">
        <v>0</v>
      </c>
      <c r="BI48" s="516">
        <v>1515437</v>
      </c>
      <c r="BJ48" s="516">
        <v>953507</v>
      </c>
      <c r="BK48" s="516">
        <v>0</v>
      </c>
      <c r="BL48" s="516">
        <v>2448866</v>
      </c>
      <c r="BM48" s="516">
        <v>1991374</v>
      </c>
      <c r="BN48" s="516">
        <v>0</v>
      </c>
      <c r="BO48" s="516">
        <v>3572687</v>
      </c>
      <c r="BP48" s="516">
        <v>1073453</v>
      </c>
      <c r="BQ48" s="516">
        <v>669108</v>
      </c>
      <c r="BR48" s="516">
        <v>1509672</v>
      </c>
      <c r="BS48" s="516">
        <v>0</v>
      </c>
      <c r="BT48" s="516">
        <v>0</v>
      </c>
      <c r="BU48" s="516">
        <v>734573</v>
      </c>
      <c r="BV48" s="516">
        <v>2744691</v>
      </c>
      <c r="BW48" s="516">
        <v>501232</v>
      </c>
      <c r="BX48" s="516">
        <v>661076</v>
      </c>
      <c r="BY48" s="516">
        <v>0</v>
      </c>
      <c r="BZ48" s="516">
        <v>0</v>
      </c>
      <c r="CA48" s="516">
        <v>6995822</v>
      </c>
      <c r="CB48" s="516">
        <v>0</v>
      </c>
    </row>
    <row r="49" spans="1:80" x14ac:dyDescent="0.25">
      <c r="A49" s="860">
        <v>85</v>
      </c>
      <c r="B49" s="846">
        <v>85</v>
      </c>
      <c r="C49" s="860" t="s">
        <v>296</v>
      </c>
      <c r="D49" s="860" t="s">
        <v>420</v>
      </c>
      <c r="E49" s="516">
        <v>0</v>
      </c>
      <c r="F49" s="516">
        <v>0</v>
      </c>
      <c r="G49" s="516">
        <v>0</v>
      </c>
      <c r="H49" s="516">
        <v>20758624</v>
      </c>
      <c r="I49" s="516">
        <v>2759624</v>
      </c>
      <c r="J49" s="516">
        <v>204186</v>
      </c>
      <c r="K49" s="516">
        <v>880811</v>
      </c>
      <c r="L49" s="516">
        <v>767374</v>
      </c>
      <c r="M49" s="516">
        <v>14778880</v>
      </c>
      <c r="N49" s="516">
        <v>0</v>
      </c>
      <c r="O49" s="516">
        <v>685673</v>
      </c>
      <c r="P49" s="516">
        <v>1381968</v>
      </c>
      <c r="Q49" s="516">
        <v>0</v>
      </c>
      <c r="R49" s="516">
        <v>3702948</v>
      </c>
      <c r="S49" s="516">
        <v>5705398</v>
      </c>
      <c r="T49" s="516">
        <v>6734325</v>
      </c>
      <c r="U49" s="516">
        <v>0</v>
      </c>
      <c r="V49" s="516">
        <v>15693940</v>
      </c>
      <c r="W49" s="516">
        <v>0</v>
      </c>
      <c r="X49" s="516">
        <v>0</v>
      </c>
      <c r="Y49" s="516">
        <v>0</v>
      </c>
      <c r="Z49" s="516">
        <v>1901158</v>
      </c>
      <c r="AA49" s="516">
        <v>1245201</v>
      </c>
      <c r="AB49" s="516">
        <v>1026609</v>
      </c>
      <c r="AC49" s="516">
        <v>0</v>
      </c>
      <c r="AD49" s="516">
        <v>106171</v>
      </c>
      <c r="AE49" s="516">
        <v>936000</v>
      </c>
      <c r="AF49" s="516">
        <v>2102249</v>
      </c>
      <c r="AG49" s="516">
        <v>68648</v>
      </c>
      <c r="AH49" s="516">
        <v>0</v>
      </c>
      <c r="AI49" s="516">
        <v>0</v>
      </c>
      <c r="AJ49" s="516">
        <v>460236</v>
      </c>
      <c r="AK49" s="516">
        <v>6401129</v>
      </c>
      <c r="AL49" s="516">
        <v>161445</v>
      </c>
      <c r="AM49" s="516">
        <v>0</v>
      </c>
      <c r="AN49" s="516">
        <v>4075888</v>
      </c>
      <c r="AO49" s="516">
        <v>7424422</v>
      </c>
      <c r="AP49" s="516">
        <v>96905</v>
      </c>
      <c r="AQ49" s="516">
        <v>0</v>
      </c>
      <c r="AR49" s="516">
        <v>9439191</v>
      </c>
      <c r="AS49" s="516">
        <v>1144424</v>
      </c>
      <c r="AT49" s="516">
        <v>404545</v>
      </c>
      <c r="AU49" s="516">
        <v>2726278</v>
      </c>
      <c r="AV49" s="516">
        <v>5995286</v>
      </c>
      <c r="AW49" s="516">
        <v>324308</v>
      </c>
      <c r="AX49" s="516">
        <v>548474</v>
      </c>
      <c r="AY49" s="516">
        <v>991608</v>
      </c>
      <c r="AZ49" s="516">
        <v>2215695</v>
      </c>
      <c r="BA49" s="516">
        <v>2802578</v>
      </c>
      <c r="BB49" s="516">
        <v>0</v>
      </c>
      <c r="BC49" s="516">
        <v>0</v>
      </c>
      <c r="BD49" s="516">
        <v>0</v>
      </c>
      <c r="BE49" s="516">
        <v>0</v>
      </c>
      <c r="BF49" s="516">
        <v>0</v>
      </c>
      <c r="BG49" s="516">
        <v>353725</v>
      </c>
      <c r="BH49" s="516">
        <v>0</v>
      </c>
      <c r="BI49" s="516">
        <v>1588411</v>
      </c>
      <c r="BJ49" s="516">
        <v>787504</v>
      </c>
      <c r="BK49" s="516">
        <v>0</v>
      </c>
      <c r="BL49" s="516">
        <v>2553533</v>
      </c>
      <c r="BM49" s="516">
        <v>1885506</v>
      </c>
      <c r="BN49" s="516">
        <v>0</v>
      </c>
      <c r="BO49" s="516">
        <v>3657667</v>
      </c>
      <c r="BP49" s="516">
        <v>929145</v>
      </c>
      <c r="BQ49" s="516">
        <v>803842</v>
      </c>
      <c r="BR49" s="516">
        <v>1308312</v>
      </c>
      <c r="BS49" s="516">
        <v>0</v>
      </c>
      <c r="BT49" s="516">
        <v>0</v>
      </c>
      <c r="BU49" s="516">
        <v>823487</v>
      </c>
      <c r="BV49" s="516">
        <v>2543353</v>
      </c>
      <c r="BW49" s="516">
        <v>494115</v>
      </c>
      <c r="BX49" s="516">
        <v>533894</v>
      </c>
      <c r="BY49" s="516">
        <v>0</v>
      </c>
      <c r="BZ49" s="516">
        <v>0</v>
      </c>
      <c r="CA49" s="516">
        <v>6643575</v>
      </c>
      <c r="CB49" s="516">
        <v>0</v>
      </c>
    </row>
    <row r="50" spans="1:80" x14ac:dyDescent="0.25">
      <c r="A50" s="860">
        <v>88</v>
      </c>
      <c r="B50" s="846">
        <v>88</v>
      </c>
      <c r="C50" s="860" t="s">
        <v>293</v>
      </c>
      <c r="D50" s="860" t="s">
        <v>421</v>
      </c>
      <c r="E50" s="516">
        <v>0</v>
      </c>
      <c r="F50" s="516">
        <v>0</v>
      </c>
      <c r="G50" s="516">
        <v>0</v>
      </c>
      <c r="H50" s="516">
        <v>24481121</v>
      </c>
      <c r="I50" s="516">
        <v>3952044</v>
      </c>
      <c r="J50" s="516">
        <v>196639</v>
      </c>
      <c r="K50" s="516">
        <v>825025</v>
      </c>
      <c r="L50" s="516">
        <v>710920</v>
      </c>
      <c r="M50" s="516">
        <v>15461482</v>
      </c>
      <c r="N50" s="516">
        <v>0</v>
      </c>
      <c r="O50" s="516">
        <v>658332</v>
      </c>
      <c r="P50" s="516">
        <v>1269997</v>
      </c>
      <c r="Q50" s="516">
        <v>0</v>
      </c>
      <c r="R50" s="516">
        <v>4030550</v>
      </c>
      <c r="S50" s="516">
        <v>6170977</v>
      </c>
      <c r="T50" s="516">
        <v>6829583</v>
      </c>
      <c r="U50" s="516">
        <v>0</v>
      </c>
      <c r="V50" s="516">
        <v>16392896</v>
      </c>
      <c r="W50" s="516">
        <v>0</v>
      </c>
      <c r="X50" s="516">
        <v>0</v>
      </c>
      <c r="Y50" s="516">
        <v>0</v>
      </c>
      <c r="Z50" s="516">
        <v>2138196</v>
      </c>
      <c r="AA50" s="516">
        <v>1315347</v>
      </c>
      <c r="AB50" s="516">
        <v>1229765</v>
      </c>
      <c r="AC50" s="516">
        <v>0</v>
      </c>
      <c r="AD50" s="516">
        <v>99225</v>
      </c>
      <c r="AE50" s="516">
        <v>847622</v>
      </c>
      <c r="AF50" s="516">
        <v>2234168</v>
      </c>
      <c r="AG50" s="516">
        <v>52759</v>
      </c>
      <c r="AH50" s="516">
        <v>0</v>
      </c>
      <c r="AI50" s="516">
        <v>0</v>
      </c>
      <c r="AJ50" s="516">
        <v>464954</v>
      </c>
      <c r="AK50" s="516">
        <v>7293082</v>
      </c>
      <c r="AL50" s="516">
        <v>107500</v>
      </c>
      <c r="AM50" s="516">
        <v>0</v>
      </c>
      <c r="AN50" s="516">
        <v>6296015</v>
      </c>
      <c r="AO50" s="516">
        <v>8914714</v>
      </c>
      <c r="AP50" s="516">
        <v>125046</v>
      </c>
      <c r="AQ50" s="516">
        <v>0</v>
      </c>
      <c r="AR50" s="516">
        <v>10192681</v>
      </c>
      <c r="AS50" s="516">
        <v>870554</v>
      </c>
      <c r="AT50" s="516">
        <v>307393</v>
      </c>
      <c r="AU50" s="516">
        <v>2068287</v>
      </c>
      <c r="AV50" s="516">
        <v>7462667</v>
      </c>
      <c r="AW50" s="516">
        <v>354243</v>
      </c>
      <c r="AX50" s="516">
        <v>387621</v>
      </c>
      <c r="AY50" s="516">
        <v>1098292</v>
      </c>
      <c r="AZ50" s="516">
        <v>2084019</v>
      </c>
      <c r="BA50" s="516">
        <v>2571936</v>
      </c>
      <c r="BB50" s="516">
        <v>0</v>
      </c>
      <c r="BC50" s="516">
        <v>0</v>
      </c>
      <c r="BD50" s="516">
        <v>0</v>
      </c>
      <c r="BE50" s="516">
        <v>0</v>
      </c>
      <c r="BF50" s="516">
        <v>0</v>
      </c>
      <c r="BG50" s="516">
        <v>202226</v>
      </c>
      <c r="BH50" s="516">
        <v>0</v>
      </c>
      <c r="BI50" s="516">
        <v>1461911</v>
      </c>
      <c r="BJ50" s="516">
        <v>797586</v>
      </c>
      <c r="BK50" s="516">
        <v>0</v>
      </c>
      <c r="BL50" s="516">
        <v>2448866</v>
      </c>
      <c r="BM50" s="516">
        <v>1900357</v>
      </c>
      <c r="BN50" s="516">
        <v>0</v>
      </c>
      <c r="BO50" s="516">
        <v>3451083</v>
      </c>
      <c r="BP50" s="516">
        <v>1064494</v>
      </c>
      <c r="BQ50" s="516">
        <v>648058</v>
      </c>
      <c r="BR50" s="516">
        <v>1435748</v>
      </c>
      <c r="BS50" s="516">
        <v>0</v>
      </c>
      <c r="BT50" s="516">
        <v>0</v>
      </c>
      <c r="BU50" s="516">
        <v>716394</v>
      </c>
      <c r="BV50" s="516">
        <v>2374599</v>
      </c>
      <c r="BW50" s="516">
        <v>498489</v>
      </c>
      <c r="BX50" s="516">
        <v>629216</v>
      </c>
      <c r="BY50" s="516">
        <v>0</v>
      </c>
      <c r="BZ50" s="516">
        <v>0</v>
      </c>
      <c r="CA50" s="516">
        <v>5752238</v>
      </c>
      <c r="CB50" s="516">
        <v>0</v>
      </c>
    </row>
    <row r="51" spans="1:80" x14ac:dyDescent="0.25">
      <c r="A51" s="860">
        <v>89</v>
      </c>
      <c r="B51" s="846">
        <v>89</v>
      </c>
      <c r="C51" s="860" t="s">
        <v>297</v>
      </c>
      <c r="D51" s="860" t="s">
        <v>422</v>
      </c>
      <c r="E51" s="516">
        <v>0</v>
      </c>
      <c r="F51" s="516">
        <v>0</v>
      </c>
      <c r="G51" s="516">
        <v>0</v>
      </c>
      <c r="H51" s="516">
        <v>2013025</v>
      </c>
      <c r="I51" s="516">
        <v>40566</v>
      </c>
      <c r="J51" s="516">
        <v>0</v>
      </c>
      <c r="K51" s="516">
        <v>0</v>
      </c>
      <c r="L51" s="516">
        <v>69848</v>
      </c>
      <c r="M51" s="516">
        <v>1860747</v>
      </c>
      <c r="N51" s="516">
        <v>0</v>
      </c>
      <c r="O51" s="516">
        <v>905</v>
      </c>
      <c r="P51" s="516">
        <v>1772</v>
      </c>
      <c r="Q51" s="516">
        <v>0</v>
      </c>
      <c r="R51" s="516">
        <v>0</v>
      </c>
      <c r="S51" s="516">
        <v>60527</v>
      </c>
      <c r="T51" s="516">
        <v>14470</v>
      </c>
      <c r="U51" s="516">
        <v>0</v>
      </c>
      <c r="V51" s="516">
        <v>149217</v>
      </c>
      <c r="W51" s="516">
        <v>0</v>
      </c>
      <c r="X51" s="516">
        <v>0</v>
      </c>
      <c r="Y51" s="516">
        <v>0</v>
      </c>
      <c r="Z51" s="516">
        <v>37685</v>
      </c>
      <c r="AA51" s="516">
        <v>13936</v>
      </c>
      <c r="AB51" s="516">
        <v>10323</v>
      </c>
      <c r="AC51" s="516">
        <v>0</v>
      </c>
      <c r="AD51" s="516">
        <v>0</v>
      </c>
      <c r="AE51" s="516">
        <v>19727</v>
      </c>
      <c r="AF51" s="516">
        <v>168575</v>
      </c>
      <c r="AG51" s="516">
        <v>0</v>
      </c>
      <c r="AH51" s="516">
        <v>0</v>
      </c>
      <c r="AI51" s="516">
        <v>0</v>
      </c>
      <c r="AJ51" s="516">
        <v>0</v>
      </c>
      <c r="AK51" s="516">
        <v>133488</v>
      </c>
      <c r="AL51" s="516">
        <v>0</v>
      </c>
      <c r="AM51" s="516">
        <v>0</v>
      </c>
      <c r="AN51" s="516">
        <v>182180</v>
      </c>
      <c r="AO51" s="516">
        <v>114586</v>
      </c>
      <c r="AP51" s="516">
        <v>0</v>
      </c>
      <c r="AQ51" s="516">
        <v>0</v>
      </c>
      <c r="AR51" s="516">
        <v>23478</v>
      </c>
      <c r="AS51" s="516">
        <v>0</v>
      </c>
      <c r="AT51" s="516">
        <v>6875</v>
      </c>
      <c r="AU51" s="516">
        <v>0</v>
      </c>
      <c r="AV51" s="516">
        <v>158795</v>
      </c>
      <c r="AW51" s="516">
        <v>3395</v>
      </c>
      <c r="AX51" s="516">
        <v>10042</v>
      </c>
      <c r="AY51" s="516">
        <v>21430</v>
      </c>
      <c r="AZ51" s="516">
        <v>5732</v>
      </c>
      <c r="BA51" s="516">
        <v>106104</v>
      </c>
      <c r="BB51" s="516">
        <v>0</v>
      </c>
      <c r="BC51" s="516">
        <v>0</v>
      </c>
      <c r="BD51" s="516">
        <v>0</v>
      </c>
      <c r="BE51" s="516">
        <v>0</v>
      </c>
      <c r="BF51" s="516">
        <v>0</v>
      </c>
      <c r="BG51" s="516">
        <v>0</v>
      </c>
      <c r="BH51" s="516">
        <v>0</v>
      </c>
      <c r="BI51" s="516">
        <v>58913</v>
      </c>
      <c r="BJ51" s="516">
        <v>34222</v>
      </c>
      <c r="BK51" s="516">
        <v>0</v>
      </c>
      <c r="BL51" s="516">
        <v>0</v>
      </c>
      <c r="BM51" s="516">
        <v>9904</v>
      </c>
      <c r="BN51" s="516">
        <v>0</v>
      </c>
      <c r="BO51" s="516">
        <v>24323</v>
      </c>
      <c r="BP51" s="516">
        <v>25576</v>
      </c>
      <c r="BQ51" s="516">
        <v>25062</v>
      </c>
      <c r="BR51" s="516">
        <v>0</v>
      </c>
      <c r="BS51" s="516">
        <v>0</v>
      </c>
      <c r="BT51" s="516">
        <v>0</v>
      </c>
      <c r="BU51" s="516">
        <v>8700</v>
      </c>
      <c r="BV51" s="516">
        <v>67554</v>
      </c>
      <c r="BW51" s="516">
        <v>456</v>
      </c>
      <c r="BX51" s="516">
        <v>0</v>
      </c>
      <c r="BY51" s="516">
        <v>0</v>
      </c>
      <c r="BZ51" s="516">
        <v>0</v>
      </c>
      <c r="CA51" s="516">
        <v>112533</v>
      </c>
      <c r="CB51" s="516">
        <v>0</v>
      </c>
    </row>
    <row r="52" spans="1:80" x14ac:dyDescent="0.25">
      <c r="A52" s="860">
        <v>90</v>
      </c>
      <c r="B52" s="846">
        <v>90</v>
      </c>
      <c r="C52" s="860" t="s">
        <v>290</v>
      </c>
      <c r="D52" s="860" t="s">
        <v>423</v>
      </c>
      <c r="E52" s="516">
        <v>0</v>
      </c>
      <c r="F52" s="516">
        <v>0</v>
      </c>
      <c r="G52" s="516">
        <v>0</v>
      </c>
      <c r="H52" s="516">
        <v>0</v>
      </c>
      <c r="I52" s="516">
        <v>0</v>
      </c>
      <c r="J52" s="516">
        <v>0</v>
      </c>
      <c r="K52" s="516">
        <v>0</v>
      </c>
      <c r="L52" s="516">
        <v>0</v>
      </c>
      <c r="M52" s="516">
        <v>0</v>
      </c>
      <c r="N52" s="516">
        <v>0</v>
      </c>
      <c r="O52" s="516">
        <v>0</v>
      </c>
      <c r="P52" s="516">
        <v>0</v>
      </c>
      <c r="Q52" s="516">
        <v>0</v>
      </c>
      <c r="R52" s="516">
        <v>0</v>
      </c>
      <c r="S52" s="516">
        <v>0</v>
      </c>
      <c r="T52" s="516">
        <v>3053612</v>
      </c>
      <c r="U52" s="516">
        <v>0</v>
      </c>
      <c r="V52" s="516">
        <v>20320664</v>
      </c>
      <c r="W52" s="516">
        <v>0</v>
      </c>
      <c r="X52" s="516">
        <v>0</v>
      </c>
      <c r="Y52" s="516">
        <v>0</v>
      </c>
      <c r="Z52" s="516">
        <v>0</v>
      </c>
      <c r="AA52" s="516">
        <v>713981</v>
      </c>
      <c r="AB52" s="516">
        <v>943372</v>
      </c>
      <c r="AC52" s="516">
        <v>0</v>
      </c>
      <c r="AD52" s="516">
        <v>0</v>
      </c>
      <c r="AE52" s="516">
        <v>0</v>
      </c>
      <c r="AF52" s="516">
        <v>373389</v>
      </c>
      <c r="AG52" s="516">
        <v>0</v>
      </c>
      <c r="AH52" s="516">
        <v>0</v>
      </c>
      <c r="AI52" s="516">
        <v>0</v>
      </c>
      <c r="AJ52" s="516">
        <v>0</v>
      </c>
      <c r="AK52" s="516">
        <v>3663452</v>
      </c>
      <c r="AL52" s="516">
        <v>0</v>
      </c>
      <c r="AM52" s="516">
        <v>0</v>
      </c>
      <c r="AN52" s="516">
        <v>0</v>
      </c>
      <c r="AO52" s="516">
        <v>0</v>
      </c>
      <c r="AP52" s="516">
        <v>0</v>
      </c>
      <c r="AQ52" s="516">
        <v>0</v>
      </c>
      <c r="AR52" s="516">
        <v>12061008</v>
      </c>
      <c r="AS52" s="516">
        <v>0</v>
      </c>
      <c r="AT52" s="516">
        <v>0</v>
      </c>
      <c r="AU52" s="516">
        <v>0</v>
      </c>
      <c r="AV52" s="516">
        <v>3470078</v>
      </c>
      <c r="AW52" s="516">
        <v>0</v>
      </c>
      <c r="AX52" s="516">
        <v>0</v>
      </c>
      <c r="AY52" s="516">
        <v>0</v>
      </c>
      <c r="AZ52" s="516">
        <v>0</v>
      </c>
      <c r="BA52" s="516">
        <v>1926345</v>
      </c>
      <c r="BB52" s="516">
        <v>0</v>
      </c>
      <c r="BC52" s="516">
        <v>0</v>
      </c>
      <c r="BD52" s="516">
        <v>0</v>
      </c>
      <c r="BE52" s="516">
        <v>0</v>
      </c>
      <c r="BF52" s="516">
        <v>0</v>
      </c>
      <c r="BG52" s="516">
        <v>269776</v>
      </c>
      <c r="BH52" s="516">
        <v>0</v>
      </c>
      <c r="BI52" s="516">
        <v>0</v>
      </c>
      <c r="BJ52" s="516">
        <v>0</v>
      </c>
      <c r="BK52" s="516">
        <v>0</v>
      </c>
      <c r="BL52" s="516">
        <v>1246472</v>
      </c>
      <c r="BM52" s="516">
        <v>0</v>
      </c>
      <c r="BN52" s="516">
        <v>0</v>
      </c>
      <c r="BO52" s="516">
        <v>0</v>
      </c>
      <c r="BP52" s="516">
        <v>0</v>
      </c>
      <c r="BQ52" s="516">
        <v>0</v>
      </c>
      <c r="BR52" s="516">
        <v>0</v>
      </c>
      <c r="BS52" s="516">
        <v>0</v>
      </c>
      <c r="BT52" s="516">
        <v>0</v>
      </c>
      <c r="BU52" s="516">
        <v>0</v>
      </c>
      <c r="BV52" s="516">
        <v>0</v>
      </c>
      <c r="BW52" s="516">
        <v>0</v>
      </c>
      <c r="BX52" s="516">
        <v>0</v>
      </c>
      <c r="BY52" s="516">
        <v>0</v>
      </c>
      <c r="BZ52" s="516">
        <v>0</v>
      </c>
      <c r="CA52" s="516">
        <v>0</v>
      </c>
      <c r="CB52" s="516">
        <v>0</v>
      </c>
    </row>
    <row r="53" spans="1:80" x14ac:dyDescent="0.25">
      <c r="A53" s="860">
        <v>91</v>
      </c>
      <c r="B53" s="846">
        <v>91</v>
      </c>
      <c r="C53" s="860" t="s">
        <v>291</v>
      </c>
      <c r="D53" s="860" t="s">
        <v>424</v>
      </c>
      <c r="E53" s="516">
        <v>0</v>
      </c>
      <c r="F53" s="516">
        <v>0</v>
      </c>
      <c r="G53" s="516">
        <v>0</v>
      </c>
      <c r="H53" s="516">
        <v>0</v>
      </c>
      <c r="I53" s="516">
        <v>0</v>
      </c>
      <c r="J53" s="516">
        <v>0</v>
      </c>
      <c r="K53" s="516">
        <v>0</v>
      </c>
      <c r="L53" s="516">
        <v>0</v>
      </c>
      <c r="M53" s="516">
        <v>0</v>
      </c>
      <c r="N53" s="516">
        <v>0</v>
      </c>
      <c r="O53" s="516">
        <v>0</v>
      </c>
      <c r="P53" s="516">
        <v>0</v>
      </c>
      <c r="Q53" s="516">
        <v>0</v>
      </c>
      <c r="R53" s="516">
        <v>0</v>
      </c>
      <c r="S53" s="516">
        <v>0</v>
      </c>
      <c r="T53" s="516">
        <v>2518297</v>
      </c>
      <c r="U53" s="516">
        <v>0</v>
      </c>
      <c r="V53" s="516">
        <v>6070522</v>
      </c>
      <c r="W53" s="516">
        <v>0</v>
      </c>
      <c r="X53" s="516">
        <v>0</v>
      </c>
      <c r="Y53" s="516">
        <v>0</v>
      </c>
      <c r="Z53" s="516">
        <v>0</v>
      </c>
      <c r="AA53" s="516">
        <v>190455</v>
      </c>
      <c r="AB53" s="516">
        <v>0</v>
      </c>
      <c r="AC53" s="516">
        <v>0</v>
      </c>
      <c r="AD53" s="516">
        <v>0</v>
      </c>
      <c r="AE53" s="516">
        <v>0</v>
      </c>
      <c r="AF53" s="516">
        <v>885959</v>
      </c>
      <c r="AG53" s="516">
        <v>0</v>
      </c>
      <c r="AH53" s="516">
        <v>0</v>
      </c>
      <c r="AI53" s="516">
        <v>0</v>
      </c>
      <c r="AJ53" s="516">
        <v>0</v>
      </c>
      <c r="AK53" s="516">
        <v>1226549</v>
      </c>
      <c r="AL53" s="516">
        <v>0</v>
      </c>
      <c r="AM53" s="516">
        <v>0</v>
      </c>
      <c r="AN53" s="516">
        <v>0</v>
      </c>
      <c r="AO53" s="516">
        <v>0</v>
      </c>
      <c r="AP53" s="516">
        <v>0</v>
      </c>
      <c r="AQ53" s="516">
        <v>0</v>
      </c>
      <c r="AR53" s="516">
        <v>6599193</v>
      </c>
      <c r="AS53" s="516">
        <v>0</v>
      </c>
      <c r="AT53" s="516">
        <v>0</v>
      </c>
      <c r="AU53" s="516">
        <v>0</v>
      </c>
      <c r="AV53" s="516">
        <v>664046</v>
      </c>
      <c r="AW53" s="516">
        <v>0</v>
      </c>
      <c r="AX53" s="516">
        <v>0</v>
      </c>
      <c r="AY53" s="516">
        <v>0</v>
      </c>
      <c r="AZ53" s="516">
        <v>0</v>
      </c>
      <c r="BA53" s="516">
        <v>744070</v>
      </c>
      <c r="BB53" s="516">
        <v>0</v>
      </c>
      <c r="BC53" s="516">
        <v>0</v>
      </c>
      <c r="BD53" s="516">
        <v>0</v>
      </c>
      <c r="BE53" s="516">
        <v>0</v>
      </c>
      <c r="BF53" s="516">
        <v>0</v>
      </c>
      <c r="BG53" s="516">
        <v>69434</v>
      </c>
      <c r="BH53" s="516">
        <v>0</v>
      </c>
      <c r="BI53" s="516">
        <v>0</v>
      </c>
      <c r="BJ53" s="516">
        <v>0</v>
      </c>
      <c r="BK53" s="516">
        <v>0</v>
      </c>
      <c r="BL53" s="516">
        <v>635607</v>
      </c>
      <c r="BM53" s="516">
        <v>0</v>
      </c>
      <c r="BN53" s="516">
        <v>0</v>
      </c>
      <c r="BO53" s="516">
        <v>0</v>
      </c>
      <c r="BP53" s="516">
        <v>0</v>
      </c>
      <c r="BQ53" s="516">
        <v>0</v>
      </c>
      <c r="BR53" s="516">
        <v>0</v>
      </c>
      <c r="BS53" s="516">
        <v>0</v>
      </c>
      <c r="BT53" s="516">
        <v>0</v>
      </c>
      <c r="BU53" s="516">
        <v>0</v>
      </c>
      <c r="BV53" s="516">
        <v>0</v>
      </c>
      <c r="BW53" s="516">
        <v>0</v>
      </c>
      <c r="BX53" s="516">
        <v>0</v>
      </c>
      <c r="BY53" s="516">
        <v>0</v>
      </c>
      <c r="BZ53" s="516">
        <v>0</v>
      </c>
      <c r="CA53" s="516">
        <v>0</v>
      </c>
      <c r="CB53" s="516">
        <v>0</v>
      </c>
    </row>
    <row r="54" spans="1:80" x14ac:dyDescent="0.25">
      <c r="A54" s="860"/>
      <c r="B54" s="846">
        <v>92</v>
      </c>
      <c r="C54" s="860" t="s">
        <v>731</v>
      </c>
      <c r="D54" s="860" t="s">
        <v>425</v>
      </c>
      <c r="E54" s="516"/>
      <c r="F54" s="516"/>
      <c r="G54" s="516"/>
      <c r="H54" s="516"/>
      <c r="I54" s="516"/>
      <c r="J54" s="516"/>
      <c r="K54" s="516"/>
      <c r="L54" s="516"/>
      <c r="M54" s="516"/>
      <c r="N54" s="516"/>
      <c r="O54" s="516"/>
      <c r="P54" s="516"/>
      <c r="Q54" s="516"/>
      <c r="R54" s="516"/>
      <c r="S54" s="516"/>
      <c r="T54" s="516"/>
      <c r="U54" s="516"/>
      <c r="V54" s="516"/>
      <c r="W54" s="516"/>
      <c r="X54" s="516"/>
      <c r="Y54" s="516"/>
      <c r="Z54" s="516"/>
      <c r="AA54" s="516"/>
      <c r="AB54" s="516"/>
      <c r="AC54" s="516"/>
      <c r="AD54" s="516"/>
      <c r="AE54" s="516"/>
      <c r="AF54" s="516"/>
      <c r="AG54" s="516"/>
      <c r="AH54" s="516"/>
      <c r="AI54" s="516"/>
      <c r="AJ54" s="516"/>
      <c r="AK54" s="516"/>
      <c r="AL54" s="516"/>
      <c r="AM54" s="516"/>
      <c r="AN54" s="516"/>
      <c r="AO54" s="516"/>
      <c r="AP54" s="516"/>
      <c r="AQ54" s="516"/>
      <c r="AR54" s="516"/>
      <c r="AS54" s="516"/>
      <c r="AT54" s="516"/>
      <c r="AU54" s="516"/>
      <c r="AV54" s="516"/>
      <c r="AW54" s="516"/>
      <c r="AX54" s="516"/>
      <c r="AY54" s="516"/>
      <c r="AZ54" s="516"/>
      <c r="BA54" s="516"/>
      <c r="BB54" s="516"/>
      <c r="BC54" s="516"/>
      <c r="BD54" s="516"/>
      <c r="BE54" s="516"/>
      <c r="BF54" s="516"/>
      <c r="BG54" s="516"/>
      <c r="BH54" s="516"/>
      <c r="BI54" s="516"/>
      <c r="BJ54" s="516"/>
      <c r="BK54" s="516"/>
      <c r="BL54" s="516"/>
      <c r="BM54" s="516"/>
      <c r="BN54" s="516"/>
      <c r="BO54" s="516"/>
      <c r="BP54" s="516"/>
      <c r="BQ54" s="516"/>
      <c r="BR54" s="516"/>
      <c r="BS54" s="516"/>
      <c r="BT54" s="516"/>
      <c r="BU54" s="516"/>
      <c r="BV54" s="516"/>
      <c r="BW54" s="516"/>
      <c r="BX54" s="516"/>
      <c r="BY54" s="516"/>
      <c r="BZ54" s="516"/>
      <c r="CA54" s="516"/>
      <c r="CB54" s="516"/>
    </row>
    <row r="55" spans="1:80" x14ac:dyDescent="0.25">
      <c r="A55" s="860">
        <v>93</v>
      </c>
      <c r="B55" s="846">
        <v>93</v>
      </c>
      <c r="C55" s="860" t="s">
        <v>304</v>
      </c>
      <c r="D55" s="860" t="s">
        <v>426</v>
      </c>
      <c r="E55" s="516">
        <v>0</v>
      </c>
      <c r="F55" s="516">
        <v>0</v>
      </c>
      <c r="G55" s="516">
        <v>0</v>
      </c>
      <c r="H55" s="516">
        <v>0</v>
      </c>
      <c r="I55" s="516">
        <v>0</v>
      </c>
      <c r="J55" s="516">
        <v>0</v>
      </c>
      <c r="K55" s="516">
        <v>0</v>
      </c>
      <c r="L55" s="516">
        <v>0</v>
      </c>
      <c r="M55" s="516">
        <v>0</v>
      </c>
      <c r="N55" s="516">
        <v>0</v>
      </c>
      <c r="O55" s="516">
        <v>0</v>
      </c>
      <c r="P55" s="516">
        <v>0</v>
      </c>
      <c r="Q55" s="516">
        <v>0</v>
      </c>
      <c r="R55" s="516">
        <v>0</v>
      </c>
      <c r="S55" s="516">
        <v>0</v>
      </c>
      <c r="T55" s="516">
        <v>14195450</v>
      </c>
      <c r="U55" s="516">
        <v>0</v>
      </c>
      <c r="V55" s="516">
        <v>48530615</v>
      </c>
      <c r="W55" s="516">
        <v>0</v>
      </c>
      <c r="X55" s="516">
        <v>0</v>
      </c>
      <c r="Y55" s="516">
        <v>0</v>
      </c>
      <c r="Z55" s="516">
        <v>0</v>
      </c>
      <c r="AA55" s="516">
        <v>3572570</v>
      </c>
      <c r="AB55" s="516">
        <v>1092371</v>
      </c>
      <c r="AC55" s="516">
        <v>0</v>
      </c>
      <c r="AD55" s="516">
        <v>0</v>
      </c>
      <c r="AE55" s="516">
        <v>0</v>
      </c>
      <c r="AF55" s="516">
        <v>6956588</v>
      </c>
      <c r="AG55" s="516">
        <v>0</v>
      </c>
      <c r="AH55" s="516">
        <v>0</v>
      </c>
      <c r="AI55" s="516">
        <v>0</v>
      </c>
      <c r="AJ55" s="516">
        <v>0</v>
      </c>
      <c r="AK55" s="516">
        <v>15527579</v>
      </c>
      <c r="AL55" s="516">
        <v>0</v>
      </c>
      <c r="AM55" s="516">
        <v>0</v>
      </c>
      <c r="AN55" s="516">
        <v>0</v>
      </c>
      <c r="AO55" s="516">
        <v>0</v>
      </c>
      <c r="AP55" s="516">
        <v>0</v>
      </c>
      <c r="AQ55" s="516">
        <v>0</v>
      </c>
      <c r="AR55" s="516">
        <v>50877723</v>
      </c>
      <c r="AS55" s="516">
        <v>0</v>
      </c>
      <c r="AT55" s="516">
        <v>0</v>
      </c>
      <c r="AU55" s="516">
        <v>0</v>
      </c>
      <c r="AV55" s="516">
        <v>8162948</v>
      </c>
      <c r="AW55" s="516">
        <v>0</v>
      </c>
      <c r="AX55" s="516">
        <v>0</v>
      </c>
      <c r="AY55" s="516">
        <v>0</v>
      </c>
      <c r="AZ55" s="516">
        <v>0</v>
      </c>
      <c r="BA55" s="516">
        <v>7110893</v>
      </c>
      <c r="BB55" s="516">
        <v>0</v>
      </c>
      <c r="BC55" s="516">
        <v>0</v>
      </c>
      <c r="BD55" s="516">
        <v>0</v>
      </c>
      <c r="BE55" s="516">
        <v>0</v>
      </c>
      <c r="BF55" s="516">
        <v>0</v>
      </c>
      <c r="BG55" s="516">
        <v>462912</v>
      </c>
      <c r="BH55" s="516">
        <v>0</v>
      </c>
      <c r="BI55" s="516">
        <v>0</v>
      </c>
      <c r="BJ55" s="516">
        <v>0</v>
      </c>
      <c r="BK55" s="516">
        <v>0</v>
      </c>
      <c r="BL55" s="516">
        <v>7455722</v>
      </c>
      <c r="BM55" s="516">
        <v>0</v>
      </c>
      <c r="BN55" s="516">
        <v>0</v>
      </c>
      <c r="BO55" s="516">
        <v>0</v>
      </c>
      <c r="BP55" s="516">
        <v>0</v>
      </c>
      <c r="BQ55" s="516">
        <v>0</v>
      </c>
      <c r="BR55" s="516">
        <v>0</v>
      </c>
      <c r="BS55" s="516">
        <v>0</v>
      </c>
      <c r="BT55" s="516">
        <v>0</v>
      </c>
      <c r="BU55" s="516">
        <v>0</v>
      </c>
      <c r="BV55" s="516">
        <v>0</v>
      </c>
      <c r="BW55" s="516">
        <v>0</v>
      </c>
      <c r="BX55" s="516">
        <v>0</v>
      </c>
      <c r="BY55" s="516">
        <v>0</v>
      </c>
      <c r="BZ55" s="516">
        <v>0</v>
      </c>
      <c r="CA55" s="516">
        <v>0</v>
      </c>
      <c r="CB55" s="516">
        <v>0</v>
      </c>
    </row>
    <row r="56" spans="1:80" x14ac:dyDescent="0.25">
      <c r="A56" s="860">
        <v>94</v>
      </c>
      <c r="B56" s="846">
        <v>94</v>
      </c>
      <c r="C56" s="860" t="s">
        <v>307</v>
      </c>
      <c r="D56" s="860" t="s">
        <v>427</v>
      </c>
      <c r="E56" s="516">
        <v>0</v>
      </c>
      <c r="F56" s="516">
        <v>0</v>
      </c>
      <c r="G56" s="516">
        <v>0</v>
      </c>
      <c r="H56" s="516">
        <v>0</v>
      </c>
      <c r="I56" s="516">
        <v>0</v>
      </c>
      <c r="J56" s="516">
        <v>0</v>
      </c>
      <c r="K56" s="516">
        <v>0</v>
      </c>
      <c r="L56" s="516">
        <v>0</v>
      </c>
      <c r="M56" s="516">
        <v>0</v>
      </c>
      <c r="N56" s="516">
        <v>0</v>
      </c>
      <c r="O56" s="516">
        <v>0</v>
      </c>
      <c r="P56" s="516">
        <v>0</v>
      </c>
      <c r="Q56" s="516">
        <v>0</v>
      </c>
      <c r="R56" s="516">
        <v>0</v>
      </c>
      <c r="S56" s="516">
        <v>0</v>
      </c>
      <c r="T56" s="516">
        <v>10923406</v>
      </c>
      <c r="U56" s="516">
        <v>0</v>
      </c>
      <c r="V56" s="516">
        <v>39847221</v>
      </c>
      <c r="W56" s="516">
        <v>0</v>
      </c>
      <c r="X56" s="516">
        <v>0</v>
      </c>
      <c r="Y56" s="516">
        <v>0</v>
      </c>
      <c r="Z56" s="516">
        <v>0</v>
      </c>
      <c r="AA56" s="516">
        <v>3549651</v>
      </c>
      <c r="AB56" s="516">
        <v>483022</v>
      </c>
      <c r="AC56" s="516">
        <v>0</v>
      </c>
      <c r="AD56" s="516">
        <v>0</v>
      </c>
      <c r="AE56" s="516">
        <v>0</v>
      </c>
      <c r="AF56" s="516">
        <v>6466229</v>
      </c>
      <c r="AG56" s="516">
        <v>0</v>
      </c>
      <c r="AH56" s="516">
        <v>0</v>
      </c>
      <c r="AI56" s="516">
        <v>0</v>
      </c>
      <c r="AJ56" s="516">
        <v>0</v>
      </c>
      <c r="AK56" s="516">
        <v>14015407</v>
      </c>
      <c r="AL56" s="516">
        <v>0</v>
      </c>
      <c r="AM56" s="516">
        <v>0</v>
      </c>
      <c r="AN56" s="516">
        <v>0</v>
      </c>
      <c r="AO56" s="516">
        <v>0</v>
      </c>
      <c r="AP56" s="516">
        <v>0</v>
      </c>
      <c r="AQ56" s="516">
        <v>0</v>
      </c>
      <c r="AR56" s="516">
        <v>46604187</v>
      </c>
      <c r="AS56" s="516">
        <v>0</v>
      </c>
      <c r="AT56" s="516">
        <v>0</v>
      </c>
      <c r="AU56" s="516">
        <v>0</v>
      </c>
      <c r="AV56" s="516">
        <v>7403339</v>
      </c>
      <c r="AW56" s="516">
        <v>0</v>
      </c>
      <c r="AX56" s="516">
        <v>0</v>
      </c>
      <c r="AY56" s="516">
        <v>0</v>
      </c>
      <c r="AZ56" s="516">
        <v>0</v>
      </c>
      <c r="BA56" s="516">
        <v>6678018</v>
      </c>
      <c r="BB56" s="516">
        <v>0</v>
      </c>
      <c r="BC56" s="516">
        <v>0</v>
      </c>
      <c r="BD56" s="516">
        <v>0</v>
      </c>
      <c r="BE56" s="516">
        <v>0</v>
      </c>
      <c r="BF56" s="516">
        <v>0</v>
      </c>
      <c r="BG56" s="516">
        <v>476751</v>
      </c>
      <c r="BH56" s="516">
        <v>0</v>
      </c>
      <c r="BI56" s="516">
        <v>0</v>
      </c>
      <c r="BJ56" s="516">
        <v>0</v>
      </c>
      <c r="BK56" s="516">
        <v>0</v>
      </c>
      <c r="BL56" s="516">
        <v>7243906</v>
      </c>
      <c r="BM56" s="516">
        <v>0</v>
      </c>
      <c r="BN56" s="516">
        <v>0</v>
      </c>
      <c r="BO56" s="516">
        <v>0</v>
      </c>
      <c r="BP56" s="516">
        <v>0</v>
      </c>
      <c r="BQ56" s="516">
        <v>0</v>
      </c>
      <c r="BR56" s="516">
        <v>0</v>
      </c>
      <c r="BS56" s="516">
        <v>0</v>
      </c>
      <c r="BT56" s="516">
        <v>0</v>
      </c>
      <c r="BU56" s="516">
        <v>0</v>
      </c>
      <c r="BV56" s="516">
        <v>0</v>
      </c>
      <c r="BW56" s="516">
        <v>0</v>
      </c>
      <c r="BX56" s="516">
        <v>0</v>
      </c>
      <c r="BY56" s="516">
        <v>0</v>
      </c>
      <c r="BZ56" s="516">
        <v>0</v>
      </c>
      <c r="CA56" s="516">
        <v>0</v>
      </c>
      <c r="CB56" s="516">
        <v>0</v>
      </c>
    </row>
    <row r="57" spans="1:80" x14ac:dyDescent="0.25">
      <c r="A57" s="860">
        <v>97</v>
      </c>
      <c r="B57" s="846">
        <v>97</v>
      </c>
      <c r="C57" s="860" t="s">
        <v>303</v>
      </c>
      <c r="D57" s="860" t="s">
        <v>428</v>
      </c>
      <c r="E57" s="516">
        <v>0</v>
      </c>
      <c r="F57" s="516">
        <v>0</v>
      </c>
      <c r="G57" s="516">
        <v>0</v>
      </c>
      <c r="H57" s="516">
        <v>0</v>
      </c>
      <c r="I57" s="516">
        <v>0</v>
      </c>
      <c r="J57" s="516">
        <v>0</v>
      </c>
      <c r="K57" s="516">
        <v>0</v>
      </c>
      <c r="L57" s="516">
        <v>0</v>
      </c>
      <c r="M57" s="516">
        <v>0</v>
      </c>
      <c r="N57" s="516">
        <v>0</v>
      </c>
      <c r="O57" s="516">
        <v>0</v>
      </c>
      <c r="P57" s="516">
        <v>0</v>
      </c>
      <c r="Q57" s="516">
        <v>0</v>
      </c>
      <c r="R57" s="516">
        <v>0</v>
      </c>
      <c r="S57" s="516">
        <v>0</v>
      </c>
      <c r="T57" s="516">
        <v>13652071</v>
      </c>
      <c r="U57" s="516">
        <v>0</v>
      </c>
      <c r="V57" s="516">
        <v>48421524</v>
      </c>
      <c r="W57" s="516">
        <v>0</v>
      </c>
      <c r="X57" s="516">
        <v>0</v>
      </c>
      <c r="Y57" s="516">
        <v>0</v>
      </c>
      <c r="Z57" s="516">
        <v>0</v>
      </c>
      <c r="AA57" s="516">
        <v>3568285</v>
      </c>
      <c r="AB57" s="516">
        <v>1092371</v>
      </c>
      <c r="AC57" s="516">
        <v>0</v>
      </c>
      <c r="AD57" s="516">
        <v>0</v>
      </c>
      <c r="AE57" s="516">
        <v>0</v>
      </c>
      <c r="AF57" s="516">
        <v>6798874</v>
      </c>
      <c r="AG57" s="516">
        <v>0</v>
      </c>
      <c r="AH57" s="516">
        <v>0</v>
      </c>
      <c r="AI57" s="516">
        <v>0</v>
      </c>
      <c r="AJ57" s="516">
        <v>0</v>
      </c>
      <c r="AK57" s="516">
        <v>14686949</v>
      </c>
      <c r="AL57" s="516">
        <v>0</v>
      </c>
      <c r="AM57" s="516">
        <v>0</v>
      </c>
      <c r="AN57" s="516">
        <v>0</v>
      </c>
      <c r="AO57" s="516">
        <v>0</v>
      </c>
      <c r="AP57" s="516">
        <v>0</v>
      </c>
      <c r="AQ57" s="516">
        <v>0</v>
      </c>
      <c r="AR57" s="516">
        <v>50192272</v>
      </c>
      <c r="AS57" s="516">
        <v>0</v>
      </c>
      <c r="AT57" s="516">
        <v>0</v>
      </c>
      <c r="AU57" s="516">
        <v>0</v>
      </c>
      <c r="AV57" s="516">
        <v>7008624</v>
      </c>
      <c r="AW57" s="516">
        <v>0</v>
      </c>
      <c r="AX57" s="516">
        <v>0</v>
      </c>
      <c r="AY57" s="516">
        <v>0</v>
      </c>
      <c r="AZ57" s="516">
        <v>0</v>
      </c>
      <c r="BA57" s="516">
        <v>7015717</v>
      </c>
      <c r="BB57" s="516">
        <v>0</v>
      </c>
      <c r="BC57" s="516">
        <v>0</v>
      </c>
      <c r="BD57" s="516">
        <v>0</v>
      </c>
      <c r="BE57" s="516">
        <v>0</v>
      </c>
      <c r="BF57" s="516">
        <v>0</v>
      </c>
      <c r="BG57" s="516">
        <v>453779</v>
      </c>
      <c r="BH57" s="516">
        <v>0</v>
      </c>
      <c r="BI57" s="516">
        <v>0</v>
      </c>
      <c r="BJ57" s="516">
        <v>0</v>
      </c>
      <c r="BK57" s="516">
        <v>0</v>
      </c>
      <c r="BL57" s="516">
        <v>7455722</v>
      </c>
      <c r="BM57" s="516">
        <v>0</v>
      </c>
      <c r="BN57" s="516">
        <v>0</v>
      </c>
      <c r="BO57" s="516">
        <v>0</v>
      </c>
      <c r="BP57" s="516">
        <v>0</v>
      </c>
      <c r="BQ57" s="516">
        <v>0</v>
      </c>
      <c r="BR57" s="516">
        <v>0</v>
      </c>
      <c r="BS57" s="516">
        <v>0</v>
      </c>
      <c r="BT57" s="516">
        <v>0</v>
      </c>
      <c r="BU57" s="516">
        <v>0</v>
      </c>
      <c r="BV57" s="516">
        <v>0</v>
      </c>
      <c r="BW57" s="516">
        <v>0</v>
      </c>
      <c r="BX57" s="516">
        <v>0</v>
      </c>
      <c r="BY57" s="516">
        <v>0</v>
      </c>
      <c r="BZ57" s="516">
        <v>0</v>
      </c>
      <c r="CA57" s="516">
        <v>0</v>
      </c>
      <c r="CB57" s="516">
        <v>0</v>
      </c>
    </row>
    <row r="58" spans="1:80" x14ac:dyDescent="0.25">
      <c r="A58" s="860">
        <v>98</v>
      </c>
      <c r="B58" s="846">
        <v>98</v>
      </c>
      <c r="C58" s="860" t="s">
        <v>308</v>
      </c>
      <c r="D58" s="860" t="s">
        <v>429</v>
      </c>
      <c r="E58" s="516">
        <v>0</v>
      </c>
      <c r="F58" s="516">
        <v>0</v>
      </c>
      <c r="G58" s="516">
        <v>0</v>
      </c>
      <c r="H58" s="516">
        <v>0</v>
      </c>
      <c r="I58" s="516">
        <v>0</v>
      </c>
      <c r="J58" s="516">
        <v>0</v>
      </c>
      <c r="K58" s="516">
        <v>0</v>
      </c>
      <c r="L58" s="516">
        <v>0</v>
      </c>
      <c r="M58" s="516">
        <v>0</v>
      </c>
      <c r="N58" s="516">
        <v>0</v>
      </c>
      <c r="O58" s="516">
        <v>0</v>
      </c>
      <c r="P58" s="516">
        <v>0</v>
      </c>
      <c r="Q58" s="516">
        <v>0</v>
      </c>
      <c r="R58" s="516">
        <v>0</v>
      </c>
      <c r="S58" s="516">
        <v>0</v>
      </c>
      <c r="T58" s="516">
        <v>8239</v>
      </c>
      <c r="U58" s="516">
        <v>0</v>
      </c>
      <c r="V58" s="516">
        <v>39384</v>
      </c>
      <c r="W58" s="516">
        <v>0</v>
      </c>
      <c r="X58" s="516">
        <v>0</v>
      </c>
      <c r="Y58" s="516">
        <v>0</v>
      </c>
      <c r="Z58" s="516">
        <v>0</v>
      </c>
      <c r="AA58" s="516">
        <v>4742</v>
      </c>
      <c r="AB58" s="516">
        <v>0</v>
      </c>
      <c r="AC58" s="516">
        <v>0</v>
      </c>
      <c r="AD58" s="516">
        <v>0</v>
      </c>
      <c r="AE58" s="516">
        <v>0</v>
      </c>
      <c r="AF58" s="516">
        <v>12908</v>
      </c>
      <c r="AG58" s="516">
        <v>0</v>
      </c>
      <c r="AH58" s="516">
        <v>0</v>
      </c>
      <c r="AI58" s="516">
        <v>0</v>
      </c>
      <c r="AJ58" s="516">
        <v>0</v>
      </c>
      <c r="AK58" s="516">
        <v>45551</v>
      </c>
      <c r="AL58" s="516">
        <v>0</v>
      </c>
      <c r="AM58" s="516">
        <v>0</v>
      </c>
      <c r="AN58" s="516">
        <v>0</v>
      </c>
      <c r="AO58" s="516">
        <v>0</v>
      </c>
      <c r="AP58" s="516">
        <v>0</v>
      </c>
      <c r="AQ58" s="516">
        <v>0</v>
      </c>
      <c r="AR58" s="516">
        <v>131967</v>
      </c>
      <c r="AS58" s="516">
        <v>0</v>
      </c>
      <c r="AT58" s="516">
        <v>0</v>
      </c>
      <c r="AU58" s="516">
        <v>0</v>
      </c>
      <c r="AV58" s="516">
        <v>0</v>
      </c>
      <c r="AW58" s="516">
        <v>0</v>
      </c>
      <c r="AX58" s="516">
        <v>0</v>
      </c>
      <c r="AY58" s="516">
        <v>0</v>
      </c>
      <c r="AZ58" s="516">
        <v>0</v>
      </c>
      <c r="BA58" s="516">
        <v>13393</v>
      </c>
      <c r="BB58" s="516">
        <v>0</v>
      </c>
      <c r="BC58" s="516">
        <v>0</v>
      </c>
      <c r="BD58" s="516">
        <v>0</v>
      </c>
      <c r="BE58" s="516">
        <v>0</v>
      </c>
      <c r="BF58" s="516">
        <v>0</v>
      </c>
      <c r="BG58" s="516">
        <v>0</v>
      </c>
      <c r="BH58" s="516">
        <v>0</v>
      </c>
      <c r="BI58" s="516">
        <v>0</v>
      </c>
      <c r="BJ58" s="516">
        <v>0</v>
      </c>
      <c r="BK58" s="516">
        <v>0</v>
      </c>
      <c r="BL58" s="516">
        <v>0</v>
      </c>
      <c r="BM58" s="516">
        <v>0</v>
      </c>
      <c r="BN58" s="516">
        <v>0</v>
      </c>
      <c r="BO58" s="516">
        <v>0</v>
      </c>
      <c r="BP58" s="516">
        <v>0</v>
      </c>
      <c r="BQ58" s="516">
        <v>0</v>
      </c>
      <c r="BR58" s="516">
        <v>0</v>
      </c>
      <c r="BS58" s="516">
        <v>0</v>
      </c>
      <c r="BT58" s="516">
        <v>0</v>
      </c>
      <c r="BU58" s="516">
        <v>0</v>
      </c>
      <c r="BV58" s="516">
        <v>0</v>
      </c>
      <c r="BW58" s="516">
        <v>0</v>
      </c>
      <c r="BX58" s="516">
        <v>0</v>
      </c>
      <c r="BY58" s="516">
        <v>0</v>
      </c>
      <c r="BZ58" s="516">
        <v>0</v>
      </c>
      <c r="CA58" s="516">
        <v>0</v>
      </c>
      <c r="CB58" s="516">
        <v>0</v>
      </c>
    </row>
    <row r="59" spans="1:80" x14ac:dyDescent="0.25">
      <c r="A59" s="860">
        <v>99</v>
      </c>
      <c r="B59" s="846">
        <v>99</v>
      </c>
      <c r="C59" s="860" t="s">
        <v>305</v>
      </c>
      <c r="D59" s="860" t="s">
        <v>430</v>
      </c>
      <c r="E59" s="516">
        <v>0</v>
      </c>
      <c r="F59" s="516">
        <v>0</v>
      </c>
      <c r="G59" s="516">
        <v>0</v>
      </c>
      <c r="H59" s="516">
        <v>0</v>
      </c>
      <c r="I59" s="516">
        <v>0</v>
      </c>
      <c r="J59" s="516">
        <v>0</v>
      </c>
      <c r="K59" s="516">
        <v>0</v>
      </c>
      <c r="L59" s="516">
        <v>0</v>
      </c>
      <c r="M59" s="516">
        <v>0</v>
      </c>
      <c r="N59" s="516">
        <v>0</v>
      </c>
      <c r="O59" s="516">
        <v>0</v>
      </c>
      <c r="P59" s="516">
        <v>0</v>
      </c>
      <c r="Q59" s="516">
        <v>0</v>
      </c>
      <c r="R59" s="516">
        <v>0</v>
      </c>
      <c r="S59" s="516">
        <v>0</v>
      </c>
      <c r="T59" s="516">
        <v>6272387</v>
      </c>
      <c r="U59" s="516">
        <v>0</v>
      </c>
      <c r="V59" s="516">
        <v>38695263</v>
      </c>
      <c r="W59" s="516">
        <v>0</v>
      </c>
      <c r="X59" s="516">
        <v>0</v>
      </c>
      <c r="Y59" s="516">
        <v>0</v>
      </c>
      <c r="Z59" s="516">
        <v>0</v>
      </c>
      <c r="AA59" s="516">
        <v>2419673</v>
      </c>
      <c r="AB59" s="516">
        <v>244360</v>
      </c>
      <c r="AC59" s="516">
        <v>0</v>
      </c>
      <c r="AD59" s="516">
        <v>0</v>
      </c>
      <c r="AE59" s="516">
        <v>0</v>
      </c>
      <c r="AF59" s="516">
        <v>3840591</v>
      </c>
      <c r="AG59" s="516">
        <v>0</v>
      </c>
      <c r="AH59" s="516">
        <v>0</v>
      </c>
      <c r="AI59" s="516">
        <v>0</v>
      </c>
      <c r="AJ59" s="516">
        <v>0</v>
      </c>
      <c r="AK59" s="516">
        <v>11122894</v>
      </c>
      <c r="AL59" s="516">
        <v>0</v>
      </c>
      <c r="AM59" s="516">
        <v>0</v>
      </c>
      <c r="AN59" s="516">
        <v>0</v>
      </c>
      <c r="AO59" s="516">
        <v>0</v>
      </c>
      <c r="AP59" s="516">
        <v>0</v>
      </c>
      <c r="AQ59" s="516">
        <v>0</v>
      </c>
      <c r="AR59" s="516">
        <v>35236370</v>
      </c>
      <c r="AS59" s="516">
        <v>0</v>
      </c>
      <c r="AT59" s="516">
        <v>0</v>
      </c>
      <c r="AU59" s="516">
        <v>0</v>
      </c>
      <c r="AV59" s="516">
        <v>5288257</v>
      </c>
      <c r="AW59" s="516">
        <v>0</v>
      </c>
      <c r="AX59" s="516">
        <v>0</v>
      </c>
      <c r="AY59" s="516">
        <v>0</v>
      </c>
      <c r="AZ59" s="516">
        <v>0</v>
      </c>
      <c r="BA59" s="516">
        <v>4318155</v>
      </c>
      <c r="BB59" s="516">
        <v>0</v>
      </c>
      <c r="BC59" s="516">
        <v>0</v>
      </c>
      <c r="BD59" s="516">
        <v>0</v>
      </c>
      <c r="BE59" s="516">
        <v>0</v>
      </c>
      <c r="BF59" s="516">
        <v>0</v>
      </c>
      <c r="BG59" s="516">
        <v>292074</v>
      </c>
      <c r="BH59" s="516">
        <v>0</v>
      </c>
      <c r="BI59" s="516">
        <v>0</v>
      </c>
      <c r="BJ59" s="516">
        <v>0</v>
      </c>
      <c r="BK59" s="516">
        <v>0</v>
      </c>
      <c r="BL59" s="516">
        <v>5918572</v>
      </c>
      <c r="BM59" s="516">
        <v>0</v>
      </c>
      <c r="BN59" s="516">
        <v>0</v>
      </c>
      <c r="BO59" s="516">
        <v>0</v>
      </c>
      <c r="BP59" s="516">
        <v>0</v>
      </c>
      <c r="BQ59" s="516">
        <v>0</v>
      </c>
      <c r="BR59" s="516">
        <v>0</v>
      </c>
      <c r="BS59" s="516">
        <v>0</v>
      </c>
      <c r="BT59" s="516">
        <v>0</v>
      </c>
      <c r="BU59" s="516">
        <v>0</v>
      </c>
      <c r="BV59" s="516">
        <v>0</v>
      </c>
      <c r="BW59" s="516">
        <v>0</v>
      </c>
      <c r="BX59" s="516">
        <v>0</v>
      </c>
      <c r="BY59" s="516">
        <v>0</v>
      </c>
      <c r="BZ59" s="516">
        <v>0</v>
      </c>
      <c r="CA59" s="516">
        <v>0</v>
      </c>
      <c r="CB59" s="516">
        <v>0</v>
      </c>
    </row>
    <row r="60" spans="1:80" x14ac:dyDescent="0.25">
      <c r="A60" s="860">
        <v>100</v>
      </c>
      <c r="B60" s="846">
        <v>100</v>
      </c>
      <c r="C60" s="860" t="s">
        <v>318</v>
      </c>
      <c r="D60" s="860" t="s">
        <v>431</v>
      </c>
      <c r="E60" s="516">
        <v>0</v>
      </c>
      <c r="F60" s="516">
        <v>0</v>
      </c>
      <c r="G60" s="516">
        <v>0</v>
      </c>
      <c r="H60" s="516">
        <v>0</v>
      </c>
      <c r="I60" s="516">
        <v>0</v>
      </c>
      <c r="J60" s="516">
        <v>0</v>
      </c>
      <c r="K60" s="516">
        <v>0</v>
      </c>
      <c r="L60" s="516">
        <v>0</v>
      </c>
      <c r="M60" s="516">
        <v>0</v>
      </c>
      <c r="N60" s="516">
        <v>0</v>
      </c>
      <c r="O60" s="516">
        <v>0</v>
      </c>
      <c r="P60" s="516">
        <v>0</v>
      </c>
      <c r="Q60" s="516">
        <v>0</v>
      </c>
      <c r="R60" s="516">
        <v>0</v>
      </c>
      <c r="S60" s="516">
        <v>0</v>
      </c>
      <c r="T60" s="516">
        <v>201831</v>
      </c>
      <c r="U60" s="516">
        <v>0</v>
      </c>
      <c r="V60" s="516">
        <v>773073</v>
      </c>
      <c r="W60" s="516">
        <v>0</v>
      </c>
      <c r="X60" s="516">
        <v>0</v>
      </c>
      <c r="Y60" s="516">
        <v>0</v>
      </c>
      <c r="Z60" s="516">
        <v>0</v>
      </c>
      <c r="AA60" s="516">
        <v>80997</v>
      </c>
      <c r="AB60" s="516">
        <v>0</v>
      </c>
      <c r="AC60" s="516">
        <v>0</v>
      </c>
      <c r="AD60" s="516">
        <v>0</v>
      </c>
      <c r="AE60" s="516">
        <v>0</v>
      </c>
      <c r="AF60" s="516">
        <v>70000</v>
      </c>
      <c r="AG60" s="516">
        <v>0</v>
      </c>
      <c r="AH60" s="516">
        <v>0</v>
      </c>
      <c r="AI60" s="516">
        <v>0</v>
      </c>
      <c r="AJ60" s="516">
        <v>0</v>
      </c>
      <c r="AK60" s="516">
        <v>159945</v>
      </c>
      <c r="AL60" s="516">
        <v>0</v>
      </c>
      <c r="AM60" s="516">
        <v>0</v>
      </c>
      <c r="AN60" s="516">
        <v>0</v>
      </c>
      <c r="AO60" s="516">
        <v>0</v>
      </c>
      <c r="AP60" s="516">
        <v>0</v>
      </c>
      <c r="AQ60" s="516">
        <v>0</v>
      </c>
      <c r="AR60" s="516">
        <v>783164</v>
      </c>
      <c r="AS60" s="516">
        <v>0</v>
      </c>
      <c r="AT60" s="516">
        <v>0</v>
      </c>
      <c r="AU60" s="516">
        <v>0</v>
      </c>
      <c r="AV60" s="516">
        <v>0</v>
      </c>
      <c r="AW60" s="516">
        <v>0</v>
      </c>
      <c r="AX60" s="516">
        <v>0</v>
      </c>
      <c r="AY60" s="516">
        <v>0</v>
      </c>
      <c r="AZ60" s="516">
        <v>0</v>
      </c>
      <c r="BA60" s="516">
        <v>107593</v>
      </c>
      <c r="BB60" s="516">
        <v>0</v>
      </c>
      <c r="BC60" s="516">
        <v>0</v>
      </c>
      <c r="BD60" s="516">
        <v>0</v>
      </c>
      <c r="BE60" s="516">
        <v>0</v>
      </c>
      <c r="BF60" s="516">
        <v>0</v>
      </c>
      <c r="BG60" s="516">
        <v>0</v>
      </c>
      <c r="BH60" s="516">
        <v>0</v>
      </c>
      <c r="BI60" s="516">
        <v>0</v>
      </c>
      <c r="BJ60" s="516">
        <v>0</v>
      </c>
      <c r="BK60" s="516">
        <v>0</v>
      </c>
      <c r="BL60" s="516">
        <v>0</v>
      </c>
      <c r="BM60" s="516">
        <v>0</v>
      </c>
      <c r="BN60" s="516">
        <v>0</v>
      </c>
      <c r="BO60" s="516">
        <v>0</v>
      </c>
      <c r="BP60" s="516">
        <v>0</v>
      </c>
      <c r="BQ60" s="516">
        <v>0</v>
      </c>
      <c r="BR60" s="516">
        <v>0</v>
      </c>
      <c r="BS60" s="516">
        <v>0</v>
      </c>
      <c r="BT60" s="516">
        <v>0</v>
      </c>
      <c r="BU60" s="516">
        <v>0</v>
      </c>
      <c r="BV60" s="516">
        <v>0</v>
      </c>
      <c r="BW60" s="516">
        <v>0</v>
      </c>
      <c r="BX60" s="516">
        <v>0</v>
      </c>
      <c r="BY60" s="516">
        <v>0</v>
      </c>
      <c r="BZ60" s="516">
        <v>0</v>
      </c>
      <c r="CA60" s="516">
        <v>0</v>
      </c>
      <c r="CB60" s="516">
        <v>0</v>
      </c>
    </row>
    <row r="61" spans="1:80" x14ac:dyDescent="0.25">
      <c r="A61" s="860">
        <v>101</v>
      </c>
      <c r="B61" s="846">
        <v>101</v>
      </c>
      <c r="C61" s="860" t="s">
        <v>317</v>
      </c>
      <c r="D61" s="860" t="s">
        <v>432</v>
      </c>
      <c r="E61" s="516">
        <v>0</v>
      </c>
      <c r="F61" s="516">
        <v>0</v>
      </c>
      <c r="G61" s="516">
        <v>0</v>
      </c>
      <c r="H61" s="516">
        <v>0</v>
      </c>
      <c r="I61" s="516">
        <v>0</v>
      </c>
      <c r="J61" s="516">
        <v>0</v>
      </c>
      <c r="K61" s="516">
        <v>0</v>
      </c>
      <c r="L61" s="516">
        <v>0</v>
      </c>
      <c r="M61" s="516">
        <v>0</v>
      </c>
      <c r="N61" s="516">
        <v>0</v>
      </c>
      <c r="O61" s="516">
        <v>0</v>
      </c>
      <c r="P61" s="516">
        <v>0</v>
      </c>
      <c r="Q61" s="516">
        <v>0</v>
      </c>
      <c r="R61" s="516">
        <v>0</v>
      </c>
      <c r="S61" s="516">
        <v>0</v>
      </c>
      <c r="T61" s="516">
        <v>315816</v>
      </c>
      <c r="U61" s="516">
        <v>0</v>
      </c>
      <c r="V61" s="516">
        <v>5042879</v>
      </c>
      <c r="W61" s="516">
        <v>0</v>
      </c>
      <c r="X61" s="516">
        <v>0</v>
      </c>
      <c r="Y61" s="516">
        <v>0</v>
      </c>
      <c r="Z61" s="516">
        <v>0</v>
      </c>
      <c r="AA61" s="516">
        <v>0</v>
      </c>
      <c r="AB61" s="516">
        <v>491296</v>
      </c>
      <c r="AC61" s="516">
        <v>0</v>
      </c>
      <c r="AD61" s="516">
        <v>0</v>
      </c>
      <c r="AE61" s="516">
        <v>0</v>
      </c>
      <c r="AF61" s="516">
        <v>56200</v>
      </c>
      <c r="AG61" s="516">
        <v>0</v>
      </c>
      <c r="AH61" s="516">
        <v>0</v>
      </c>
      <c r="AI61" s="516">
        <v>0</v>
      </c>
      <c r="AJ61" s="516">
        <v>0</v>
      </c>
      <c r="AK61" s="516">
        <v>666114</v>
      </c>
      <c r="AL61" s="516">
        <v>0</v>
      </c>
      <c r="AM61" s="516">
        <v>0</v>
      </c>
      <c r="AN61" s="516">
        <v>0</v>
      </c>
      <c r="AO61" s="516">
        <v>0</v>
      </c>
      <c r="AP61" s="516">
        <v>0</v>
      </c>
      <c r="AQ61" s="516">
        <v>0</v>
      </c>
      <c r="AR61" s="516">
        <v>558136</v>
      </c>
      <c r="AS61" s="516">
        <v>0</v>
      </c>
      <c r="AT61" s="516">
        <v>0</v>
      </c>
      <c r="AU61" s="516">
        <v>0</v>
      </c>
      <c r="AV61" s="516">
        <v>547345</v>
      </c>
      <c r="AW61" s="516">
        <v>0</v>
      </c>
      <c r="AX61" s="516">
        <v>0</v>
      </c>
      <c r="AY61" s="516">
        <v>0</v>
      </c>
      <c r="AZ61" s="516">
        <v>0</v>
      </c>
      <c r="BA61" s="516">
        <v>431312</v>
      </c>
      <c r="BB61" s="516">
        <v>0</v>
      </c>
      <c r="BC61" s="516">
        <v>0</v>
      </c>
      <c r="BD61" s="516">
        <v>0</v>
      </c>
      <c r="BE61" s="516">
        <v>0</v>
      </c>
      <c r="BF61" s="516">
        <v>0</v>
      </c>
      <c r="BG61" s="516">
        <v>0</v>
      </c>
      <c r="BH61" s="516">
        <v>0</v>
      </c>
      <c r="BI61" s="516">
        <v>0</v>
      </c>
      <c r="BJ61" s="516">
        <v>0</v>
      </c>
      <c r="BK61" s="516">
        <v>0</v>
      </c>
      <c r="BL61" s="516">
        <v>271684</v>
      </c>
      <c r="BM61" s="516">
        <v>0</v>
      </c>
      <c r="BN61" s="516">
        <v>0</v>
      </c>
      <c r="BO61" s="516">
        <v>0</v>
      </c>
      <c r="BP61" s="516">
        <v>0</v>
      </c>
      <c r="BQ61" s="516">
        <v>0</v>
      </c>
      <c r="BR61" s="516">
        <v>0</v>
      </c>
      <c r="BS61" s="516">
        <v>0</v>
      </c>
      <c r="BT61" s="516">
        <v>0</v>
      </c>
      <c r="BU61" s="516">
        <v>0</v>
      </c>
      <c r="BV61" s="516">
        <v>0</v>
      </c>
      <c r="BW61" s="516">
        <v>0</v>
      </c>
      <c r="BX61" s="516">
        <v>0</v>
      </c>
      <c r="BY61" s="516">
        <v>0</v>
      </c>
      <c r="BZ61" s="516">
        <v>0</v>
      </c>
      <c r="CA61" s="516">
        <v>0</v>
      </c>
      <c r="CB61" s="516">
        <v>0</v>
      </c>
    </row>
    <row r="62" spans="1:80" x14ac:dyDescent="0.25">
      <c r="A62" s="860">
        <v>102</v>
      </c>
      <c r="B62" s="846">
        <v>102</v>
      </c>
      <c r="C62" s="860" t="s">
        <v>336</v>
      </c>
      <c r="D62" s="860" t="s">
        <v>433</v>
      </c>
      <c r="E62" s="862">
        <v>99.53</v>
      </c>
      <c r="F62" s="862">
        <v>99.72</v>
      </c>
      <c r="G62" s="862">
        <v>0</v>
      </c>
      <c r="H62" s="862">
        <v>99.28</v>
      </c>
      <c r="I62" s="862">
        <v>99.54</v>
      </c>
      <c r="J62" s="862">
        <v>90.41</v>
      </c>
      <c r="K62" s="862">
        <v>94.74</v>
      </c>
      <c r="L62" s="862">
        <v>96.29</v>
      </c>
      <c r="M62" s="862">
        <v>98.14</v>
      </c>
      <c r="N62" s="862">
        <v>92.69</v>
      </c>
      <c r="O62" s="862">
        <v>96.81</v>
      </c>
      <c r="P62" s="862">
        <v>99.5</v>
      </c>
      <c r="Q62" s="862">
        <v>99.29</v>
      </c>
      <c r="R62" s="862">
        <v>99.58</v>
      </c>
      <c r="S62" s="862">
        <v>98.42</v>
      </c>
      <c r="T62" s="862">
        <v>99.33</v>
      </c>
      <c r="U62" s="862">
        <v>0</v>
      </c>
      <c r="V62" s="862">
        <v>97.15</v>
      </c>
      <c r="W62" s="862">
        <v>92.61</v>
      </c>
      <c r="X62" s="862">
        <v>99.32</v>
      </c>
      <c r="Y62" s="862">
        <v>99.77</v>
      </c>
      <c r="Z62" s="862">
        <v>99.79</v>
      </c>
      <c r="AA62" s="862">
        <v>95.02</v>
      </c>
      <c r="AB62" s="862">
        <v>98.75</v>
      </c>
      <c r="AC62" s="862">
        <v>99.09</v>
      </c>
      <c r="AD62" s="862">
        <v>99.42</v>
      </c>
      <c r="AE62" s="862">
        <v>98.97</v>
      </c>
      <c r="AF62" s="862">
        <v>95.46</v>
      </c>
      <c r="AG62" s="862">
        <v>90.12</v>
      </c>
      <c r="AH62" s="862">
        <v>98.45</v>
      </c>
      <c r="AI62" s="862">
        <v>98.2</v>
      </c>
      <c r="AJ62" s="862">
        <v>99.59</v>
      </c>
      <c r="AK62" s="862">
        <v>93.87</v>
      </c>
      <c r="AL62" s="862">
        <v>95.74</v>
      </c>
      <c r="AM62" s="862">
        <v>96.25</v>
      </c>
      <c r="AN62" s="862">
        <v>99.33</v>
      </c>
      <c r="AO62" s="862">
        <v>95.36</v>
      </c>
      <c r="AP62" s="862">
        <v>94.06</v>
      </c>
      <c r="AQ62" s="862">
        <v>99.65</v>
      </c>
      <c r="AR62" s="862">
        <v>96.59</v>
      </c>
      <c r="AS62" s="862">
        <v>98.51</v>
      </c>
      <c r="AT62" s="862">
        <v>93.2</v>
      </c>
      <c r="AU62" s="862">
        <v>99.8</v>
      </c>
      <c r="AV62" s="862">
        <v>98.21</v>
      </c>
      <c r="AW62" s="862">
        <v>96.26</v>
      </c>
      <c r="AX62" s="862">
        <v>96.96</v>
      </c>
      <c r="AY62" s="862">
        <v>98.13</v>
      </c>
      <c r="AZ62" s="862">
        <v>96.92</v>
      </c>
      <c r="BA62" s="862">
        <v>98.51</v>
      </c>
      <c r="BB62" s="862">
        <v>91.69</v>
      </c>
      <c r="BC62" s="862">
        <v>0</v>
      </c>
      <c r="BD62" s="862">
        <v>0</v>
      </c>
      <c r="BE62" s="862">
        <v>96.15</v>
      </c>
      <c r="BF62" s="862">
        <v>0</v>
      </c>
      <c r="BG62" s="862">
        <v>87.22</v>
      </c>
      <c r="BH62" s="862">
        <v>94.94</v>
      </c>
      <c r="BI62" s="862">
        <v>99.38</v>
      </c>
      <c r="BJ62" s="862">
        <v>96.34</v>
      </c>
      <c r="BK62" s="862">
        <v>0</v>
      </c>
      <c r="BL62" s="862">
        <v>99.69</v>
      </c>
      <c r="BM62" s="862">
        <v>99.44</v>
      </c>
      <c r="BN62" s="862">
        <v>0</v>
      </c>
      <c r="BO62" s="862">
        <v>99.01</v>
      </c>
      <c r="BP62" s="862">
        <v>97.05</v>
      </c>
      <c r="BQ62" s="862">
        <v>96.7</v>
      </c>
      <c r="BR62" s="862">
        <v>98.18</v>
      </c>
      <c r="BS62" s="862">
        <v>99.8</v>
      </c>
      <c r="BT62" s="862">
        <v>99.6</v>
      </c>
      <c r="BU62" s="862">
        <v>84.6</v>
      </c>
      <c r="BV62" s="862">
        <v>99.17</v>
      </c>
      <c r="BW62" s="862">
        <v>95.06</v>
      </c>
      <c r="BX62" s="862">
        <v>99.74</v>
      </c>
      <c r="BY62" s="862">
        <v>91.3</v>
      </c>
      <c r="BZ62" s="862">
        <v>96.05</v>
      </c>
      <c r="CA62" s="862">
        <v>99.49</v>
      </c>
      <c r="CB62" s="862">
        <v>87.68</v>
      </c>
    </row>
    <row r="63" spans="1:80" x14ac:dyDescent="0.25">
      <c r="A63" s="860">
        <v>103</v>
      </c>
      <c r="B63" s="846">
        <v>103</v>
      </c>
      <c r="C63" s="860" t="s">
        <v>337</v>
      </c>
      <c r="D63" s="860" t="s">
        <v>434</v>
      </c>
      <c r="E63" s="862">
        <v>100</v>
      </c>
      <c r="F63" s="862">
        <v>100</v>
      </c>
      <c r="G63" s="862">
        <v>0</v>
      </c>
      <c r="H63" s="862">
        <v>100</v>
      </c>
      <c r="I63" s="862">
        <v>100</v>
      </c>
      <c r="J63" s="862">
        <v>99.1</v>
      </c>
      <c r="K63" s="862">
        <v>100</v>
      </c>
      <c r="L63" s="862">
        <v>100</v>
      </c>
      <c r="M63" s="862">
        <v>100</v>
      </c>
      <c r="N63" s="862">
        <v>100</v>
      </c>
      <c r="O63" s="862">
        <v>100</v>
      </c>
      <c r="P63" s="862">
        <v>100</v>
      </c>
      <c r="Q63" s="862">
        <v>100</v>
      </c>
      <c r="R63" s="862">
        <v>100</v>
      </c>
      <c r="S63" s="862">
        <v>99.65</v>
      </c>
      <c r="T63" s="862">
        <v>100</v>
      </c>
      <c r="U63" s="862">
        <v>0</v>
      </c>
      <c r="V63" s="862">
        <v>100</v>
      </c>
      <c r="W63" s="862">
        <v>100</v>
      </c>
      <c r="X63" s="862">
        <v>100</v>
      </c>
      <c r="Y63" s="862">
        <v>99.33</v>
      </c>
      <c r="Z63" s="862">
        <v>100</v>
      </c>
      <c r="AA63" s="862">
        <v>100</v>
      </c>
      <c r="AB63" s="862">
        <v>100</v>
      </c>
      <c r="AC63" s="862">
        <v>100</v>
      </c>
      <c r="AD63" s="862">
        <v>100</v>
      </c>
      <c r="AE63" s="862">
        <v>100</v>
      </c>
      <c r="AF63" s="862">
        <v>100</v>
      </c>
      <c r="AG63" s="862">
        <v>100</v>
      </c>
      <c r="AH63" s="862">
        <v>100</v>
      </c>
      <c r="AI63" s="862">
        <v>100</v>
      </c>
      <c r="AJ63" s="862">
        <v>99.48</v>
      </c>
      <c r="AK63" s="862">
        <v>100</v>
      </c>
      <c r="AL63" s="862">
        <v>100</v>
      </c>
      <c r="AM63" s="862">
        <v>100</v>
      </c>
      <c r="AN63" s="862">
        <v>100</v>
      </c>
      <c r="AO63" s="862">
        <v>100</v>
      </c>
      <c r="AP63" s="862">
        <v>100</v>
      </c>
      <c r="AQ63" s="862">
        <v>100</v>
      </c>
      <c r="AR63" s="862">
        <v>100</v>
      </c>
      <c r="AS63" s="862">
        <v>99.83</v>
      </c>
      <c r="AT63" s="862">
        <v>100</v>
      </c>
      <c r="AU63" s="862">
        <v>100</v>
      </c>
      <c r="AV63" s="862">
        <v>100</v>
      </c>
      <c r="AW63" s="862">
        <v>100</v>
      </c>
      <c r="AX63" s="862">
        <v>100</v>
      </c>
      <c r="AY63" s="862">
        <v>100</v>
      </c>
      <c r="AZ63" s="862">
        <v>100</v>
      </c>
      <c r="BA63" s="862">
        <v>100</v>
      </c>
      <c r="BB63" s="862">
        <v>100</v>
      </c>
      <c r="BC63" s="862">
        <v>0</v>
      </c>
      <c r="BD63" s="862">
        <v>0</v>
      </c>
      <c r="BE63" s="862">
        <v>100</v>
      </c>
      <c r="BF63" s="862">
        <v>0</v>
      </c>
      <c r="BG63" s="862">
        <v>100</v>
      </c>
      <c r="BH63" s="862">
        <v>99.64</v>
      </c>
      <c r="BI63" s="862">
        <v>100</v>
      </c>
      <c r="BJ63" s="862">
        <v>99.2</v>
      </c>
      <c r="BK63" s="862">
        <v>0</v>
      </c>
      <c r="BL63" s="862">
        <v>100</v>
      </c>
      <c r="BM63" s="862">
        <v>100</v>
      </c>
      <c r="BN63" s="862">
        <v>0</v>
      </c>
      <c r="BO63" s="862">
        <v>100</v>
      </c>
      <c r="BP63" s="862">
        <v>100</v>
      </c>
      <c r="BQ63" s="862">
        <v>100</v>
      </c>
      <c r="BR63" s="862">
        <v>100</v>
      </c>
      <c r="BS63" s="862">
        <v>100</v>
      </c>
      <c r="BT63" s="862">
        <v>100</v>
      </c>
      <c r="BU63" s="862">
        <v>98.7</v>
      </c>
      <c r="BV63" s="862">
        <v>100</v>
      </c>
      <c r="BW63" s="862">
        <v>96.13</v>
      </c>
      <c r="BX63" s="862">
        <v>100</v>
      </c>
      <c r="BY63" s="862">
        <v>100</v>
      </c>
      <c r="BZ63" s="862">
        <v>100</v>
      </c>
      <c r="CA63" s="862">
        <v>98.99</v>
      </c>
      <c r="CB63" s="862">
        <v>100</v>
      </c>
    </row>
    <row r="64" spans="1:80" x14ac:dyDescent="0.25">
      <c r="A64" s="860"/>
      <c r="B64" s="846">
        <v>104</v>
      </c>
      <c r="C64" s="860" t="s">
        <v>435</v>
      </c>
      <c r="D64" s="860" t="s">
        <v>436</v>
      </c>
      <c r="E64" s="516"/>
      <c r="F64" s="516"/>
      <c r="G64" s="516"/>
      <c r="H64" s="516"/>
      <c r="I64" s="516"/>
      <c r="J64" s="516"/>
      <c r="K64" s="516"/>
      <c r="L64" s="516"/>
      <c r="M64" s="516"/>
      <c r="N64" s="516"/>
      <c r="O64" s="516"/>
      <c r="P64" s="516"/>
      <c r="Q64" s="516"/>
      <c r="R64" s="516"/>
      <c r="S64" s="516"/>
      <c r="T64" s="516"/>
      <c r="U64" s="516"/>
      <c r="V64" s="516"/>
      <c r="W64" s="516"/>
      <c r="X64" s="516"/>
      <c r="Y64" s="516"/>
      <c r="Z64" s="516"/>
      <c r="AA64" s="516"/>
      <c r="AB64" s="516"/>
      <c r="AC64" s="516"/>
      <c r="AD64" s="516"/>
      <c r="AE64" s="516"/>
      <c r="AF64" s="516"/>
      <c r="AG64" s="516"/>
      <c r="AH64" s="516"/>
      <c r="AI64" s="516"/>
      <c r="AJ64" s="516"/>
      <c r="AK64" s="516"/>
      <c r="AL64" s="516"/>
      <c r="AM64" s="516"/>
      <c r="AN64" s="516"/>
      <c r="AO64" s="516"/>
      <c r="AP64" s="516"/>
      <c r="AQ64" s="516"/>
      <c r="AR64" s="516"/>
      <c r="AS64" s="516"/>
      <c r="AT64" s="516"/>
      <c r="AU64" s="516"/>
      <c r="AV64" s="516"/>
      <c r="AW64" s="516"/>
      <c r="AX64" s="516"/>
      <c r="AY64" s="516"/>
      <c r="AZ64" s="516"/>
      <c r="BA64" s="516"/>
      <c r="BB64" s="516"/>
      <c r="BC64" s="516"/>
      <c r="BD64" s="516"/>
      <c r="BE64" s="516"/>
      <c r="BF64" s="516"/>
      <c r="BG64" s="516"/>
      <c r="BH64" s="516"/>
      <c r="BI64" s="516"/>
      <c r="BJ64" s="516"/>
      <c r="BK64" s="516"/>
      <c r="BL64" s="516"/>
      <c r="BM64" s="516"/>
      <c r="BN64" s="516"/>
      <c r="BO64" s="516"/>
      <c r="BP64" s="516"/>
      <c r="BQ64" s="516"/>
      <c r="BR64" s="516"/>
      <c r="BS64" s="516"/>
      <c r="BT64" s="516"/>
      <c r="BU64" s="516"/>
      <c r="BV64" s="516"/>
      <c r="BW64" s="516"/>
      <c r="BX64" s="516"/>
      <c r="BY64" s="516"/>
      <c r="BZ64" s="516"/>
      <c r="CA64" s="516"/>
      <c r="CB64" s="516"/>
    </row>
    <row r="65" spans="1:80" x14ac:dyDescent="0.25">
      <c r="A65" s="860"/>
      <c r="B65" s="846">
        <v>107</v>
      </c>
      <c r="C65" s="860" t="s">
        <v>732</v>
      </c>
      <c r="D65" s="860" t="s">
        <v>437</v>
      </c>
      <c r="E65" s="516"/>
      <c r="F65" s="516"/>
      <c r="G65" s="516"/>
      <c r="H65" s="516"/>
      <c r="I65" s="516"/>
      <c r="J65" s="516"/>
      <c r="K65" s="516"/>
      <c r="L65" s="516"/>
      <c r="M65" s="516"/>
      <c r="N65" s="516"/>
      <c r="O65" s="516"/>
      <c r="P65" s="516"/>
      <c r="Q65" s="516"/>
      <c r="R65" s="516"/>
      <c r="S65" s="516"/>
      <c r="T65" s="516"/>
      <c r="U65" s="516"/>
      <c r="V65" s="516"/>
      <c r="W65" s="516"/>
      <c r="X65" s="516"/>
      <c r="Y65" s="516"/>
      <c r="Z65" s="516"/>
      <c r="AA65" s="516"/>
      <c r="AB65" s="516"/>
      <c r="AC65" s="516"/>
      <c r="AD65" s="516"/>
      <c r="AE65" s="516"/>
      <c r="AF65" s="516"/>
      <c r="AG65" s="516"/>
      <c r="AH65" s="516"/>
      <c r="AI65" s="516"/>
      <c r="AJ65" s="516"/>
      <c r="AK65" s="516"/>
      <c r="AL65" s="516"/>
      <c r="AM65" s="516"/>
      <c r="AN65" s="516"/>
      <c r="AO65" s="516"/>
      <c r="AP65" s="516"/>
      <c r="AQ65" s="516"/>
      <c r="AR65" s="516"/>
      <c r="AS65" s="516"/>
      <c r="AT65" s="516"/>
      <c r="AU65" s="516"/>
      <c r="AV65" s="516"/>
      <c r="AW65" s="516"/>
      <c r="AX65" s="516"/>
      <c r="AY65" s="516"/>
      <c r="AZ65" s="516"/>
      <c r="BA65" s="516"/>
      <c r="BB65" s="516"/>
      <c r="BC65" s="516"/>
      <c r="BD65" s="516"/>
      <c r="BE65" s="516"/>
      <c r="BF65" s="516"/>
      <c r="BG65" s="516"/>
      <c r="BH65" s="516"/>
      <c r="BI65" s="516"/>
      <c r="BJ65" s="516"/>
      <c r="BK65" s="516"/>
      <c r="BL65" s="516"/>
      <c r="BM65" s="516"/>
      <c r="BN65" s="516"/>
      <c r="BO65" s="516"/>
      <c r="BP65" s="516"/>
      <c r="BQ65" s="516"/>
      <c r="BR65" s="516"/>
      <c r="BS65" s="516"/>
      <c r="BT65" s="516"/>
      <c r="BU65" s="516"/>
      <c r="BV65" s="516"/>
      <c r="BW65" s="516"/>
      <c r="BX65" s="516"/>
      <c r="BY65" s="516"/>
      <c r="BZ65" s="516"/>
      <c r="CA65" s="516"/>
      <c r="CB65" s="516"/>
    </row>
    <row r="66" spans="1:80" x14ac:dyDescent="0.25">
      <c r="A66" s="860"/>
      <c r="B66" s="846">
        <v>108</v>
      </c>
      <c r="C66" s="860" t="s">
        <v>733</v>
      </c>
      <c r="D66" s="860" t="s">
        <v>438</v>
      </c>
      <c r="E66" s="516"/>
      <c r="F66" s="516"/>
      <c r="G66" s="516"/>
      <c r="H66" s="516"/>
      <c r="I66" s="516"/>
      <c r="J66" s="516"/>
      <c r="K66" s="516"/>
      <c r="L66" s="516"/>
      <c r="M66" s="516"/>
      <c r="N66" s="516"/>
      <c r="O66" s="516"/>
      <c r="P66" s="516"/>
      <c r="Q66" s="516"/>
      <c r="R66" s="516"/>
      <c r="S66" s="516"/>
      <c r="T66" s="516"/>
      <c r="U66" s="516"/>
      <c r="V66" s="516"/>
      <c r="W66" s="516"/>
      <c r="X66" s="516"/>
      <c r="Y66" s="516"/>
      <c r="Z66" s="516"/>
      <c r="AA66" s="516"/>
      <c r="AB66" s="516"/>
      <c r="AC66" s="516"/>
      <c r="AD66" s="516"/>
      <c r="AE66" s="516"/>
      <c r="AF66" s="516"/>
      <c r="AG66" s="516"/>
      <c r="AH66" s="516"/>
      <c r="AI66" s="516"/>
      <c r="AJ66" s="516"/>
      <c r="AK66" s="516"/>
      <c r="AL66" s="516"/>
      <c r="AM66" s="516"/>
      <c r="AN66" s="516"/>
      <c r="AO66" s="516"/>
      <c r="AP66" s="516"/>
      <c r="AQ66" s="516"/>
      <c r="AR66" s="516"/>
      <c r="AS66" s="516"/>
      <c r="AT66" s="516"/>
      <c r="AU66" s="516"/>
      <c r="AV66" s="516"/>
      <c r="AW66" s="516"/>
      <c r="AX66" s="516"/>
      <c r="AY66" s="516"/>
      <c r="AZ66" s="516"/>
      <c r="BA66" s="516"/>
      <c r="BB66" s="516"/>
      <c r="BC66" s="516"/>
      <c r="BD66" s="516"/>
      <c r="BE66" s="516"/>
      <c r="BF66" s="516"/>
      <c r="BG66" s="516"/>
      <c r="BH66" s="516"/>
      <c r="BI66" s="516"/>
      <c r="BJ66" s="516"/>
      <c r="BK66" s="516"/>
      <c r="BL66" s="516"/>
      <c r="BM66" s="516"/>
      <c r="BN66" s="516"/>
      <c r="BO66" s="516"/>
      <c r="BP66" s="516"/>
      <c r="BQ66" s="516"/>
      <c r="BR66" s="516"/>
      <c r="BS66" s="516"/>
      <c r="BT66" s="516"/>
      <c r="BU66" s="516"/>
      <c r="BV66" s="516"/>
      <c r="BW66" s="516"/>
      <c r="BX66" s="516"/>
      <c r="BY66" s="516"/>
      <c r="BZ66" s="516"/>
      <c r="CA66" s="516"/>
      <c r="CB66" s="516"/>
    </row>
    <row r="67" spans="1:80" x14ac:dyDescent="0.25">
      <c r="A67" s="860"/>
      <c r="B67" s="846">
        <v>147</v>
      </c>
      <c r="C67" s="860" t="s">
        <v>439</v>
      </c>
      <c r="D67" s="860" t="s">
        <v>440</v>
      </c>
      <c r="E67" s="516"/>
      <c r="F67" s="516"/>
      <c r="G67" s="516"/>
      <c r="H67" s="516"/>
      <c r="I67" s="516"/>
      <c r="J67" s="516"/>
      <c r="K67" s="516"/>
      <c r="L67" s="516"/>
      <c r="M67" s="516"/>
      <c r="N67" s="516"/>
      <c r="O67" s="516"/>
      <c r="P67" s="516"/>
      <c r="Q67" s="516"/>
      <c r="R67" s="516"/>
      <c r="S67" s="516"/>
      <c r="T67" s="516"/>
      <c r="U67" s="516"/>
      <c r="V67" s="516"/>
      <c r="W67" s="516"/>
      <c r="X67" s="516"/>
      <c r="Y67" s="516"/>
      <c r="Z67" s="516"/>
      <c r="AA67" s="516"/>
      <c r="AB67" s="516"/>
      <c r="AC67" s="516"/>
      <c r="AD67" s="516"/>
      <c r="AE67" s="516"/>
      <c r="AF67" s="516"/>
      <c r="AG67" s="516"/>
      <c r="AH67" s="516"/>
      <c r="AI67" s="516"/>
      <c r="AJ67" s="516"/>
      <c r="AK67" s="516"/>
      <c r="AL67" s="516"/>
      <c r="AM67" s="516"/>
      <c r="AN67" s="516"/>
      <c r="AO67" s="516"/>
      <c r="AP67" s="516"/>
      <c r="AQ67" s="516"/>
      <c r="AR67" s="516"/>
      <c r="AS67" s="516"/>
      <c r="AT67" s="516"/>
      <c r="AU67" s="516"/>
      <c r="AV67" s="516"/>
      <c r="AW67" s="516"/>
      <c r="AX67" s="516"/>
      <c r="AY67" s="516"/>
      <c r="AZ67" s="516"/>
      <c r="BA67" s="516"/>
      <c r="BB67" s="516"/>
      <c r="BC67" s="516"/>
      <c r="BD67" s="516"/>
      <c r="BE67" s="516"/>
      <c r="BF67" s="516"/>
      <c r="BG67" s="516"/>
      <c r="BH67" s="516"/>
      <c r="BI67" s="516"/>
      <c r="BJ67" s="516"/>
      <c r="BK67" s="516"/>
      <c r="BL67" s="516"/>
      <c r="BM67" s="516"/>
      <c r="BN67" s="516"/>
      <c r="BO67" s="516"/>
      <c r="BP67" s="516"/>
      <c r="BQ67" s="516"/>
      <c r="BR67" s="516"/>
      <c r="BS67" s="516"/>
      <c r="BT67" s="516"/>
      <c r="BU67" s="516"/>
      <c r="BV67" s="516"/>
      <c r="BW67" s="516"/>
      <c r="BX67" s="516"/>
      <c r="BY67" s="516"/>
      <c r="BZ67" s="516"/>
      <c r="CA67" s="516"/>
      <c r="CB67" s="516"/>
    </row>
    <row r="68" spans="1:80" x14ac:dyDescent="0.25">
      <c r="A68" s="860"/>
      <c r="B68" s="846">
        <v>148</v>
      </c>
      <c r="C68" s="860" t="s">
        <v>441</v>
      </c>
      <c r="D68" s="860" t="s">
        <v>442</v>
      </c>
      <c r="E68" s="516"/>
      <c r="F68" s="516"/>
      <c r="G68" s="516"/>
      <c r="H68" s="516"/>
      <c r="I68" s="516"/>
      <c r="J68" s="516"/>
      <c r="K68" s="516"/>
      <c r="L68" s="516"/>
      <c r="M68" s="516"/>
      <c r="N68" s="516"/>
      <c r="O68" s="516"/>
      <c r="P68" s="516"/>
      <c r="Q68" s="516"/>
      <c r="R68" s="516"/>
      <c r="S68" s="516"/>
      <c r="T68" s="516"/>
      <c r="U68" s="516"/>
      <c r="V68" s="516"/>
      <c r="W68" s="516"/>
      <c r="X68" s="516"/>
      <c r="Y68" s="516"/>
      <c r="Z68" s="516"/>
      <c r="AA68" s="516"/>
      <c r="AB68" s="516"/>
      <c r="AC68" s="516"/>
      <c r="AD68" s="516"/>
      <c r="AE68" s="516"/>
      <c r="AF68" s="516"/>
      <c r="AG68" s="516"/>
      <c r="AH68" s="516"/>
      <c r="AI68" s="516"/>
      <c r="AJ68" s="516"/>
      <c r="AK68" s="516"/>
      <c r="AL68" s="516"/>
      <c r="AM68" s="516"/>
      <c r="AN68" s="516"/>
      <c r="AO68" s="516"/>
      <c r="AP68" s="516"/>
      <c r="AQ68" s="516"/>
      <c r="AR68" s="516"/>
      <c r="AS68" s="516"/>
      <c r="AT68" s="516"/>
      <c r="AU68" s="516"/>
      <c r="AV68" s="516"/>
      <c r="AW68" s="516"/>
      <c r="AX68" s="516"/>
      <c r="AY68" s="516"/>
      <c r="AZ68" s="516"/>
      <c r="BA68" s="516"/>
      <c r="BB68" s="516"/>
      <c r="BC68" s="516"/>
      <c r="BD68" s="516"/>
      <c r="BE68" s="516"/>
      <c r="BF68" s="516"/>
      <c r="BG68" s="516"/>
      <c r="BH68" s="516"/>
      <c r="BI68" s="516"/>
      <c r="BJ68" s="516"/>
      <c r="BK68" s="516"/>
      <c r="BL68" s="516"/>
      <c r="BM68" s="516"/>
      <c r="BN68" s="516"/>
      <c r="BO68" s="516"/>
      <c r="BP68" s="516"/>
      <c r="BQ68" s="516"/>
      <c r="BR68" s="516"/>
      <c r="BS68" s="516"/>
      <c r="BT68" s="516"/>
      <c r="BU68" s="516"/>
      <c r="BV68" s="516"/>
      <c r="BW68" s="516"/>
      <c r="BX68" s="516"/>
      <c r="BY68" s="516"/>
      <c r="BZ68" s="516"/>
      <c r="CA68" s="516"/>
      <c r="CB68" s="516"/>
    </row>
    <row r="69" spans="1:80" x14ac:dyDescent="0.25">
      <c r="A69" s="860"/>
      <c r="B69" s="846">
        <v>149</v>
      </c>
      <c r="C69" s="860" t="s">
        <v>443</v>
      </c>
      <c r="D69" s="860" t="s">
        <v>444</v>
      </c>
      <c r="E69" s="516"/>
      <c r="F69" s="516"/>
      <c r="G69" s="516"/>
      <c r="H69" s="516"/>
      <c r="I69" s="516"/>
      <c r="J69" s="516"/>
      <c r="K69" s="516"/>
      <c r="L69" s="516"/>
      <c r="M69" s="516"/>
      <c r="N69" s="516"/>
      <c r="O69" s="516"/>
      <c r="P69" s="516"/>
      <c r="Q69" s="516"/>
      <c r="R69" s="516"/>
      <c r="S69" s="516"/>
      <c r="T69" s="516"/>
      <c r="U69" s="516"/>
      <c r="V69" s="516"/>
      <c r="W69" s="516"/>
      <c r="X69" s="516"/>
      <c r="Y69" s="516"/>
      <c r="Z69" s="516"/>
      <c r="AA69" s="516"/>
      <c r="AB69" s="516"/>
      <c r="AC69" s="516"/>
      <c r="AD69" s="516"/>
      <c r="AE69" s="516"/>
      <c r="AF69" s="516"/>
      <c r="AG69" s="516"/>
      <c r="AH69" s="516"/>
      <c r="AI69" s="516"/>
      <c r="AJ69" s="516"/>
      <c r="AK69" s="516"/>
      <c r="AL69" s="516"/>
      <c r="AM69" s="516"/>
      <c r="AN69" s="516"/>
      <c r="AO69" s="516"/>
      <c r="AP69" s="516"/>
      <c r="AQ69" s="516"/>
      <c r="AR69" s="516"/>
      <c r="AS69" s="516"/>
      <c r="AT69" s="516"/>
      <c r="AU69" s="516"/>
      <c r="AV69" s="516"/>
      <c r="AW69" s="516"/>
      <c r="AX69" s="516"/>
      <c r="AY69" s="516"/>
      <c r="AZ69" s="516"/>
      <c r="BA69" s="516"/>
      <c r="BB69" s="516"/>
      <c r="BC69" s="516"/>
      <c r="BD69" s="516"/>
      <c r="BE69" s="516"/>
      <c r="BF69" s="516"/>
      <c r="BG69" s="516"/>
      <c r="BH69" s="516"/>
      <c r="BI69" s="516"/>
      <c r="BJ69" s="516"/>
      <c r="BK69" s="516"/>
      <c r="BL69" s="516"/>
      <c r="BM69" s="516"/>
      <c r="BN69" s="516"/>
      <c r="BO69" s="516"/>
      <c r="BP69" s="516"/>
      <c r="BQ69" s="516"/>
      <c r="BR69" s="516"/>
      <c r="BS69" s="516"/>
      <c r="BT69" s="516"/>
      <c r="BU69" s="516"/>
      <c r="BV69" s="516"/>
      <c r="BW69" s="516"/>
      <c r="BX69" s="516"/>
      <c r="BY69" s="516"/>
      <c r="BZ69" s="516"/>
      <c r="CA69" s="516"/>
      <c r="CB69" s="516"/>
    </row>
    <row r="70" spans="1:80" x14ac:dyDescent="0.25">
      <c r="A70" s="860"/>
      <c r="B70" s="846">
        <v>150</v>
      </c>
      <c r="C70" s="860" t="s">
        <v>445</v>
      </c>
      <c r="D70" s="860" t="s">
        <v>446</v>
      </c>
      <c r="E70" s="516"/>
      <c r="F70" s="516"/>
      <c r="G70" s="516"/>
      <c r="H70" s="516"/>
      <c r="I70" s="516"/>
      <c r="J70" s="516"/>
      <c r="K70" s="516"/>
      <c r="L70" s="516"/>
      <c r="M70" s="516"/>
      <c r="N70" s="516"/>
      <c r="O70" s="516"/>
      <c r="P70" s="516"/>
      <c r="Q70" s="516"/>
      <c r="R70" s="516"/>
      <c r="S70" s="516"/>
      <c r="T70" s="516"/>
      <c r="U70" s="516"/>
      <c r="V70" s="516"/>
      <c r="W70" s="516"/>
      <c r="X70" s="516"/>
      <c r="Y70" s="516"/>
      <c r="Z70" s="516"/>
      <c r="AA70" s="516"/>
      <c r="AB70" s="516"/>
      <c r="AC70" s="516"/>
      <c r="AD70" s="516"/>
      <c r="AE70" s="516"/>
      <c r="AF70" s="516"/>
      <c r="AG70" s="516"/>
      <c r="AH70" s="516"/>
      <c r="AI70" s="516"/>
      <c r="AJ70" s="516"/>
      <c r="AK70" s="516"/>
      <c r="AL70" s="516"/>
      <c r="AM70" s="516"/>
      <c r="AN70" s="516"/>
      <c r="AO70" s="516"/>
      <c r="AP70" s="516"/>
      <c r="AQ70" s="516"/>
      <c r="AR70" s="516"/>
      <c r="AS70" s="516"/>
      <c r="AT70" s="516"/>
      <c r="AU70" s="516"/>
      <c r="AV70" s="516"/>
      <c r="AW70" s="516"/>
      <c r="AX70" s="516"/>
      <c r="AY70" s="516"/>
      <c r="AZ70" s="516"/>
      <c r="BA70" s="516"/>
      <c r="BB70" s="516"/>
      <c r="BC70" s="516"/>
      <c r="BD70" s="516"/>
      <c r="BE70" s="516"/>
      <c r="BF70" s="516"/>
      <c r="BG70" s="516"/>
      <c r="BH70" s="516"/>
      <c r="BI70" s="516"/>
      <c r="BJ70" s="516"/>
      <c r="BK70" s="516"/>
      <c r="BL70" s="516"/>
      <c r="BM70" s="516"/>
      <c r="BN70" s="516"/>
      <c r="BO70" s="516"/>
      <c r="BP70" s="516"/>
      <c r="BQ70" s="516"/>
      <c r="BR70" s="516"/>
      <c r="BS70" s="516"/>
      <c r="BT70" s="516"/>
      <c r="BU70" s="516"/>
      <c r="BV70" s="516"/>
      <c r="BW70" s="516"/>
      <c r="BX70" s="516"/>
      <c r="BY70" s="516"/>
      <c r="BZ70" s="516"/>
      <c r="CA70" s="516"/>
      <c r="CB70" s="516"/>
    </row>
    <row r="71" spans="1:80" x14ac:dyDescent="0.25">
      <c r="A71" s="860">
        <v>171</v>
      </c>
      <c r="B71" s="846">
        <v>171</v>
      </c>
      <c r="C71" s="860" t="s">
        <v>284</v>
      </c>
      <c r="D71" s="860" t="s">
        <v>447</v>
      </c>
      <c r="E71" s="516">
        <v>32935</v>
      </c>
      <c r="F71" s="516">
        <v>1752049</v>
      </c>
      <c r="G71" s="516">
        <v>0</v>
      </c>
      <c r="H71" s="516">
        <v>3988736</v>
      </c>
      <c r="I71" s="516">
        <v>196678</v>
      </c>
      <c r="J71" s="516">
        <v>0</v>
      </c>
      <c r="K71" s="516">
        <v>0</v>
      </c>
      <c r="L71" s="516">
        <v>95558</v>
      </c>
      <c r="M71" s="516">
        <v>8487626</v>
      </c>
      <c r="N71" s="516">
        <v>0</v>
      </c>
      <c r="O71" s="516">
        <v>11270</v>
      </c>
      <c r="P71" s="516">
        <v>43106</v>
      </c>
      <c r="Q71" s="516">
        <v>4257835</v>
      </c>
      <c r="R71" s="516">
        <v>2978562</v>
      </c>
      <c r="S71" s="516">
        <v>465512</v>
      </c>
      <c r="T71" s="516">
        <v>621069</v>
      </c>
      <c r="U71" s="516">
        <v>0</v>
      </c>
      <c r="V71" s="516">
        <v>962099</v>
      </c>
      <c r="W71" s="516">
        <v>0</v>
      </c>
      <c r="X71" s="516">
        <v>2132787</v>
      </c>
      <c r="Y71" s="516">
        <v>715473</v>
      </c>
      <c r="Z71" s="516">
        <v>816208</v>
      </c>
      <c r="AA71" s="516">
        <v>97898</v>
      </c>
      <c r="AB71" s="516">
        <v>282563</v>
      </c>
      <c r="AC71" s="516">
        <v>0</v>
      </c>
      <c r="AD71" s="516">
        <v>4894</v>
      </c>
      <c r="AE71" s="516">
        <v>70740</v>
      </c>
      <c r="AF71" s="516">
        <v>269530</v>
      </c>
      <c r="AG71" s="516">
        <v>5052</v>
      </c>
      <c r="AH71" s="516">
        <v>0</v>
      </c>
      <c r="AI71" s="516">
        <v>0</v>
      </c>
      <c r="AJ71" s="516">
        <v>0</v>
      </c>
      <c r="AK71" s="516">
        <v>604090</v>
      </c>
      <c r="AL71" s="516">
        <v>0</v>
      </c>
      <c r="AM71" s="516">
        <v>0</v>
      </c>
      <c r="AN71" s="516">
        <v>1621480</v>
      </c>
      <c r="AO71" s="516">
        <v>786777</v>
      </c>
      <c r="AP71" s="516">
        <v>0</v>
      </c>
      <c r="AQ71" s="516">
        <v>207214</v>
      </c>
      <c r="AR71" s="516">
        <v>1033172</v>
      </c>
      <c r="AS71" s="516">
        <v>47612</v>
      </c>
      <c r="AT71" s="516">
        <v>108163</v>
      </c>
      <c r="AU71" s="516">
        <v>2849398</v>
      </c>
      <c r="AV71" s="516">
        <v>394488</v>
      </c>
      <c r="AW71" s="516">
        <v>0</v>
      </c>
      <c r="AX71" s="516">
        <v>3514</v>
      </c>
      <c r="AY71" s="516">
        <v>198692</v>
      </c>
      <c r="AZ71" s="516">
        <v>78236</v>
      </c>
      <c r="BA71" s="516">
        <v>128017</v>
      </c>
      <c r="BB71" s="516">
        <v>0</v>
      </c>
      <c r="BC71" s="516">
        <v>0</v>
      </c>
      <c r="BD71" s="516">
        <v>0</v>
      </c>
      <c r="BE71" s="516">
        <v>0</v>
      </c>
      <c r="BF71" s="516">
        <v>0</v>
      </c>
      <c r="BG71" s="516">
        <v>0</v>
      </c>
      <c r="BH71" s="516">
        <v>0</v>
      </c>
      <c r="BI71" s="516">
        <v>38826</v>
      </c>
      <c r="BJ71" s="516">
        <v>194685</v>
      </c>
      <c r="BK71" s="516">
        <v>0</v>
      </c>
      <c r="BL71" s="516">
        <v>276905</v>
      </c>
      <c r="BM71" s="516">
        <v>0</v>
      </c>
      <c r="BN71" s="516">
        <v>0</v>
      </c>
      <c r="BO71" s="516">
        <v>220529</v>
      </c>
      <c r="BP71" s="516">
        <v>0</v>
      </c>
      <c r="BQ71" s="516">
        <v>12304</v>
      </c>
      <c r="BR71" s="516">
        <v>0</v>
      </c>
      <c r="BS71" s="516">
        <v>0</v>
      </c>
      <c r="BT71" s="516">
        <v>1377753</v>
      </c>
      <c r="BU71" s="516">
        <v>62330</v>
      </c>
      <c r="BV71" s="516">
        <v>87658</v>
      </c>
      <c r="BW71" s="516">
        <v>83200</v>
      </c>
      <c r="BX71" s="516">
        <v>0</v>
      </c>
      <c r="BY71" s="516">
        <v>0</v>
      </c>
      <c r="BZ71" s="516">
        <v>0</v>
      </c>
      <c r="CA71" s="516">
        <v>1633032</v>
      </c>
      <c r="CB71" s="516">
        <v>0</v>
      </c>
    </row>
    <row r="72" spans="1:80" x14ac:dyDescent="0.25">
      <c r="A72" s="860">
        <v>191</v>
      </c>
      <c r="B72" s="846">
        <v>191</v>
      </c>
      <c r="C72" s="860" t="s">
        <v>300</v>
      </c>
      <c r="D72" s="860" t="s">
        <v>448</v>
      </c>
      <c r="E72" s="516">
        <v>0</v>
      </c>
      <c r="F72" s="516">
        <v>0</v>
      </c>
      <c r="G72" s="516">
        <v>0</v>
      </c>
      <c r="H72" s="516">
        <v>0</v>
      </c>
      <c r="I72" s="516">
        <v>0</v>
      </c>
      <c r="J72" s="516">
        <v>0</v>
      </c>
      <c r="K72" s="516">
        <v>0</v>
      </c>
      <c r="L72" s="516">
        <v>0</v>
      </c>
      <c r="M72" s="516">
        <v>1152708</v>
      </c>
      <c r="N72" s="516">
        <v>0</v>
      </c>
      <c r="O72" s="516">
        <v>0</v>
      </c>
      <c r="P72" s="516">
        <v>93901</v>
      </c>
      <c r="Q72" s="516">
        <v>0</v>
      </c>
      <c r="R72" s="516">
        <v>586486</v>
      </c>
      <c r="S72" s="516">
        <v>0</v>
      </c>
      <c r="T72" s="516">
        <v>467234</v>
      </c>
      <c r="U72" s="516">
        <v>0</v>
      </c>
      <c r="V72" s="516">
        <v>0</v>
      </c>
      <c r="W72" s="516">
        <v>0</v>
      </c>
      <c r="X72" s="516">
        <v>0</v>
      </c>
      <c r="Y72" s="516">
        <v>0</v>
      </c>
      <c r="Z72" s="516">
        <v>0</v>
      </c>
      <c r="AA72" s="516">
        <v>0</v>
      </c>
      <c r="AB72" s="516">
        <v>0</v>
      </c>
      <c r="AC72" s="516">
        <v>0</v>
      </c>
      <c r="AD72" s="516">
        <v>0</v>
      </c>
      <c r="AE72" s="516">
        <v>6750</v>
      </c>
      <c r="AF72" s="516">
        <v>0</v>
      </c>
      <c r="AG72" s="516">
        <v>0</v>
      </c>
      <c r="AH72" s="516">
        <v>0</v>
      </c>
      <c r="AI72" s="516">
        <v>0</v>
      </c>
      <c r="AJ72" s="516">
        <v>28720</v>
      </c>
      <c r="AK72" s="516">
        <v>4186866</v>
      </c>
      <c r="AL72" s="516">
        <v>0</v>
      </c>
      <c r="AM72" s="516">
        <v>0</v>
      </c>
      <c r="AN72" s="516">
        <v>0</v>
      </c>
      <c r="AO72" s="516">
        <v>231370</v>
      </c>
      <c r="AP72" s="516">
        <v>0</v>
      </c>
      <c r="AQ72" s="516">
        <v>0</v>
      </c>
      <c r="AR72" s="516">
        <v>0</v>
      </c>
      <c r="AS72" s="516">
        <v>0</v>
      </c>
      <c r="AT72" s="516">
        <v>0</v>
      </c>
      <c r="AU72" s="516">
        <v>0</v>
      </c>
      <c r="AV72" s="516">
        <v>0</v>
      </c>
      <c r="AW72" s="516">
        <v>0</v>
      </c>
      <c r="AX72" s="516">
        <v>0</v>
      </c>
      <c r="AY72" s="516">
        <v>0</v>
      </c>
      <c r="AZ72" s="516">
        <v>1343439</v>
      </c>
      <c r="BA72" s="516">
        <v>92650</v>
      </c>
      <c r="BB72" s="516">
        <v>0</v>
      </c>
      <c r="BC72" s="516">
        <v>0</v>
      </c>
      <c r="BD72" s="516">
        <v>0</v>
      </c>
      <c r="BE72" s="516">
        <v>0</v>
      </c>
      <c r="BF72" s="516">
        <v>0</v>
      </c>
      <c r="BG72" s="516">
        <v>0</v>
      </c>
      <c r="BH72" s="516">
        <v>0</v>
      </c>
      <c r="BI72" s="516">
        <v>300000</v>
      </c>
      <c r="BJ72" s="516">
        <v>0</v>
      </c>
      <c r="BK72" s="516">
        <v>0</v>
      </c>
      <c r="BL72" s="516">
        <v>10351</v>
      </c>
      <c r="BM72" s="516">
        <v>0</v>
      </c>
      <c r="BN72" s="516">
        <v>0</v>
      </c>
      <c r="BO72" s="516">
        <v>156300</v>
      </c>
      <c r="BP72" s="516">
        <v>625027</v>
      </c>
      <c r="BQ72" s="516">
        <v>0</v>
      </c>
      <c r="BR72" s="516">
        <v>13814</v>
      </c>
      <c r="BS72" s="516">
        <v>0</v>
      </c>
      <c r="BT72" s="516">
        <v>0</v>
      </c>
      <c r="BU72" s="516">
        <v>457151</v>
      </c>
      <c r="BV72" s="516">
        <v>0</v>
      </c>
      <c r="BW72" s="516">
        <v>76983</v>
      </c>
      <c r="BX72" s="516">
        <v>1225970</v>
      </c>
      <c r="BY72" s="516">
        <v>0</v>
      </c>
      <c r="BZ72" s="516">
        <v>0</v>
      </c>
      <c r="CA72" s="516">
        <v>226820</v>
      </c>
      <c r="CB72" s="516">
        <v>0</v>
      </c>
    </row>
    <row r="73" spans="1:80" x14ac:dyDescent="0.25">
      <c r="A73" s="860">
        <v>192</v>
      </c>
      <c r="B73" s="846">
        <v>192</v>
      </c>
      <c r="C73" s="860" t="s">
        <v>311</v>
      </c>
      <c r="D73" s="860" t="s">
        <v>449</v>
      </c>
      <c r="E73" s="516">
        <v>0</v>
      </c>
      <c r="F73" s="516">
        <v>0</v>
      </c>
      <c r="G73" s="516">
        <v>0</v>
      </c>
      <c r="H73" s="516">
        <v>0</v>
      </c>
      <c r="I73" s="516">
        <v>0</v>
      </c>
      <c r="J73" s="516">
        <v>0</v>
      </c>
      <c r="K73" s="516">
        <v>0</v>
      </c>
      <c r="L73" s="516">
        <v>0</v>
      </c>
      <c r="M73" s="516">
        <v>0</v>
      </c>
      <c r="N73" s="516">
        <v>0</v>
      </c>
      <c r="O73" s="516">
        <v>0</v>
      </c>
      <c r="P73" s="516">
        <v>0</v>
      </c>
      <c r="Q73" s="516">
        <v>0</v>
      </c>
      <c r="R73" s="516">
        <v>0</v>
      </c>
      <c r="S73" s="516">
        <v>0</v>
      </c>
      <c r="T73" s="516">
        <v>0</v>
      </c>
      <c r="U73" s="516">
        <v>0</v>
      </c>
      <c r="V73" s="516">
        <v>0</v>
      </c>
      <c r="W73" s="516">
        <v>0</v>
      </c>
      <c r="X73" s="516">
        <v>0</v>
      </c>
      <c r="Y73" s="516">
        <v>0</v>
      </c>
      <c r="Z73" s="516">
        <v>0</v>
      </c>
      <c r="AA73" s="516">
        <v>0</v>
      </c>
      <c r="AB73" s="516">
        <v>0</v>
      </c>
      <c r="AC73" s="516">
        <v>0</v>
      </c>
      <c r="AD73" s="516">
        <v>0</v>
      </c>
      <c r="AE73" s="516">
        <v>0</v>
      </c>
      <c r="AF73" s="516">
        <v>0</v>
      </c>
      <c r="AG73" s="516">
        <v>0</v>
      </c>
      <c r="AH73" s="516">
        <v>0</v>
      </c>
      <c r="AI73" s="516">
        <v>0</v>
      </c>
      <c r="AJ73" s="516">
        <v>0</v>
      </c>
      <c r="AK73" s="516">
        <v>1725000</v>
      </c>
      <c r="AL73" s="516">
        <v>0</v>
      </c>
      <c r="AM73" s="516">
        <v>0</v>
      </c>
      <c r="AN73" s="516">
        <v>0</v>
      </c>
      <c r="AO73" s="516">
        <v>0</v>
      </c>
      <c r="AP73" s="516">
        <v>0</v>
      </c>
      <c r="AQ73" s="516">
        <v>0</v>
      </c>
      <c r="AR73" s="516">
        <v>0</v>
      </c>
      <c r="AS73" s="516">
        <v>0</v>
      </c>
      <c r="AT73" s="516">
        <v>0</v>
      </c>
      <c r="AU73" s="516">
        <v>0</v>
      </c>
      <c r="AV73" s="516">
        <v>0</v>
      </c>
      <c r="AW73" s="516">
        <v>0</v>
      </c>
      <c r="AX73" s="516">
        <v>0</v>
      </c>
      <c r="AY73" s="516">
        <v>0</v>
      </c>
      <c r="AZ73" s="516">
        <v>0</v>
      </c>
      <c r="BA73" s="516">
        <v>0</v>
      </c>
      <c r="BB73" s="516">
        <v>0</v>
      </c>
      <c r="BC73" s="516">
        <v>0</v>
      </c>
      <c r="BD73" s="516">
        <v>0</v>
      </c>
      <c r="BE73" s="516">
        <v>0</v>
      </c>
      <c r="BF73" s="516">
        <v>0</v>
      </c>
      <c r="BG73" s="516">
        <v>0</v>
      </c>
      <c r="BH73" s="516">
        <v>0</v>
      </c>
      <c r="BI73" s="516">
        <v>0</v>
      </c>
      <c r="BJ73" s="516">
        <v>0</v>
      </c>
      <c r="BK73" s="516">
        <v>0</v>
      </c>
      <c r="BL73" s="516">
        <v>0</v>
      </c>
      <c r="BM73" s="516">
        <v>0</v>
      </c>
      <c r="BN73" s="516">
        <v>0</v>
      </c>
      <c r="BO73" s="516">
        <v>0</v>
      </c>
      <c r="BP73" s="516">
        <v>0</v>
      </c>
      <c r="BQ73" s="516">
        <v>0</v>
      </c>
      <c r="BR73" s="516">
        <v>0</v>
      </c>
      <c r="BS73" s="516">
        <v>0</v>
      </c>
      <c r="BT73" s="516">
        <v>0</v>
      </c>
      <c r="BU73" s="516">
        <v>0</v>
      </c>
      <c r="BV73" s="516">
        <v>0</v>
      </c>
      <c r="BW73" s="516">
        <v>0</v>
      </c>
      <c r="BX73" s="516">
        <v>0</v>
      </c>
      <c r="BY73" s="516">
        <v>0</v>
      </c>
      <c r="BZ73" s="516">
        <v>0</v>
      </c>
      <c r="CA73" s="516">
        <v>0</v>
      </c>
      <c r="CB73" s="516">
        <v>0</v>
      </c>
    </row>
    <row r="74" spans="1:80" x14ac:dyDescent="0.25">
      <c r="A74" s="860"/>
      <c r="B74" s="846">
        <v>193</v>
      </c>
      <c r="C74" s="860" t="s">
        <v>450</v>
      </c>
      <c r="D74" s="860" t="s">
        <v>451</v>
      </c>
      <c r="E74" s="516"/>
      <c r="F74" s="516"/>
      <c r="G74" s="516"/>
      <c r="H74" s="516"/>
      <c r="I74" s="516"/>
      <c r="J74" s="516"/>
      <c r="K74" s="516"/>
      <c r="L74" s="516"/>
      <c r="M74" s="516"/>
      <c r="N74" s="516"/>
      <c r="O74" s="516"/>
      <c r="P74" s="516"/>
      <c r="Q74" s="516"/>
      <c r="R74" s="516"/>
      <c r="S74" s="516"/>
      <c r="T74" s="516"/>
      <c r="U74" s="516"/>
      <c r="V74" s="516"/>
      <c r="W74" s="516"/>
      <c r="X74" s="516"/>
      <c r="Y74" s="516"/>
      <c r="Z74" s="516"/>
      <c r="AA74" s="516"/>
      <c r="AB74" s="516"/>
      <c r="AC74" s="516"/>
      <c r="AD74" s="516"/>
      <c r="AE74" s="516"/>
      <c r="AF74" s="516"/>
      <c r="AG74" s="516"/>
      <c r="AH74" s="516"/>
      <c r="AI74" s="516"/>
      <c r="AJ74" s="516"/>
      <c r="AK74" s="516"/>
      <c r="AL74" s="516"/>
      <c r="AM74" s="516"/>
      <c r="AN74" s="516"/>
      <c r="AO74" s="516"/>
      <c r="AP74" s="516"/>
      <c r="AQ74" s="516"/>
      <c r="AR74" s="516"/>
      <c r="AS74" s="516"/>
      <c r="AT74" s="516"/>
      <c r="AU74" s="516"/>
      <c r="AV74" s="516"/>
      <c r="AW74" s="516"/>
      <c r="AX74" s="516"/>
      <c r="AY74" s="516"/>
      <c r="AZ74" s="516"/>
      <c r="BA74" s="516"/>
      <c r="BB74" s="516"/>
      <c r="BC74" s="516"/>
      <c r="BD74" s="516"/>
      <c r="BE74" s="516"/>
      <c r="BF74" s="516"/>
      <c r="BG74" s="516"/>
      <c r="BH74" s="516"/>
      <c r="BI74" s="516"/>
      <c r="BJ74" s="516"/>
      <c r="BK74" s="516"/>
      <c r="BL74" s="516"/>
      <c r="BM74" s="516"/>
      <c r="BN74" s="516"/>
      <c r="BO74" s="516"/>
      <c r="BP74" s="516"/>
      <c r="BQ74" s="516"/>
      <c r="BR74" s="516"/>
      <c r="BS74" s="516"/>
      <c r="BT74" s="516"/>
      <c r="BU74" s="516"/>
      <c r="BV74" s="516"/>
      <c r="BW74" s="516"/>
      <c r="BX74" s="516"/>
      <c r="BY74" s="516"/>
      <c r="BZ74" s="516"/>
      <c r="CA74" s="516"/>
      <c r="CB74" s="516"/>
    </row>
    <row r="75" spans="1:80" x14ac:dyDescent="0.25">
      <c r="A75" s="860"/>
      <c r="B75" s="846">
        <v>194</v>
      </c>
      <c r="C75" s="860" t="s">
        <v>452</v>
      </c>
      <c r="D75" s="860" t="s">
        <v>453</v>
      </c>
      <c r="E75" s="516"/>
      <c r="F75" s="516"/>
      <c r="G75" s="516"/>
      <c r="H75" s="516"/>
      <c r="I75" s="516"/>
      <c r="J75" s="516"/>
      <c r="K75" s="516"/>
      <c r="L75" s="516"/>
      <c r="M75" s="516"/>
      <c r="N75" s="516"/>
      <c r="O75" s="516"/>
      <c r="P75" s="516"/>
      <c r="Q75" s="516"/>
      <c r="R75" s="516"/>
      <c r="S75" s="516"/>
      <c r="T75" s="516"/>
      <c r="U75" s="516"/>
      <c r="V75" s="516"/>
      <c r="W75" s="516"/>
      <c r="X75" s="516"/>
      <c r="Y75" s="516"/>
      <c r="Z75" s="516"/>
      <c r="AA75" s="516"/>
      <c r="AB75" s="516"/>
      <c r="AC75" s="516"/>
      <c r="AD75" s="516"/>
      <c r="AE75" s="516"/>
      <c r="AF75" s="516"/>
      <c r="AG75" s="516"/>
      <c r="AH75" s="516"/>
      <c r="AI75" s="516"/>
      <c r="AJ75" s="516"/>
      <c r="AK75" s="516"/>
      <c r="AL75" s="516"/>
      <c r="AM75" s="516"/>
      <c r="AN75" s="516"/>
      <c r="AO75" s="516"/>
      <c r="AP75" s="516"/>
      <c r="AQ75" s="516"/>
      <c r="AR75" s="516"/>
      <c r="AS75" s="516"/>
      <c r="AT75" s="516"/>
      <c r="AU75" s="516"/>
      <c r="AV75" s="516"/>
      <c r="AW75" s="516"/>
      <c r="AX75" s="516"/>
      <c r="AY75" s="516"/>
      <c r="AZ75" s="516"/>
      <c r="BA75" s="516"/>
      <c r="BB75" s="516"/>
      <c r="BC75" s="516"/>
      <c r="BD75" s="516"/>
      <c r="BE75" s="516"/>
      <c r="BF75" s="516"/>
      <c r="BG75" s="516"/>
      <c r="BH75" s="516"/>
      <c r="BI75" s="516"/>
      <c r="BJ75" s="516"/>
      <c r="BK75" s="516"/>
      <c r="BL75" s="516"/>
      <c r="BM75" s="516"/>
      <c r="BN75" s="516"/>
      <c r="BO75" s="516"/>
      <c r="BP75" s="516"/>
      <c r="BQ75" s="516"/>
      <c r="BR75" s="516"/>
      <c r="BS75" s="516"/>
      <c r="BT75" s="516"/>
      <c r="BU75" s="516"/>
      <c r="BV75" s="516"/>
      <c r="BW75" s="516"/>
      <c r="BX75" s="516"/>
      <c r="BY75" s="516"/>
      <c r="BZ75" s="516"/>
      <c r="CA75" s="516"/>
      <c r="CB75" s="516"/>
    </row>
    <row r="76" spans="1:80" x14ac:dyDescent="0.25">
      <c r="A76" s="860"/>
      <c r="B76" s="846">
        <v>231</v>
      </c>
      <c r="C76" s="860" t="s">
        <v>454</v>
      </c>
      <c r="D76" s="860" t="s">
        <v>455</v>
      </c>
      <c r="E76" s="516"/>
      <c r="F76" s="516"/>
      <c r="G76" s="516"/>
      <c r="H76" s="516"/>
      <c r="I76" s="516"/>
      <c r="J76" s="516"/>
      <c r="K76" s="516"/>
      <c r="L76" s="516"/>
      <c r="M76" s="516"/>
      <c r="N76" s="516"/>
      <c r="O76" s="516"/>
      <c r="P76" s="516"/>
      <c r="Q76" s="516"/>
      <c r="R76" s="516"/>
      <c r="S76" s="516"/>
      <c r="T76" s="516"/>
      <c r="U76" s="516"/>
      <c r="V76" s="516"/>
      <c r="W76" s="516"/>
      <c r="X76" s="516"/>
      <c r="Y76" s="516"/>
      <c r="Z76" s="516"/>
      <c r="AA76" s="516"/>
      <c r="AB76" s="516"/>
      <c r="AC76" s="516"/>
      <c r="AD76" s="516"/>
      <c r="AE76" s="516"/>
      <c r="AF76" s="516"/>
      <c r="AG76" s="516"/>
      <c r="AH76" s="516"/>
      <c r="AI76" s="516"/>
      <c r="AJ76" s="516"/>
      <c r="AK76" s="516"/>
      <c r="AL76" s="516"/>
      <c r="AM76" s="516"/>
      <c r="AN76" s="516"/>
      <c r="AO76" s="516"/>
      <c r="AP76" s="516"/>
      <c r="AQ76" s="516"/>
      <c r="AR76" s="516"/>
      <c r="AS76" s="516"/>
      <c r="AT76" s="516"/>
      <c r="AU76" s="516"/>
      <c r="AV76" s="516"/>
      <c r="AW76" s="516"/>
      <c r="AX76" s="516"/>
      <c r="AY76" s="516"/>
      <c r="AZ76" s="516"/>
      <c r="BA76" s="516"/>
      <c r="BB76" s="516"/>
      <c r="BC76" s="516"/>
      <c r="BD76" s="516"/>
      <c r="BE76" s="516"/>
      <c r="BF76" s="516"/>
      <c r="BG76" s="516"/>
      <c r="BH76" s="516"/>
      <c r="BI76" s="516"/>
      <c r="BJ76" s="516"/>
      <c r="BK76" s="516"/>
      <c r="BL76" s="516"/>
      <c r="BM76" s="516"/>
      <c r="BN76" s="516"/>
      <c r="BO76" s="516"/>
      <c r="BP76" s="516"/>
      <c r="BQ76" s="516"/>
      <c r="BR76" s="516"/>
      <c r="BS76" s="516"/>
      <c r="BT76" s="516"/>
      <c r="BU76" s="516"/>
      <c r="BV76" s="516"/>
      <c r="BW76" s="516"/>
      <c r="BX76" s="516"/>
      <c r="BY76" s="516"/>
      <c r="BZ76" s="516"/>
      <c r="CA76" s="516"/>
      <c r="CB76" s="516"/>
    </row>
    <row r="77" spans="1:80" x14ac:dyDescent="0.25">
      <c r="A77" s="860"/>
      <c r="B77" s="846">
        <v>251</v>
      </c>
      <c r="C77" s="860" t="s">
        <v>456</v>
      </c>
      <c r="D77" s="860" t="s">
        <v>457</v>
      </c>
      <c r="E77" s="516"/>
      <c r="F77" s="516"/>
      <c r="G77" s="516"/>
      <c r="H77" s="516"/>
      <c r="I77" s="516"/>
      <c r="J77" s="516"/>
      <c r="K77" s="516"/>
      <c r="L77" s="516"/>
      <c r="M77" s="516"/>
      <c r="N77" s="516"/>
      <c r="O77" s="516"/>
      <c r="P77" s="516"/>
      <c r="Q77" s="516"/>
      <c r="R77" s="516"/>
      <c r="S77" s="516"/>
      <c r="T77" s="516"/>
      <c r="U77" s="516"/>
      <c r="V77" s="516"/>
      <c r="W77" s="516"/>
      <c r="X77" s="516"/>
      <c r="Y77" s="516"/>
      <c r="Z77" s="516"/>
      <c r="AA77" s="516"/>
      <c r="AB77" s="516"/>
      <c r="AC77" s="516"/>
      <c r="AD77" s="516"/>
      <c r="AE77" s="516"/>
      <c r="AF77" s="516"/>
      <c r="AG77" s="516"/>
      <c r="AH77" s="516"/>
      <c r="AI77" s="516"/>
      <c r="AJ77" s="516"/>
      <c r="AK77" s="516"/>
      <c r="AL77" s="516"/>
      <c r="AM77" s="516"/>
      <c r="AN77" s="516"/>
      <c r="AO77" s="516"/>
      <c r="AP77" s="516"/>
      <c r="AQ77" s="516"/>
      <c r="AR77" s="516"/>
      <c r="AS77" s="516"/>
      <c r="AT77" s="516"/>
      <c r="AU77" s="516"/>
      <c r="AV77" s="516"/>
      <c r="AW77" s="516"/>
      <c r="AX77" s="516"/>
      <c r="AY77" s="516"/>
      <c r="AZ77" s="516"/>
      <c r="BA77" s="516"/>
      <c r="BB77" s="516"/>
      <c r="BC77" s="516"/>
      <c r="BD77" s="516"/>
      <c r="BE77" s="516"/>
      <c r="BF77" s="516"/>
      <c r="BG77" s="516"/>
      <c r="BH77" s="516"/>
      <c r="BI77" s="516"/>
      <c r="BJ77" s="516"/>
      <c r="BK77" s="516"/>
      <c r="BL77" s="516"/>
      <c r="BM77" s="516"/>
      <c r="BN77" s="516"/>
      <c r="BO77" s="516"/>
      <c r="BP77" s="516"/>
      <c r="BQ77" s="516"/>
      <c r="BR77" s="516"/>
      <c r="BS77" s="516"/>
      <c r="BT77" s="516"/>
      <c r="BU77" s="516"/>
      <c r="BV77" s="516"/>
      <c r="BW77" s="516"/>
      <c r="BX77" s="516"/>
      <c r="BY77" s="516"/>
      <c r="BZ77" s="516"/>
      <c r="CA77" s="516"/>
      <c r="CB77" s="516"/>
    </row>
    <row r="78" spans="1:80" x14ac:dyDescent="0.25">
      <c r="A78" s="860">
        <v>252</v>
      </c>
      <c r="B78" s="846">
        <v>252</v>
      </c>
      <c r="C78" s="860" t="s">
        <v>110</v>
      </c>
      <c r="D78" s="860" t="s">
        <v>458</v>
      </c>
      <c r="E78" s="516">
        <v>1813672</v>
      </c>
      <c r="F78" s="516">
        <v>38307083</v>
      </c>
      <c r="G78" s="516">
        <v>0</v>
      </c>
      <c r="H78" s="516">
        <v>73151872</v>
      </c>
      <c r="I78" s="516">
        <v>6296313</v>
      </c>
      <c r="J78" s="516">
        <v>50656</v>
      </c>
      <c r="K78" s="516">
        <v>559201</v>
      </c>
      <c r="L78" s="516">
        <v>1982992</v>
      </c>
      <c r="M78" s="516">
        <v>117861535</v>
      </c>
      <c r="N78" s="516">
        <v>76687</v>
      </c>
      <c r="O78" s="516">
        <v>1257858</v>
      </c>
      <c r="P78" s="516">
        <v>1461810</v>
      </c>
      <c r="Q78" s="516">
        <v>132300481</v>
      </c>
      <c r="R78" s="516">
        <v>24623812</v>
      </c>
      <c r="S78" s="516">
        <v>9139595</v>
      </c>
      <c r="T78" s="516">
        <v>7919936</v>
      </c>
      <c r="U78" s="516">
        <v>0</v>
      </c>
      <c r="V78" s="516">
        <v>14693708</v>
      </c>
      <c r="W78" s="516">
        <v>0</v>
      </c>
      <c r="X78" s="516">
        <v>15060663</v>
      </c>
      <c r="Y78" s="516">
        <v>84694947</v>
      </c>
      <c r="Z78" s="516">
        <v>6805308</v>
      </c>
      <c r="AA78" s="516">
        <v>2084635</v>
      </c>
      <c r="AB78" s="516">
        <v>6630863</v>
      </c>
      <c r="AC78" s="516">
        <v>315720</v>
      </c>
      <c r="AD78" s="516">
        <v>285892</v>
      </c>
      <c r="AE78" s="516">
        <v>2046666</v>
      </c>
      <c r="AF78" s="516">
        <v>2239815</v>
      </c>
      <c r="AG78" s="516">
        <v>1189535</v>
      </c>
      <c r="AH78" s="516">
        <v>81229</v>
      </c>
      <c r="AI78" s="516">
        <v>1113893</v>
      </c>
      <c r="AJ78" s="516">
        <v>1655211</v>
      </c>
      <c r="AK78" s="516">
        <v>6652346</v>
      </c>
      <c r="AL78" s="516">
        <v>607944</v>
      </c>
      <c r="AM78" s="516">
        <v>22102</v>
      </c>
      <c r="AN78" s="516">
        <v>53034658</v>
      </c>
      <c r="AO78" s="516">
        <v>22395076</v>
      </c>
      <c r="AP78" s="516">
        <v>210332</v>
      </c>
      <c r="AQ78" s="516">
        <v>7750583</v>
      </c>
      <c r="AR78" s="516">
        <v>36749294</v>
      </c>
      <c r="AS78" s="516">
        <v>1086814</v>
      </c>
      <c r="AT78" s="516">
        <v>1146876</v>
      </c>
      <c r="AU78" s="516">
        <v>3698517</v>
      </c>
      <c r="AV78" s="516">
        <v>18180889</v>
      </c>
      <c r="AW78" s="516">
        <v>850940</v>
      </c>
      <c r="AX78" s="516">
        <v>949203</v>
      </c>
      <c r="AY78" s="516">
        <v>8456451</v>
      </c>
      <c r="AZ78" s="516">
        <v>2067312</v>
      </c>
      <c r="BA78" s="516">
        <v>5531343</v>
      </c>
      <c r="BB78" s="516">
        <v>22410</v>
      </c>
      <c r="BC78" s="516">
        <v>0</v>
      </c>
      <c r="BD78" s="516">
        <v>0</v>
      </c>
      <c r="BE78" s="516">
        <v>20063</v>
      </c>
      <c r="BF78" s="516">
        <v>0</v>
      </c>
      <c r="BG78" s="516">
        <v>248213</v>
      </c>
      <c r="BH78" s="516">
        <v>57653</v>
      </c>
      <c r="BI78" s="516">
        <v>1885833</v>
      </c>
      <c r="BJ78" s="516">
        <v>7535259</v>
      </c>
      <c r="BK78" s="516">
        <v>0</v>
      </c>
      <c r="BL78" s="516">
        <v>8804972</v>
      </c>
      <c r="BM78" s="516">
        <v>7503413</v>
      </c>
      <c r="BN78" s="516">
        <v>51476</v>
      </c>
      <c r="BO78" s="516">
        <v>9328813</v>
      </c>
      <c r="BP78" s="516">
        <v>4267498</v>
      </c>
      <c r="BQ78" s="516">
        <v>605675</v>
      </c>
      <c r="BR78" s="516">
        <v>1472576</v>
      </c>
      <c r="BS78" s="516">
        <v>3863247</v>
      </c>
      <c r="BT78" s="516">
        <v>250632772</v>
      </c>
      <c r="BU78" s="516">
        <v>1777133</v>
      </c>
      <c r="BV78" s="516">
        <v>2457562</v>
      </c>
      <c r="BW78" s="516">
        <v>794480</v>
      </c>
      <c r="BX78" s="516">
        <v>3050486</v>
      </c>
      <c r="BY78" s="516">
        <v>8658</v>
      </c>
      <c r="BZ78" s="516">
        <v>6681</v>
      </c>
      <c r="CA78" s="516">
        <v>44539110</v>
      </c>
      <c r="CB78" s="516">
        <v>118401</v>
      </c>
    </row>
    <row r="79" spans="1:80" x14ac:dyDescent="0.25">
      <c r="A79" s="860">
        <v>253</v>
      </c>
      <c r="B79" s="846">
        <v>253</v>
      </c>
      <c r="C79" s="860" t="s">
        <v>111</v>
      </c>
      <c r="D79" s="860" t="s">
        <v>459</v>
      </c>
      <c r="E79" s="516">
        <v>257816</v>
      </c>
      <c r="F79" s="516">
        <v>6132641</v>
      </c>
      <c r="G79" s="516">
        <v>0</v>
      </c>
      <c r="H79" s="516">
        <v>9533420</v>
      </c>
      <c r="I79" s="516">
        <v>883391</v>
      </c>
      <c r="J79" s="516">
        <v>165690</v>
      </c>
      <c r="K79" s="516">
        <v>202780</v>
      </c>
      <c r="L79" s="516">
        <v>656458</v>
      </c>
      <c r="M79" s="516">
        <v>15207639</v>
      </c>
      <c r="N79" s="516">
        <v>42547</v>
      </c>
      <c r="O79" s="516">
        <v>242272</v>
      </c>
      <c r="P79" s="516">
        <v>268665</v>
      </c>
      <c r="Q79" s="516">
        <v>3562507</v>
      </c>
      <c r="R79" s="516">
        <v>5221050</v>
      </c>
      <c r="S79" s="516">
        <v>451803</v>
      </c>
      <c r="T79" s="516">
        <v>1817801</v>
      </c>
      <c r="U79" s="516">
        <v>0</v>
      </c>
      <c r="V79" s="516">
        <v>10437314</v>
      </c>
      <c r="W79" s="516">
        <v>105252</v>
      </c>
      <c r="X79" s="516">
        <v>3994237</v>
      </c>
      <c r="Y79" s="516">
        <v>2813131</v>
      </c>
      <c r="Z79" s="516">
        <v>827977</v>
      </c>
      <c r="AA79" s="516">
        <v>689329</v>
      </c>
      <c r="AB79" s="516">
        <v>1205208</v>
      </c>
      <c r="AC79" s="516">
        <v>271542</v>
      </c>
      <c r="AD79" s="516">
        <v>72557</v>
      </c>
      <c r="AE79" s="516">
        <v>426551</v>
      </c>
      <c r="AF79" s="516">
        <v>1411154</v>
      </c>
      <c r="AG79" s="516">
        <v>24681</v>
      </c>
      <c r="AH79" s="516">
        <v>24172</v>
      </c>
      <c r="AI79" s="516">
        <v>164502</v>
      </c>
      <c r="AJ79" s="516">
        <v>231208</v>
      </c>
      <c r="AK79" s="516">
        <v>973612</v>
      </c>
      <c r="AL79" s="516">
        <v>40252</v>
      </c>
      <c r="AM79" s="516">
        <v>3206</v>
      </c>
      <c r="AN79" s="516">
        <v>4771345</v>
      </c>
      <c r="AO79" s="516">
        <v>1815848</v>
      </c>
      <c r="AP79" s="516">
        <v>96498</v>
      </c>
      <c r="AQ79" s="516">
        <v>909549</v>
      </c>
      <c r="AR79" s="516">
        <v>5439650</v>
      </c>
      <c r="AS79" s="516">
        <v>1019421</v>
      </c>
      <c r="AT79" s="516">
        <v>67507</v>
      </c>
      <c r="AU79" s="516">
        <v>794161</v>
      </c>
      <c r="AV79" s="516">
        <v>1446522</v>
      </c>
      <c r="AW79" s="516">
        <v>4591</v>
      </c>
      <c r="AX79" s="516">
        <v>109687</v>
      </c>
      <c r="AY79" s="516">
        <v>274497</v>
      </c>
      <c r="AZ79" s="516">
        <v>1051718</v>
      </c>
      <c r="BA79" s="516">
        <v>1291352</v>
      </c>
      <c r="BB79" s="516">
        <v>34925</v>
      </c>
      <c r="BC79" s="516">
        <v>0</v>
      </c>
      <c r="BD79" s="516">
        <v>0</v>
      </c>
      <c r="BE79" s="516">
        <v>20349</v>
      </c>
      <c r="BF79" s="516">
        <v>0</v>
      </c>
      <c r="BG79" s="516">
        <v>94408</v>
      </c>
      <c r="BH79" s="516">
        <v>24480</v>
      </c>
      <c r="BI79" s="516">
        <v>442879</v>
      </c>
      <c r="BJ79" s="516">
        <v>264677</v>
      </c>
      <c r="BK79" s="516">
        <v>0</v>
      </c>
      <c r="BL79" s="516">
        <v>835211</v>
      </c>
      <c r="BM79" s="516">
        <v>509132</v>
      </c>
      <c r="BN79" s="516">
        <v>5800</v>
      </c>
      <c r="BO79" s="516">
        <v>1620357</v>
      </c>
      <c r="BP79" s="516">
        <v>262354</v>
      </c>
      <c r="BQ79" s="516">
        <v>209203</v>
      </c>
      <c r="BR79" s="516">
        <v>342368</v>
      </c>
      <c r="BS79" s="516">
        <v>49327</v>
      </c>
      <c r="BT79" s="516">
        <v>7862034</v>
      </c>
      <c r="BU79" s="516">
        <v>639368</v>
      </c>
      <c r="BV79" s="516">
        <v>424252</v>
      </c>
      <c r="BW79" s="516">
        <v>225049</v>
      </c>
      <c r="BX79" s="516">
        <v>624478</v>
      </c>
      <c r="BY79" s="516">
        <v>20852</v>
      </c>
      <c r="BZ79" s="516">
        <v>19992</v>
      </c>
      <c r="CA79" s="516">
        <v>2844468</v>
      </c>
      <c r="CB79" s="516">
        <v>39080</v>
      </c>
    </row>
    <row r="80" spans="1:80" x14ac:dyDescent="0.25">
      <c r="A80" s="860">
        <v>254</v>
      </c>
      <c r="B80" s="846">
        <v>254</v>
      </c>
      <c r="C80" s="860" t="s">
        <v>112</v>
      </c>
      <c r="D80" s="860" t="s">
        <v>460</v>
      </c>
      <c r="E80" s="516">
        <v>428771</v>
      </c>
      <c r="F80" s="516">
        <v>18173880</v>
      </c>
      <c r="G80" s="516">
        <v>0</v>
      </c>
      <c r="H80" s="516">
        <v>25719592</v>
      </c>
      <c r="I80" s="516">
        <v>3520041</v>
      </c>
      <c r="J80" s="516">
        <v>124626</v>
      </c>
      <c r="K80" s="516">
        <v>2575321</v>
      </c>
      <c r="L80" s="516">
        <v>242539</v>
      </c>
      <c r="M80" s="516">
        <v>-41417346</v>
      </c>
      <c r="N80" s="516">
        <v>194263</v>
      </c>
      <c r="O80" s="516">
        <v>-308617</v>
      </c>
      <c r="P80" s="516">
        <v>283244</v>
      </c>
      <c r="Q80" s="516">
        <v>-5847148</v>
      </c>
      <c r="R80" s="516">
        <v>4895344</v>
      </c>
      <c r="S80" s="516">
        <v>1558367</v>
      </c>
      <c r="T80" s="516">
        <v>30291</v>
      </c>
      <c r="U80" s="516">
        <v>0</v>
      </c>
      <c r="V80" s="516">
        <v>-2558681</v>
      </c>
      <c r="W80" s="516">
        <v>168524</v>
      </c>
      <c r="X80" s="516">
        <v>5051901</v>
      </c>
      <c r="Y80" s="516">
        <v>-895417</v>
      </c>
      <c r="Z80" s="516">
        <v>1537329</v>
      </c>
      <c r="AA80" s="516">
        <v>1506733</v>
      </c>
      <c r="AB80" s="516">
        <v>-1724116</v>
      </c>
      <c r="AC80" s="516">
        <v>994606</v>
      </c>
      <c r="AD80" s="516">
        <v>188541</v>
      </c>
      <c r="AE80" s="516">
        <v>880278</v>
      </c>
      <c r="AF80" s="516">
        <v>461758</v>
      </c>
      <c r="AG80" s="516">
        <v>132689</v>
      </c>
      <c r="AH80" s="516">
        <v>63669</v>
      </c>
      <c r="AI80" s="516">
        <v>142067</v>
      </c>
      <c r="AJ80" s="516">
        <v>1374103</v>
      </c>
      <c r="AK80" s="516">
        <v>494013</v>
      </c>
      <c r="AL80" s="516">
        <v>223027</v>
      </c>
      <c r="AM80" s="516">
        <v>111470</v>
      </c>
      <c r="AN80" s="516">
        <v>7773066</v>
      </c>
      <c r="AO80" s="516">
        <v>5425858</v>
      </c>
      <c r="AP80" s="516">
        <v>515911</v>
      </c>
      <c r="AQ80" s="516">
        <v>9587374</v>
      </c>
      <c r="AR80" s="516">
        <v>1101426</v>
      </c>
      <c r="AS80" s="516">
        <v>1991307</v>
      </c>
      <c r="AT80" s="516">
        <v>114877</v>
      </c>
      <c r="AU80" s="516">
        <v>687162</v>
      </c>
      <c r="AV80" s="516">
        <v>-6908253</v>
      </c>
      <c r="AW80" s="516">
        <v>109548</v>
      </c>
      <c r="AX80" s="516">
        <v>267322</v>
      </c>
      <c r="AY80" s="516">
        <v>2268082</v>
      </c>
      <c r="AZ80" s="516">
        <v>1052819</v>
      </c>
      <c r="BA80" s="516">
        <v>-236031</v>
      </c>
      <c r="BB80" s="516">
        <v>68532</v>
      </c>
      <c r="BC80" s="516">
        <v>0</v>
      </c>
      <c r="BD80" s="516">
        <v>0</v>
      </c>
      <c r="BE80" s="516">
        <v>364282</v>
      </c>
      <c r="BF80" s="516">
        <v>0</v>
      </c>
      <c r="BG80" s="516">
        <v>448740</v>
      </c>
      <c r="BH80" s="516">
        <v>135640</v>
      </c>
      <c r="BI80" s="516">
        <v>-487225</v>
      </c>
      <c r="BJ80" s="516">
        <v>2268370</v>
      </c>
      <c r="BK80" s="516">
        <v>0</v>
      </c>
      <c r="BL80" s="516">
        <v>1782559</v>
      </c>
      <c r="BM80" s="516">
        <v>3536176</v>
      </c>
      <c r="BN80" s="516">
        <v>125766</v>
      </c>
      <c r="BO80" s="516">
        <v>1333528</v>
      </c>
      <c r="BP80" s="516">
        <v>2754186</v>
      </c>
      <c r="BQ80" s="516">
        <v>1408970</v>
      </c>
      <c r="BR80" s="516">
        <v>862122</v>
      </c>
      <c r="BS80" s="516">
        <v>2591594</v>
      </c>
      <c r="BT80" s="516">
        <v>3440253</v>
      </c>
      <c r="BU80" s="516">
        <v>1947392</v>
      </c>
      <c r="BV80" s="516">
        <v>-2097878</v>
      </c>
      <c r="BW80" s="516">
        <v>1032311</v>
      </c>
      <c r="BX80" s="516">
        <v>644261</v>
      </c>
      <c r="BY80" s="516">
        <v>157078</v>
      </c>
      <c r="BZ80" s="516">
        <v>190045</v>
      </c>
      <c r="CA80" s="516">
        <v>6328882</v>
      </c>
      <c r="CB80" s="516">
        <v>143832</v>
      </c>
    </row>
    <row r="81" spans="1:80" x14ac:dyDescent="0.25">
      <c r="A81" s="860">
        <v>255</v>
      </c>
      <c r="B81" s="846">
        <v>255</v>
      </c>
      <c r="C81" s="860" t="s">
        <v>264</v>
      </c>
      <c r="D81" s="860" t="s">
        <v>461</v>
      </c>
      <c r="E81" s="516">
        <v>-1229377</v>
      </c>
      <c r="F81" s="516">
        <v>2952630</v>
      </c>
      <c r="G81" s="516">
        <v>0</v>
      </c>
      <c r="H81" s="516">
        <v>3007130</v>
      </c>
      <c r="I81" s="516">
        <v>674106</v>
      </c>
      <c r="J81" s="516">
        <v>11274</v>
      </c>
      <c r="K81" s="516">
        <v>51825</v>
      </c>
      <c r="L81" s="516">
        <v>603526</v>
      </c>
      <c r="M81" s="516">
        <v>4940947</v>
      </c>
      <c r="N81" s="516">
        <v>11397</v>
      </c>
      <c r="O81" s="516">
        <v>30716</v>
      </c>
      <c r="P81" s="516">
        <v>34276</v>
      </c>
      <c r="Q81" s="516">
        <v>-63129</v>
      </c>
      <c r="R81" s="516">
        <v>1855758</v>
      </c>
      <c r="S81" s="516">
        <v>-324509</v>
      </c>
      <c r="T81" s="516">
        <v>3119131</v>
      </c>
      <c r="U81" s="516">
        <v>0</v>
      </c>
      <c r="V81" s="516">
        <v>4858279</v>
      </c>
      <c r="W81" s="516">
        <v>4132</v>
      </c>
      <c r="X81" s="516">
        <v>-408090</v>
      </c>
      <c r="Y81" s="516">
        <v>8027746</v>
      </c>
      <c r="Z81" s="516">
        <v>896224</v>
      </c>
      <c r="AA81" s="516">
        <v>499112</v>
      </c>
      <c r="AB81" s="516">
        <v>930227</v>
      </c>
      <c r="AC81" s="516">
        <v>-60540</v>
      </c>
      <c r="AD81" s="516">
        <v>47922</v>
      </c>
      <c r="AE81" s="516">
        <v>609409</v>
      </c>
      <c r="AF81" s="516">
        <v>337120</v>
      </c>
      <c r="AG81" s="516">
        <v>40449</v>
      </c>
      <c r="AH81" s="516">
        <v>10198</v>
      </c>
      <c r="AI81" s="516">
        <v>-37715</v>
      </c>
      <c r="AJ81" s="516">
        <v>109271</v>
      </c>
      <c r="AK81" s="516">
        <v>1120</v>
      </c>
      <c r="AL81" s="516">
        <v>94057</v>
      </c>
      <c r="AM81" s="516">
        <v>3259</v>
      </c>
      <c r="AN81" s="516">
        <v>-2574224</v>
      </c>
      <c r="AO81" s="516">
        <v>761864</v>
      </c>
      <c r="AP81" s="516">
        <v>156400</v>
      </c>
      <c r="AQ81" s="516">
        <v>1488102</v>
      </c>
      <c r="AR81" s="516">
        <v>3079314</v>
      </c>
      <c r="AS81" s="516">
        <v>156003</v>
      </c>
      <c r="AT81" s="516">
        <v>101540</v>
      </c>
      <c r="AU81" s="516">
        <v>207853</v>
      </c>
      <c r="AV81" s="516">
        <v>292076</v>
      </c>
      <c r="AW81" s="516">
        <v>178779</v>
      </c>
      <c r="AX81" s="516">
        <v>-23462</v>
      </c>
      <c r="AY81" s="516">
        <v>64890</v>
      </c>
      <c r="AZ81" s="516">
        <v>164729</v>
      </c>
      <c r="BA81" s="516">
        <v>235095</v>
      </c>
      <c r="BB81" s="516">
        <v>-25400</v>
      </c>
      <c r="BC81" s="516">
        <v>0</v>
      </c>
      <c r="BD81" s="516">
        <v>0</v>
      </c>
      <c r="BE81" s="516">
        <v>11400</v>
      </c>
      <c r="BF81" s="516">
        <v>0</v>
      </c>
      <c r="BG81" s="516">
        <v>328571</v>
      </c>
      <c r="BH81" s="516">
        <v>14936</v>
      </c>
      <c r="BI81" s="516">
        <v>-98548</v>
      </c>
      <c r="BJ81" s="516">
        <v>348490</v>
      </c>
      <c r="BK81" s="516">
        <v>0</v>
      </c>
      <c r="BL81" s="516">
        <v>12421</v>
      </c>
      <c r="BM81" s="516">
        <v>225395</v>
      </c>
      <c r="BN81" s="516">
        <v>13022</v>
      </c>
      <c r="BO81" s="516">
        <v>1210312</v>
      </c>
      <c r="BP81" s="516">
        <v>943300</v>
      </c>
      <c r="BQ81" s="516">
        <v>34188</v>
      </c>
      <c r="BR81" s="516">
        <v>62535</v>
      </c>
      <c r="BS81" s="516">
        <v>-39121</v>
      </c>
      <c r="BT81" s="516">
        <v>506025</v>
      </c>
      <c r="BU81" s="516">
        <v>540996</v>
      </c>
      <c r="BV81" s="516">
        <v>141745</v>
      </c>
      <c r="BW81" s="516">
        <v>920072</v>
      </c>
      <c r="BX81" s="516">
        <v>1831045</v>
      </c>
      <c r="BY81" s="516">
        <v>11028</v>
      </c>
      <c r="BZ81" s="516">
        <v>2794</v>
      </c>
      <c r="CA81" s="516">
        <v>4196463</v>
      </c>
      <c r="CB81" s="516">
        <v>59937</v>
      </c>
    </row>
    <row r="82" spans="1:80" x14ac:dyDescent="0.25">
      <c r="A82" s="860"/>
      <c r="B82" s="846">
        <v>274</v>
      </c>
      <c r="C82" s="860" t="s">
        <v>462</v>
      </c>
      <c r="D82" s="860" t="s">
        <v>463</v>
      </c>
      <c r="E82" s="516"/>
      <c r="F82" s="516"/>
      <c r="G82" s="516"/>
      <c r="H82" s="516"/>
      <c r="I82" s="516"/>
      <c r="J82" s="516"/>
      <c r="K82" s="516"/>
      <c r="L82" s="516"/>
      <c r="M82" s="516"/>
      <c r="N82" s="516"/>
      <c r="O82" s="516"/>
      <c r="P82" s="516"/>
      <c r="Q82" s="516"/>
      <c r="R82" s="516"/>
      <c r="S82" s="516"/>
      <c r="T82" s="516"/>
      <c r="U82" s="516"/>
      <c r="V82" s="516"/>
      <c r="W82" s="516"/>
      <c r="X82" s="516"/>
      <c r="Y82" s="516"/>
      <c r="Z82" s="516"/>
      <c r="AA82" s="516"/>
      <c r="AB82" s="516"/>
      <c r="AC82" s="516"/>
      <c r="AD82" s="516"/>
      <c r="AE82" s="516"/>
      <c r="AF82" s="516"/>
      <c r="AG82" s="516"/>
      <c r="AH82" s="516"/>
      <c r="AI82" s="516"/>
      <c r="AJ82" s="516"/>
      <c r="AK82" s="516"/>
      <c r="AL82" s="516"/>
      <c r="AM82" s="516"/>
      <c r="AN82" s="516"/>
      <c r="AO82" s="516"/>
      <c r="AP82" s="516"/>
      <c r="AQ82" s="516"/>
      <c r="AR82" s="516"/>
      <c r="AS82" s="516"/>
      <c r="AT82" s="516"/>
      <c r="AU82" s="516"/>
      <c r="AV82" s="516"/>
      <c r="AW82" s="516"/>
      <c r="AX82" s="516"/>
      <c r="AY82" s="516"/>
      <c r="AZ82" s="516"/>
      <c r="BA82" s="516"/>
      <c r="BB82" s="516"/>
      <c r="BC82" s="516"/>
      <c r="BD82" s="516"/>
      <c r="BE82" s="516"/>
      <c r="BF82" s="516"/>
      <c r="BG82" s="516"/>
      <c r="BH82" s="516"/>
      <c r="BI82" s="516"/>
      <c r="BJ82" s="516"/>
      <c r="BK82" s="516"/>
      <c r="BL82" s="516"/>
      <c r="BM82" s="516"/>
      <c r="BN82" s="516"/>
      <c r="BO82" s="516"/>
      <c r="BP82" s="516"/>
      <c r="BQ82" s="516"/>
      <c r="BR82" s="516"/>
      <c r="BS82" s="516"/>
      <c r="BT82" s="516"/>
      <c r="BU82" s="516"/>
      <c r="BV82" s="516"/>
      <c r="BW82" s="516"/>
      <c r="BX82" s="516"/>
      <c r="BY82" s="516"/>
      <c r="BZ82" s="516"/>
      <c r="CA82" s="516"/>
      <c r="CB82" s="516"/>
    </row>
    <row r="83" spans="1:80" x14ac:dyDescent="0.25">
      <c r="A83" s="860"/>
      <c r="B83" s="846">
        <v>294</v>
      </c>
      <c r="C83" s="860" t="s">
        <v>1180</v>
      </c>
      <c r="D83" s="860" t="s">
        <v>464</v>
      </c>
      <c r="E83" s="516"/>
      <c r="F83" s="516"/>
      <c r="G83" s="516"/>
      <c r="H83" s="516"/>
      <c r="I83" s="516"/>
      <c r="J83" s="516"/>
      <c r="K83" s="516"/>
      <c r="L83" s="516"/>
      <c r="M83" s="516"/>
      <c r="N83" s="516"/>
      <c r="O83" s="516"/>
      <c r="P83" s="516"/>
      <c r="Q83" s="516"/>
      <c r="R83" s="516"/>
      <c r="S83" s="516"/>
      <c r="T83" s="516"/>
      <c r="U83" s="516"/>
      <c r="V83" s="516"/>
      <c r="W83" s="516"/>
      <c r="X83" s="516"/>
      <c r="Y83" s="516"/>
      <c r="Z83" s="516"/>
      <c r="AA83" s="516"/>
      <c r="AB83" s="516"/>
      <c r="AC83" s="516"/>
      <c r="AD83" s="516"/>
      <c r="AE83" s="516"/>
      <c r="AF83" s="516"/>
      <c r="AG83" s="516"/>
      <c r="AH83" s="516"/>
      <c r="AI83" s="516"/>
      <c r="AJ83" s="516"/>
      <c r="AK83" s="516"/>
      <c r="AL83" s="516"/>
      <c r="AM83" s="516"/>
      <c r="AN83" s="516"/>
      <c r="AO83" s="516"/>
      <c r="AP83" s="516"/>
      <c r="AQ83" s="516"/>
      <c r="AR83" s="516"/>
      <c r="AS83" s="516"/>
      <c r="AT83" s="516"/>
      <c r="AU83" s="516"/>
      <c r="AV83" s="516"/>
      <c r="AW83" s="516"/>
      <c r="AX83" s="516"/>
      <c r="AY83" s="516"/>
      <c r="AZ83" s="516"/>
      <c r="BA83" s="516"/>
      <c r="BB83" s="516"/>
      <c r="BC83" s="516"/>
      <c r="BD83" s="516"/>
      <c r="BE83" s="516"/>
      <c r="BF83" s="516"/>
      <c r="BG83" s="516"/>
      <c r="BH83" s="516"/>
      <c r="BI83" s="516"/>
      <c r="BJ83" s="516"/>
      <c r="BK83" s="516"/>
      <c r="BL83" s="516"/>
      <c r="BM83" s="516"/>
      <c r="BN83" s="516"/>
      <c r="BO83" s="516"/>
      <c r="BP83" s="516"/>
      <c r="BQ83" s="516"/>
      <c r="BR83" s="516"/>
      <c r="BS83" s="516"/>
      <c r="BT83" s="516"/>
      <c r="BU83" s="516"/>
      <c r="BV83" s="516"/>
      <c r="BW83" s="516"/>
      <c r="BX83" s="516"/>
      <c r="BY83" s="516"/>
      <c r="BZ83" s="516"/>
      <c r="CA83" s="516"/>
      <c r="CB83" s="516"/>
    </row>
    <row r="84" spans="1:80" x14ac:dyDescent="0.25">
      <c r="A84" s="860"/>
      <c r="B84" s="846">
        <v>314</v>
      </c>
      <c r="C84" s="860" t="s">
        <v>465</v>
      </c>
      <c r="D84" s="860" t="s">
        <v>466</v>
      </c>
      <c r="E84" s="516"/>
      <c r="F84" s="516"/>
      <c r="G84" s="516"/>
      <c r="H84" s="516"/>
      <c r="I84" s="516"/>
      <c r="J84" s="516"/>
      <c r="K84" s="516"/>
      <c r="L84" s="516"/>
      <c r="M84" s="516"/>
      <c r="N84" s="516"/>
      <c r="O84" s="516"/>
      <c r="P84" s="516"/>
      <c r="Q84" s="516"/>
      <c r="R84" s="516"/>
      <c r="S84" s="516"/>
      <c r="T84" s="516"/>
      <c r="U84" s="516"/>
      <c r="V84" s="516"/>
      <c r="W84" s="516"/>
      <c r="X84" s="516"/>
      <c r="Y84" s="516"/>
      <c r="Z84" s="516"/>
      <c r="AA84" s="516"/>
      <c r="AB84" s="516"/>
      <c r="AC84" s="516"/>
      <c r="AD84" s="516"/>
      <c r="AE84" s="516"/>
      <c r="AF84" s="516"/>
      <c r="AG84" s="516"/>
      <c r="AH84" s="516"/>
      <c r="AI84" s="516"/>
      <c r="AJ84" s="516"/>
      <c r="AK84" s="516"/>
      <c r="AL84" s="516"/>
      <c r="AM84" s="516"/>
      <c r="AN84" s="516"/>
      <c r="AO84" s="516"/>
      <c r="AP84" s="516"/>
      <c r="AQ84" s="516"/>
      <c r="AR84" s="516"/>
      <c r="AS84" s="516"/>
      <c r="AT84" s="516"/>
      <c r="AU84" s="516"/>
      <c r="AV84" s="516"/>
      <c r="AW84" s="516"/>
      <c r="AX84" s="516"/>
      <c r="AY84" s="516"/>
      <c r="AZ84" s="516"/>
      <c r="BA84" s="516"/>
      <c r="BB84" s="516"/>
      <c r="BC84" s="516"/>
      <c r="BD84" s="516"/>
      <c r="BE84" s="516"/>
      <c r="BF84" s="516"/>
      <c r="BG84" s="516"/>
      <c r="BH84" s="516"/>
      <c r="BI84" s="516"/>
      <c r="BJ84" s="516"/>
      <c r="BK84" s="516"/>
      <c r="BL84" s="516"/>
      <c r="BM84" s="516"/>
      <c r="BN84" s="516"/>
      <c r="BO84" s="516"/>
      <c r="BP84" s="516"/>
      <c r="BQ84" s="516"/>
      <c r="BR84" s="516"/>
      <c r="BS84" s="516"/>
      <c r="BT84" s="516"/>
      <c r="BU84" s="516"/>
      <c r="BV84" s="516"/>
      <c r="BW84" s="516"/>
      <c r="BX84" s="516"/>
      <c r="BY84" s="516"/>
      <c r="BZ84" s="516"/>
      <c r="CA84" s="516"/>
      <c r="CB84" s="516"/>
    </row>
    <row r="85" spans="1:80" x14ac:dyDescent="0.25">
      <c r="A85" s="860"/>
      <c r="B85" s="846">
        <v>315</v>
      </c>
      <c r="C85" s="860" t="s">
        <v>467</v>
      </c>
      <c r="D85" s="860" t="s">
        <v>468</v>
      </c>
      <c r="E85" s="516"/>
      <c r="F85" s="516"/>
      <c r="G85" s="516"/>
      <c r="H85" s="516"/>
      <c r="I85" s="516"/>
      <c r="J85" s="516"/>
      <c r="K85" s="516"/>
      <c r="L85" s="516"/>
      <c r="M85" s="516"/>
      <c r="N85" s="516"/>
      <c r="O85" s="516"/>
      <c r="P85" s="516"/>
      <c r="Q85" s="516"/>
      <c r="R85" s="516"/>
      <c r="S85" s="516"/>
      <c r="T85" s="516"/>
      <c r="U85" s="516"/>
      <c r="V85" s="516"/>
      <c r="W85" s="516"/>
      <c r="X85" s="516"/>
      <c r="Y85" s="516"/>
      <c r="Z85" s="516"/>
      <c r="AA85" s="516"/>
      <c r="AB85" s="516"/>
      <c r="AC85" s="516"/>
      <c r="AD85" s="516"/>
      <c r="AE85" s="516"/>
      <c r="AF85" s="516"/>
      <c r="AG85" s="516"/>
      <c r="AH85" s="516"/>
      <c r="AI85" s="516"/>
      <c r="AJ85" s="516"/>
      <c r="AK85" s="516"/>
      <c r="AL85" s="516"/>
      <c r="AM85" s="516"/>
      <c r="AN85" s="516"/>
      <c r="AO85" s="516"/>
      <c r="AP85" s="516"/>
      <c r="AQ85" s="516"/>
      <c r="AR85" s="516"/>
      <c r="AS85" s="516"/>
      <c r="AT85" s="516"/>
      <c r="AU85" s="516"/>
      <c r="AV85" s="516"/>
      <c r="AW85" s="516"/>
      <c r="AX85" s="516"/>
      <c r="AY85" s="516"/>
      <c r="AZ85" s="516"/>
      <c r="BA85" s="516"/>
      <c r="BB85" s="516"/>
      <c r="BC85" s="516"/>
      <c r="BD85" s="516"/>
      <c r="BE85" s="516"/>
      <c r="BF85" s="516"/>
      <c r="BG85" s="516"/>
      <c r="BH85" s="516"/>
      <c r="BI85" s="516"/>
      <c r="BJ85" s="516"/>
      <c r="BK85" s="516"/>
      <c r="BL85" s="516"/>
      <c r="BM85" s="516"/>
      <c r="BN85" s="516"/>
      <c r="BO85" s="516"/>
      <c r="BP85" s="516"/>
      <c r="BQ85" s="516"/>
      <c r="BR85" s="516"/>
      <c r="BS85" s="516"/>
      <c r="BT85" s="516"/>
      <c r="BU85" s="516"/>
      <c r="BV85" s="516"/>
      <c r="BW85" s="516"/>
      <c r="BX85" s="516"/>
      <c r="BY85" s="516"/>
      <c r="BZ85" s="516"/>
      <c r="CA85" s="516"/>
      <c r="CB85" s="516"/>
    </row>
    <row r="86" spans="1:80" x14ac:dyDescent="0.25">
      <c r="A86" s="860"/>
      <c r="B86" s="846">
        <v>316</v>
      </c>
      <c r="C86" s="860" t="s">
        <v>469</v>
      </c>
      <c r="D86" s="860" t="s">
        <v>470</v>
      </c>
      <c r="E86" s="516"/>
      <c r="F86" s="516"/>
      <c r="G86" s="516"/>
      <c r="H86" s="516"/>
      <c r="I86" s="516"/>
      <c r="J86" s="516"/>
      <c r="K86" s="516"/>
      <c r="L86" s="516"/>
      <c r="M86" s="516"/>
      <c r="N86" s="516"/>
      <c r="O86" s="516"/>
      <c r="P86" s="516"/>
      <c r="Q86" s="516"/>
      <c r="R86" s="516"/>
      <c r="S86" s="516"/>
      <c r="T86" s="516"/>
      <c r="U86" s="516"/>
      <c r="V86" s="516"/>
      <c r="W86" s="516"/>
      <c r="X86" s="516"/>
      <c r="Y86" s="516"/>
      <c r="Z86" s="516"/>
      <c r="AA86" s="516"/>
      <c r="AB86" s="516"/>
      <c r="AC86" s="516"/>
      <c r="AD86" s="516"/>
      <c r="AE86" s="516"/>
      <c r="AF86" s="516"/>
      <c r="AG86" s="516"/>
      <c r="AH86" s="516"/>
      <c r="AI86" s="516"/>
      <c r="AJ86" s="516"/>
      <c r="AK86" s="516"/>
      <c r="AL86" s="516"/>
      <c r="AM86" s="516"/>
      <c r="AN86" s="516"/>
      <c r="AO86" s="516"/>
      <c r="AP86" s="516"/>
      <c r="AQ86" s="516"/>
      <c r="AR86" s="516"/>
      <c r="AS86" s="516"/>
      <c r="AT86" s="516"/>
      <c r="AU86" s="516"/>
      <c r="AV86" s="516"/>
      <c r="AW86" s="516"/>
      <c r="AX86" s="516"/>
      <c r="AY86" s="516"/>
      <c r="AZ86" s="516"/>
      <c r="BA86" s="516"/>
      <c r="BB86" s="516"/>
      <c r="BC86" s="516"/>
      <c r="BD86" s="516"/>
      <c r="BE86" s="516"/>
      <c r="BF86" s="516"/>
      <c r="BG86" s="516"/>
      <c r="BH86" s="516"/>
      <c r="BI86" s="516"/>
      <c r="BJ86" s="516"/>
      <c r="BK86" s="516"/>
      <c r="BL86" s="516"/>
      <c r="BM86" s="516"/>
      <c r="BN86" s="516"/>
      <c r="BO86" s="516"/>
      <c r="BP86" s="516"/>
      <c r="BQ86" s="516"/>
      <c r="BR86" s="516"/>
      <c r="BS86" s="516"/>
      <c r="BT86" s="516"/>
      <c r="BU86" s="516"/>
      <c r="BV86" s="516"/>
      <c r="BW86" s="516"/>
      <c r="BX86" s="516"/>
      <c r="BY86" s="516"/>
      <c r="BZ86" s="516"/>
      <c r="CA86" s="516"/>
      <c r="CB86" s="516"/>
    </row>
    <row r="87" spans="1:80" x14ac:dyDescent="0.25">
      <c r="A87" s="860"/>
      <c r="B87" s="846">
        <v>320</v>
      </c>
      <c r="C87" s="860" t="s">
        <v>325</v>
      </c>
      <c r="D87" s="860" t="s">
        <v>471</v>
      </c>
      <c r="E87" s="516"/>
      <c r="F87" s="516"/>
      <c r="G87" s="516"/>
      <c r="H87" s="516"/>
      <c r="I87" s="516"/>
      <c r="J87" s="516"/>
      <c r="K87" s="516"/>
      <c r="L87" s="516"/>
      <c r="M87" s="516"/>
      <c r="N87" s="516"/>
      <c r="O87" s="516"/>
      <c r="P87" s="516"/>
      <c r="Q87" s="516"/>
      <c r="R87" s="516"/>
      <c r="S87" s="516"/>
      <c r="T87" s="516"/>
      <c r="U87" s="516"/>
      <c r="V87" s="516"/>
      <c r="W87" s="516"/>
      <c r="X87" s="516"/>
      <c r="Y87" s="516"/>
      <c r="Z87" s="516"/>
      <c r="AA87" s="516"/>
      <c r="AB87" s="516"/>
      <c r="AC87" s="516"/>
      <c r="AD87" s="516"/>
      <c r="AE87" s="516"/>
      <c r="AF87" s="516"/>
      <c r="AG87" s="516"/>
      <c r="AH87" s="516"/>
      <c r="AI87" s="516"/>
      <c r="AJ87" s="516"/>
      <c r="AK87" s="516"/>
      <c r="AL87" s="516"/>
      <c r="AM87" s="516"/>
      <c r="AN87" s="516"/>
      <c r="AO87" s="516"/>
      <c r="AP87" s="516"/>
      <c r="AQ87" s="516"/>
      <c r="AR87" s="516"/>
      <c r="AS87" s="516"/>
      <c r="AT87" s="516"/>
      <c r="AU87" s="516"/>
      <c r="AV87" s="516"/>
      <c r="AW87" s="516"/>
      <c r="AX87" s="516"/>
      <c r="AY87" s="516"/>
      <c r="AZ87" s="516"/>
      <c r="BA87" s="516"/>
      <c r="BB87" s="516"/>
      <c r="BC87" s="516"/>
      <c r="BD87" s="516"/>
      <c r="BE87" s="516"/>
      <c r="BF87" s="516"/>
      <c r="BG87" s="516"/>
      <c r="BH87" s="516"/>
      <c r="BI87" s="516"/>
      <c r="BJ87" s="516"/>
      <c r="BK87" s="516"/>
      <c r="BL87" s="516"/>
      <c r="BM87" s="516"/>
      <c r="BN87" s="516"/>
      <c r="BO87" s="516"/>
      <c r="BP87" s="516"/>
      <c r="BQ87" s="516"/>
      <c r="BR87" s="516"/>
      <c r="BS87" s="516"/>
      <c r="BT87" s="516"/>
      <c r="BU87" s="516"/>
      <c r="BV87" s="516"/>
      <c r="BW87" s="516"/>
      <c r="BX87" s="516"/>
      <c r="BY87" s="516"/>
      <c r="BZ87" s="516"/>
      <c r="CA87" s="516"/>
      <c r="CB87" s="516"/>
    </row>
    <row r="88" spans="1:80" x14ac:dyDescent="0.25">
      <c r="A88" s="860"/>
      <c r="B88" s="846">
        <v>321</v>
      </c>
      <c r="C88" s="860" t="s">
        <v>1181</v>
      </c>
      <c r="D88" s="860" t="s">
        <v>472</v>
      </c>
      <c r="E88" s="516"/>
      <c r="F88" s="516"/>
      <c r="G88" s="516"/>
      <c r="H88" s="516"/>
      <c r="I88" s="516"/>
      <c r="J88" s="516"/>
      <c r="K88" s="516"/>
      <c r="L88" s="516"/>
      <c r="M88" s="516"/>
      <c r="N88" s="516"/>
      <c r="O88" s="516"/>
      <c r="P88" s="516"/>
      <c r="Q88" s="516"/>
      <c r="R88" s="516"/>
      <c r="S88" s="516"/>
      <c r="T88" s="516"/>
      <c r="U88" s="516"/>
      <c r="V88" s="516"/>
      <c r="W88" s="516"/>
      <c r="X88" s="516"/>
      <c r="Y88" s="516"/>
      <c r="Z88" s="516"/>
      <c r="AA88" s="516"/>
      <c r="AB88" s="516"/>
      <c r="AC88" s="516"/>
      <c r="AD88" s="516"/>
      <c r="AE88" s="516"/>
      <c r="AF88" s="516"/>
      <c r="AG88" s="516"/>
      <c r="AH88" s="516"/>
      <c r="AI88" s="516"/>
      <c r="AJ88" s="516"/>
      <c r="AK88" s="516"/>
      <c r="AL88" s="516"/>
      <c r="AM88" s="516"/>
      <c r="AN88" s="516"/>
      <c r="AO88" s="516"/>
      <c r="AP88" s="516"/>
      <c r="AQ88" s="516"/>
      <c r="AR88" s="516"/>
      <c r="AS88" s="516"/>
      <c r="AT88" s="516"/>
      <c r="AU88" s="516"/>
      <c r="AV88" s="516"/>
      <c r="AW88" s="516"/>
      <c r="AX88" s="516"/>
      <c r="AY88" s="516"/>
      <c r="AZ88" s="516"/>
      <c r="BA88" s="516"/>
      <c r="BB88" s="516"/>
      <c r="BC88" s="516"/>
      <c r="BD88" s="516"/>
      <c r="BE88" s="516"/>
      <c r="BF88" s="516"/>
      <c r="BG88" s="516"/>
      <c r="BH88" s="516"/>
      <c r="BI88" s="516"/>
      <c r="BJ88" s="516"/>
      <c r="BK88" s="516"/>
      <c r="BL88" s="516"/>
      <c r="BM88" s="516"/>
      <c r="BN88" s="516"/>
      <c r="BO88" s="516"/>
      <c r="BP88" s="516"/>
      <c r="BQ88" s="516"/>
      <c r="BR88" s="516"/>
      <c r="BS88" s="516"/>
      <c r="BT88" s="516"/>
      <c r="BU88" s="516"/>
      <c r="BV88" s="516"/>
      <c r="BW88" s="516"/>
      <c r="BX88" s="516"/>
      <c r="BY88" s="516"/>
      <c r="BZ88" s="516"/>
      <c r="CA88" s="516"/>
      <c r="CB88" s="516"/>
    </row>
    <row r="89" spans="1:80" x14ac:dyDescent="0.25">
      <c r="A89" s="860"/>
      <c r="B89" s="846">
        <v>322</v>
      </c>
      <c r="C89" s="860" t="s">
        <v>327</v>
      </c>
      <c r="D89" s="860" t="s">
        <v>473</v>
      </c>
      <c r="E89" s="516"/>
      <c r="F89" s="516"/>
      <c r="G89" s="516"/>
      <c r="H89" s="516"/>
      <c r="I89" s="516"/>
      <c r="J89" s="516"/>
      <c r="K89" s="516"/>
      <c r="L89" s="516"/>
      <c r="M89" s="516"/>
      <c r="N89" s="516"/>
      <c r="O89" s="516"/>
      <c r="P89" s="516"/>
      <c r="Q89" s="516"/>
      <c r="R89" s="516"/>
      <c r="S89" s="516"/>
      <c r="T89" s="516"/>
      <c r="U89" s="516"/>
      <c r="V89" s="516"/>
      <c r="W89" s="516"/>
      <c r="X89" s="516"/>
      <c r="Y89" s="516"/>
      <c r="Z89" s="516"/>
      <c r="AA89" s="516"/>
      <c r="AB89" s="516"/>
      <c r="AC89" s="516"/>
      <c r="AD89" s="516"/>
      <c r="AE89" s="516"/>
      <c r="AF89" s="516"/>
      <c r="AG89" s="516"/>
      <c r="AH89" s="516"/>
      <c r="AI89" s="516"/>
      <c r="AJ89" s="516"/>
      <c r="AK89" s="516"/>
      <c r="AL89" s="516"/>
      <c r="AM89" s="516"/>
      <c r="AN89" s="516"/>
      <c r="AO89" s="516"/>
      <c r="AP89" s="516"/>
      <c r="AQ89" s="516"/>
      <c r="AR89" s="516"/>
      <c r="AS89" s="516"/>
      <c r="AT89" s="516"/>
      <c r="AU89" s="516"/>
      <c r="AV89" s="516"/>
      <c r="AW89" s="516"/>
      <c r="AX89" s="516"/>
      <c r="AY89" s="516"/>
      <c r="AZ89" s="516"/>
      <c r="BA89" s="516"/>
      <c r="BB89" s="516"/>
      <c r="BC89" s="516"/>
      <c r="BD89" s="516"/>
      <c r="BE89" s="516"/>
      <c r="BF89" s="516"/>
      <c r="BG89" s="516"/>
      <c r="BH89" s="516"/>
      <c r="BI89" s="516"/>
      <c r="BJ89" s="516"/>
      <c r="BK89" s="516"/>
      <c r="BL89" s="516"/>
      <c r="BM89" s="516"/>
      <c r="BN89" s="516"/>
      <c r="BO89" s="516"/>
      <c r="BP89" s="516"/>
      <c r="BQ89" s="516"/>
      <c r="BR89" s="516"/>
      <c r="BS89" s="516"/>
      <c r="BT89" s="516"/>
      <c r="BU89" s="516"/>
      <c r="BV89" s="516"/>
      <c r="BW89" s="516"/>
      <c r="BX89" s="516"/>
      <c r="BY89" s="516"/>
      <c r="BZ89" s="516"/>
      <c r="CA89" s="516"/>
      <c r="CB89" s="516"/>
    </row>
    <row r="90" spans="1:80" x14ac:dyDescent="0.25">
      <c r="A90" s="860"/>
      <c r="B90" s="846">
        <v>323</v>
      </c>
      <c r="C90" s="860" t="s">
        <v>326</v>
      </c>
      <c r="D90" s="860" t="s">
        <v>474</v>
      </c>
      <c r="E90" s="516"/>
      <c r="F90" s="516"/>
      <c r="G90" s="516"/>
      <c r="H90" s="516"/>
      <c r="I90" s="516"/>
      <c r="J90" s="516"/>
      <c r="K90" s="516"/>
      <c r="L90" s="516"/>
      <c r="M90" s="516"/>
      <c r="N90" s="516"/>
      <c r="O90" s="516"/>
      <c r="P90" s="516"/>
      <c r="Q90" s="516"/>
      <c r="R90" s="516"/>
      <c r="S90" s="516"/>
      <c r="T90" s="516"/>
      <c r="U90" s="516"/>
      <c r="V90" s="516"/>
      <c r="W90" s="516"/>
      <c r="X90" s="516"/>
      <c r="Y90" s="516"/>
      <c r="Z90" s="516"/>
      <c r="AA90" s="516"/>
      <c r="AB90" s="516"/>
      <c r="AC90" s="516"/>
      <c r="AD90" s="516"/>
      <c r="AE90" s="516"/>
      <c r="AF90" s="516"/>
      <c r="AG90" s="516"/>
      <c r="AH90" s="516"/>
      <c r="AI90" s="516"/>
      <c r="AJ90" s="516"/>
      <c r="AK90" s="516"/>
      <c r="AL90" s="516"/>
      <c r="AM90" s="516"/>
      <c r="AN90" s="516"/>
      <c r="AO90" s="516"/>
      <c r="AP90" s="516"/>
      <c r="AQ90" s="516"/>
      <c r="AR90" s="516"/>
      <c r="AS90" s="516"/>
      <c r="AT90" s="516"/>
      <c r="AU90" s="516"/>
      <c r="AV90" s="516"/>
      <c r="AW90" s="516"/>
      <c r="AX90" s="516"/>
      <c r="AY90" s="516"/>
      <c r="AZ90" s="516"/>
      <c r="BA90" s="516"/>
      <c r="BB90" s="516"/>
      <c r="BC90" s="516"/>
      <c r="BD90" s="516"/>
      <c r="BE90" s="516"/>
      <c r="BF90" s="516"/>
      <c r="BG90" s="516"/>
      <c r="BH90" s="516"/>
      <c r="BI90" s="516"/>
      <c r="BJ90" s="516"/>
      <c r="BK90" s="516"/>
      <c r="BL90" s="516"/>
      <c r="BM90" s="516"/>
      <c r="BN90" s="516"/>
      <c r="BO90" s="516"/>
      <c r="BP90" s="516"/>
      <c r="BQ90" s="516"/>
      <c r="BR90" s="516"/>
      <c r="BS90" s="516"/>
      <c r="BT90" s="516"/>
      <c r="BU90" s="516"/>
      <c r="BV90" s="516"/>
      <c r="BW90" s="516"/>
      <c r="BX90" s="516"/>
      <c r="BY90" s="516"/>
      <c r="BZ90" s="516"/>
      <c r="CA90" s="516"/>
      <c r="CB90" s="516"/>
    </row>
    <row r="91" spans="1:80" x14ac:dyDescent="0.25">
      <c r="A91" s="860"/>
      <c r="B91" s="846">
        <v>324</v>
      </c>
      <c r="C91" s="860" t="s">
        <v>324</v>
      </c>
      <c r="D91" s="860" t="s">
        <v>475</v>
      </c>
      <c r="E91" s="516"/>
      <c r="F91" s="516"/>
      <c r="G91" s="516"/>
      <c r="H91" s="516"/>
      <c r="I91" s="516"/>
      <c r="J91" s="516"/>
      <c r="K91" s="516"/>
      <c r="L91" s="516"/>
      <c r="M91" s="516"/>
      <c r="N91" s="516"/>
      <c r="O91" s="516"/>
      <c r="P91" s="516"/>
      <c r="Q91" s="516"/>
      <c r="R91" s="516"/>
      <c r="S91" s="516"/>
      <c r="T91" s="516"/>
      <c r="U91" s="516"/>
      <c r="V91" s="516"/>
      <c r="W91" s="516"/>
      <c r="X91" s="516"/>
      <c r="Y91" s="516"/>
      <c r="Z91" s="516"/>
      <c r="AA91" s="516"/>
      <c r="AB91" s="516"/>
      <c r="AC91" s="516"/>
      <c r="AD91" s="516"/>
      <c r="AE91" s="516"/>
      <c r="AF91" s="516"/>
      <c r="AG91" s="516"/>
      <c r="AH91" s="516"/>
      <c r="AI91" s="516"/>
      <c r="AJ91" s="516"/>
      <c r="AK91" s="516"/>
      <c r="AL91" s="516"/>
      <c r="AM91" s="516"/>
      <c r="AN91" s="516"/>
      <c r="AO91" s="516"/>
      <c r="AP91" s="516"/>
      <c r="AQ91" s="516"/>
      <c r="AR91" s="516"/>
      <c r="AS91" s="516"/>
      <c r="AT91" s="516"/>
      <c r="AU91" s="516"/>
      <c r="AV91" s="516"/>
      <c r="AW91" s="516"/>
      <c r="AX91" s="516"/>
      <c r="AY91" s="516"/>
      <c r="AZ91" s="516"/>
      <c r="BA91" s="516"/>
      <c r="BB91" s="516"/>
      <c r="BC91" s="516"/>
      <c r="BD91" s="516"/>
      <c r="BE91" s="516"/>
      <c r="BF91" s="516"/>
      <c r="BG91" s="516"/>
      <c r="BH91" s="516"/>
      <c r="BI91" s="516"/>
      <c r="BJ91" s="516"/>
      <c r="BK91" s="516"/>
      <c r="BL91" s="516"/>
      <c r="BM91" s="516"/>
      <c r="BN91" s="516"/>
      <c r="BO91" s="516"/>
      <c r="BP91" s="516"/>
      <c r="BQ91" s="516"/>
      <c r="BR91" s="516"/>
      <c r="BS91" s="516"/>
      <c r="BT91" s="516"/>
      <c r="BU91" s="516"/>
      <c r="BV91" s="516"/>
      <c r="BW91" s="516"/>
      <c r="BX91" s="516"/>
      <c r="BY91" s="516"/>
      <c r="BZ91" s="516"/>
      <c r="CA91" s="516"/>
      <c r="CB91" s="516"/>
    </row>
    <row r="92" spans="1:80" x14ac:dyDescent="0.25">
      <c r="A92" s="860"/>
      <c r="B92" s="846">
        <v>325</v>
      </c>
      <c r="C92" s="860" t="s">
        <v>328</v>
      </c>
      <c r="D92" s="860" t="s">
        <v>476</v>
      </c>
      <c r="E92" s="862"/>
      <c r="F92" s="862"/>
      <c r="G92" s="862"/>
      <c r="H92" s="862"/>
      <c r="I92" s="862"/>
      <c r="J92" s="862"/>
      <c r="K92" s="862"/>
      <c r="L92" s="862"/>
      <c r="M92" s="862"/>
      <c r="N92" s="862"/>
      <c r="O92" s="862"/>
      <c r="P92" s="862"/>
      <c r="Q92" s="862"/>
      <c r="R92" s="862"/>
      <c r="S92" s="862"/>
      <c r="T92" s="862"/>
      <c r="U92" s="862"/>
      <c r="V92" s="862"/>
      <c r="W92" s="862"/>
      <c r="X92" s="862"/>
      <c r="Y92" s="862"/>
      <c r="Z92" s="862"/>
      <c r="AA92" s="862"/>
      <c r="AB92" s="862"/>
      <c r="AC92" s="862"/>
      <c r="AD92" s="862"/>
      <c r="AE92" s="862"/>
      <c r="AF92" s="862"/>
      <c r="AG92" s="862"/>
      <c r="AH92" s="862"/>
      <c r="AI92" s="862"/>
      <c r="AJ92" s="862"/>
      <c r="AK92" s="862"/>
      <c r="AL92" s="862"/>
      <c r="AM92" s="862"/>
      <c r="AN92" s="862"/>
      <c r="AO92" s="862"/>
      <c r="AP92" s="862"/>
      <c r="AQ92" s="862"/>
      <c r="AR92" s="862"/>
      <c r="AS92" s="862"/>
      <c r="AT92" s="862"/>
      <c r="AU92" s="862"/>
      <c r="AV92" s="862"/>
      <c r="AW92" s="862"/>
      <c r="AX92" s="862"/>
      <c r="AY92" s="862"/>
      <c r="AZ92" s="862"/>
      <c r="BA92" s="862"/>
      <c r="BB92" s="862"/>
      <c r="BC92" s="862"/>
      <c r="BD92" s="862"/>
      <c r="BE92" s="862"/>
      <c r="BF92" s="862"/>
      <c r="BG92" s="862"/>
      <c r="BH92" s="862"/>
      <c r="BI92" s="862"/>
      <c r="BJ92" s="862"/>
      <c r="BK92" s="862"/>
      <c r="BL92" s="862"/>
      <c r="BM92" s="862"/>
      <c r="BN92" s="862"/>
      <c r="BO92" s="862"/>
      <c r="BP92" s="862"/>
      <c r="BQ92" s="862"/>
      <c r="BR92" s="862"/>
      <c r="BS92" s="862"/>
      <c r="BT92" s="862"/>
      <c r="BU92" s="862"/>
      <c r="BV92" s="862"/>
      <c r="BW92" s="862"/>
      <c r="BX92" s="862"/>
      <c r="BY92" s="862"/>
      <c r="BZ92" s="862"/>
      <c r="CA92" s="862"/>
      <c r="CB92" s="862"/>
    </row>
    <row r="93" spans="1:80" x14ac:dyDescent="0.25">
      <c r="A93" s="860"/>
      <c r="B93" s="846">
        <v>326</v>
      </c>
      <c r="C93" s="860" t="s">
        <v>810</v>
      </c>
      <c r="D93" s="860" t="s">
        <v>477</v>
      </c>
      <c r="E93" s="516"/>
      <c r="F93" s="516"/>
      <c r="G93" s="516"/>
      <c r="H93" s="516"/>
      <c r="I93" s="516"/>
      <c r="J93" s="516"/>
      <c r="K93" s="516"/>
      <c r="L93" s="516"/>
      <c r="M93" s="516"/>
      <c r="N93" s="516"/>
      <c r="O93" s="516"/>
      <c r="P93" s="516"/>
      <c r="Q93" s="516"/>
      <c r="R93" s="516"/>
      <c r="S93" s="516"/>
      <c r="T93" s="516"/>
      <c r="U93" s="516"/>
      <c r="V93" s="516"/>
      <c r="W93" s="516"/>
      <c r="X93" s="516"/>
      <c r="Y93" s="516"/>
      <c r="Z93" s="516"/>
      <c r="AA93" s="516"/>
      <c r="AB93" s="516"/>
      <c r="AC93" s="516"/>
      <c r="AD93" s="516"/>
      <c r="AE93" s="516"/>
      <c r="AF93" s="516"/>
      <c r="AG93" s="516"/>
      <c r="AH93" s="516"/>
      <c r="AI93" s="516"/>
      <c r="AJ93" s="516"/>
      <c r="AK93" s="516"/>
      <c r="AL93" s="516"/>
      <c r="AM93" s="516"/>
      <c r="AN93" s="516"/>
      <c r="AO93" s="516"/>
      <c r="AP93" s="516"/>
      <c r="AQ93" s="516"/>
      <c r="AR93" s="516"/>
      <c r="AS93" s="516"/>
      <c r="AT93" s="516"/>
      <c r="AU93" s="516"/>
      <c r="AV93" s="516"/>
      <c r="AW93" s="516"/>
      <c r="AX93" s="516"/>
      <c r="AY93" s="516"/>
      <c r="AZ93" s="516"/>
      <c r="BA93" s="516"/>
      <c r="BB93" s="516"/>
      <c r="BC93" s="516"/>
      <c r="BD93" s="516"/>
      <c r="BE93" s="516"/>
      <c r="BF93" s="516"/>
      <c r="BG93" s="516"/>
      <c r="BH93" s="516"/>
      <c r="BI93" s="516"/>
      <c r="BJ93" s="516"/>
      <c r="BK93" s="516"/>
      <c r="BL93" s="516"/>
      <c r="BM93" s="516"/>
      <c r="BN93" s="516"/>
      <c r="BO93" s="516"/>
      <c r="BP93" s="516"/>
      <c r="BQ93" s="516"/>
      <c r="BR93" s="516"/>
      <c r="BS93" s="516"/>
      <c r="BT93" s="516"/>
      <c r="BU93" s="516"/>
      <c r="BV93" s="516"/>
      <c r="BW93" s="516"/>
      <c r="BX93" s="516"/>
      <c r="BY93" s="516"/>
      <c r="BZ93" s="516"/>
      <c r="CA93" s="516"/>
      <c r="CB93" s="516"/>
    </row>
    <row r="94" spans="1:80" x14ac:dyDescent="0.25">
      <c r="A94" s="860">
        <v>327</v>
      </c>
      <c r="B94" s="846">
        <v>327</v>
      </c>
      <c r="C94" s="860" t="s">
        <v>734</v>
      </c>
      <c r="D94" s="860" t="s">
        <v>478</v>
      </c>
      <c r="E94" s="516">
        <v>0</v>
      </c>
      <c r="F94" s="516">
        <v>0</v>
      </c>
      <c r="G94" s="516">
        <v>0</v>
      </c>
      <c r="H94" s="516">
        <v>5287537</v>
      </c>
      <c r="I94" s="516">
        <v>0</v>
      </c>
      <c r="J94" s="516">
        <v>16104</v>
      </c>
      <c r="K94" s="516">
        <v>215245</v>
      </c>
      <c r="L94" s="516">
        <v>72530</v>
      </c>
      <c r="M94" s="516">
        <v>839066</v>
      </c>
      <c r="N94" s="516">
        <v>0</v>
      </c>
      <c r="O94" s="516">
        <v>6500</v>
      </c>
      <c r="P94" s="516">
        <v>28000</v>
      </c>
      <c r="Q94" s="516">
        <v>0</v>
      </c>
      <c r="R94" s="516">
        <v>1209496</v>
      </c>
      <c r="S94" s="516">
        <v>628152</v>
      </c>
      <c r="T94" s="516">
        <v>7174055</v>
      </c>
      <c r="U94" s="516">
        <v>0</v>
      </c>
      <c r="V94" s="516">
        <v>1020263</v>
      </c>
      <c r="W94" s="516">
        <v>0</v>
      </c>
      <c r="X94" s="516">
        <v>0</v>
      </c>
      <c r="Y94" s="516">
        <v>0</v>
      </c>
      <c r="Z94" s="516">
        <v>20697</v>
      </c>
      <c r="AA94" s="516">
        <v>441230</v>
      </c>
      <c r="AB94" s="516">
        <v>32300</v>
      </c>
      <c r="AC94" s="516">
        <v>0</v>
      </c>
      <c r="AD94" s="516">
        <v>0</v>
      </c>
      <c r="AE94" s="516">
        <v>152665</v>
      </c>
      <c r="AF94" s="516">
        <v>38510</v>
      </c>
      <c r="AG94" s="516">
        <v>10300</v>
      </c>
      <c r="AH94" s="516">
        <v>0</v>
      </c>
      <c r="AI94" s="516">
        <v>0</v>
      </c>
      <c r="AJ94" s="516">
        <v>46201</v>
      </c>
      <c r="AK94" s="516">
        <v>291931</v>
      </c>
      <c r="AL94" s="516">
        <v>63549</v>
      </c>
      <c r="AM94" s="516">
        <v>0</v>
      </c>
      <c r="AN94" s="516">
        <v>0</v>
      </c>
      <c r="AO94" s="516">
        <v>251714</v>
      </c>
      <c r="AP94" s="516">
        <v>2951</v>
      </c>
      <c r="AQ94" s="516">
        <v>0</v>
      </c>
      <c r="AR94" s="516">
        <v>866590</v>
      </c>
      <c r="AS94" s="516">
        <v>39677</v>
      </c>
      <c r="AT94" s="516">
        <v>14900</v>
      </c>
      <c r="AU94" s="516">
        <v>149857</v>
      </c>
      <c r="AV94" s="516">
        <v>122600</v>
      </c>
      <c r="AW94" s="516">
        <v>0</v>
      </c>
      <c r="AX94" s="516">
        <v>1500</v>
      </c>
      <c r="AY94" s="516">
        <v>0</v>
      </c>
      <c r="AZ94" s="516">
        <v>0</v>
      </c>
      <c r="BA94" s="516">
        <v>15485</v>
      </c>
      <c r="BB94" s="516">
        <v>0</v>
      </c>
      <c r="BC94" s="516">
        <v>0</v>
      </c>
      <c r="BD94" s="516">
        <v>0</v>
      </c>
      <c r="BE94" s="516">
        <v>0</v>
      </c>
      <c r="BF94" s="516">
        <v>0</v>
      </c>
      <c r="BG94" s="516">
        <v>140000</v>
      </c>
      <c r="BH94" s="516">
        <v>0</v>
      </c>
      <c r="BI94" s="516">
        <v>43326</v>
      </c>
      <c r="BJ94" s="516">
        <v>125250</v>
      </c>
      <c r="BK94" s="516">
        <v>0</v>
      </c>
      <c r="BL94" s="516">
        <v>186016</v>
      </c>
      <c r="BM94" s="516">
        <v>229735</v>
      </c>
      <c r="BN94" s="516">
        <v>0</v>
      </c>
      <c r="BO94" s="516">
        <v>101245</v>
      </c>
      <c r="BP94" s="516">
        <v>82273</v>
      </c>
      <c r="BQ94" s="516">
        <v>62472</v>
      </c>
      <c r="BR94" s="516">
        <v>25109</v>
      </c>
      <c r="BS94" s="516">
        <v>0</v>
      </c>
      <c r="BT94" s="516">
        <v>0</v>
      </c>
      <c r="BU94" s="516">
        <v>131166</v>
      </c>
      <c r="BV94" s="516">
        <v>111061</v>
      </c>
      <c r="BW94" s="516">
        <v>21500</v>
      </c>
      <c r="BX94" s="516">
        <v>0</v>
      </c>
      <c r="BY94" s="516">
        <v>0</v>
      </c>
      <c r="BZ94" s="516">
        <v>0</v>
      </c>
      <c r="CA94" s="516">
        <v>520198</v>
      </c>
      <c r="CB94" s="516">
        <v>0</v>
      </c>
    </row>
    <row r="95" spans="1:80" x14ac:dyDescent="0.25">
      <c r="A95" s="860">
        <v>328</v>
      </c>
      <c r="B95" s="846">
        <v>328</v>
      </c>
      <c r="C95" s="860" t="s">
        <v>645</v>
      </c>
      <c r="D95" s="860" t="s">
        <v>479</v>
      </c>
      <c r="E95" s="516">
        <v>0</v>
      </c>
      <c r="F95" s="516">
        <v>0</v>
      </c>
      <c r="G95" s="516">
        <v>0</v>
      </c>
      <c r="H95" s="516">
        <v>6100065</v>
      </c>
      <c r="I95" s="516">
        <v>33425</v>
      </c>
      <c r="J95" s="516">
        <v>0</v>
      </c>
      <c r="K95" s="516">
        <v>0</v>
      </c>
      <c r="L95" s="516">
        <v>0</v>
      </c>
      <c r="M95" s="516">
        <v>35766068</v>
      </c>
      <c r="N95" s="516">
        <v>0</v>
      </c>
      <c r="O95" s="516">
        <v>78480</v>
      </c>
      <c r="P95" s="516">
        <v>0</v>
      </c>
      <c r="Q95" s="516">
        <v>0</v>
      </c>
      <c r="R95" s="516">
        <v>1117209</v>
      </c>
      <c r="S95" s="516">
        <v>1482333</v>
      </c>
      <c r="T95" s="516">
        <v>0</v>
      </c>
      <c r="U95" s="516">
        <v>0</v>
      </c>
      <c r="V95" s="516">
        <v>13294437</v>
      </c>
      <c r="W95" s="516">
        <v>0</v>
      </c>
      <c r="X95" s="516">
        <v>0</v>
      </c>
      <c r="Y95" s="516">
        <v>0</v>
      </c>
      <c r="Z95" s="516">
        <v>0</v>
      </c>
      <c r="AA95" s="516">
        <v>383698</v>
      </c>
      <c r="AB95" s="516">
        <v>96093</v>
      </c>
      <c r="AC95" s="516">
        <v>0</v>
      </c>
      <c r="AD95" s="516">
        <v>0</v>
      </c>
      <c r="AE95" s="516">
        <v>4500</v>
      </c>
      <c r="AF95" s="516">
        <v>0</v>
      </c>
      <c r="AG95" s="516">
        <v>0</v>
      </c>
      <c r="AH95" s="516">
        <v>0</v>
      </c>
      <c r="AI95" s="516">
        <v>0</v>
      </c>
      <c r="AJ95" s="516">
        <v>0</v>
      </c>
      <c r="AK95" s="516">
        <v>1556355</v>
      </c>
      <c r="AL95" s="516">
        <v>0</v>
      </c>
      <c r="AM95" s="516">
        <v>0</v>
      </c>
      <c r="AN95" s="516">
        <v>3949214</v>
      </c>
      <c r="AO95" s="516">
        <v>8349051</v>
      </c>
      <c r="AP95" s="516">
        <v>0</v>
      </c>
      <c r="AQ95" s="516">
        <v>0</v>
      </c>
      <c r="AR95" s="516">
        <v>215913</v>
      </c>
      <c r="AS95" s="516">
        <v>0</v>
      </c>
      <c r="AT95" s="516">
        <v>0</v>
      </c>
      <c r="AU95" s="516">
        <v>27500</v>
      </c>
      <c r="AV95" s="516">
        <v>589786</v>
      </c>
      <c r="AW95" s="516">
        <v>0</v>
      </c>
      <c r="AX95" s="516">
        <v>0</v>
      </c>
      <c r="AY95" s="516">
        <v>133550</v>
      </c>
      <c r="AZ95" s="516">
        <v>541472</v>
      </c>
      <c r="BA95" s="516">
        <v>426948</v>
      </c>
      <c r="BB95" s="516">
        <v>0</v>
      </c>
      <c r="BC95" s="516">
        <v>0</v>
      </c>
      <c r="BD95" s="516">
        <v>0</v>
      </c>
      <c r="BE95" s="516">
        <v>0</v>
      </c>
      <c r="BF95" s="516">
        <v>0</v>
      </c>
      <c r="BG95" s="516">
        <v>0</v>
      </c>
      <c r="BH95" s="516">
        <v>0</v>
      </c>
      <c r="BI95" s="516">
        <v>0</v>
      </c>
      <c r="BJ95" s="516">
        <v>0</v>
      </c>
      <c r="BK95" s="516">
        <v>0</v>
      </c>
      <c r="BL95" s="516">
        <v>789039</v>
      </c>
      <c r="BM95" s="516">
        <v>0</v>
      </c>
      <c r="BN95" s="516">
        <v>0</v>
      </c>
      <c r="BO95" s="516">
        <v>323705</v>
      </c>
      <c r="BP95" s="516">
        <v>647218</v>
      </c>
      <c r="BQ95" s="516">
        <v>0</v>
      </c>
      <c r="BR95" s="516">
        <v>975283</v>
      </c>
      <c r="BS95" s="516">
        <v>0</v>
      </c>
      <c r="BT95" s="516">
        <v>0</v>
      </c>
      <c r="BU95" s="516">
        <v>104857</v>
      </c>
      <c r="BV95" s="516">
        <v>236744</v>
      </c>
      <c r="BW95" s="516">
        <v>9815</v>
      </c>
      <c r="BX95" s="516">
        <v>1225970</v>
      </c>
      <c r="BY95" s="516">
        <v>0</v>
      </c>
      <c r="BZ95" s="516">
        <v>0</v>
      </c>
      <c r="CA95" s="516">
        <v>134754</v>
      </c>
      <c r="CB95" s="516">
        <v>0</v>
      </c>
    </row>
    <row r="96" spans="1:80" x14ac:dyDescent="0.25">
      <c r="A96" s="860"/>
      <c r="B96" s="846">
        <v>330</v>
      </c>
      <c r="C96" s="860" t="s">
        <v>735</v>
      </c>
      <c r="D96" s="860" t="s">
        <v>480</v>
      </c>
      <c r="E96" s="516">
        <v>0</v>
      </c>
      <c r="F96" s="516">
        <v>0</v>
      </c>
      <c r="G96" s="516">
        <v>0</v>
      </c>
      <c r="H96" s="516">
        <v>0</v>
      </c>
      <c r="I96" s="516">
        <v>0</v>
      </c>
      <c r="J96" s="516">
        <v>0</v>
      </c>
      <c r="K96" s="516">
        <v>0</v>
      </c>
      <c r="L96" s="516">
        <v>0</v>
      </c>
      <c r="M96" s="516">
        <v>0</v>
      </c>
      <c r="N96" s="516">
        <v>0</v>
      </c>
      <c r="O96" s="516">
        <v>0</v>
      </c>
      <c r="P96" s="516">
        <v>0</v>
      </c>
      <c r="Q96" s="516">
        <v>0</v>
      </c>
      <c r="R96" s="516">
        <v>0</v>
      </c>
      <c r="S96" s="516">
        <v>0</v>
      </c>
      <c r="T96" s="516">
        <v>0</v>
      </c>
      <c r="U96" s="516">
        <v>0</v>
      </c>
      <c r="V96" s="516">
        <v>0</v>
      </c>
      <c r="W96" s="516">
        <v>0</v>
      </c>
      <c r="X96" s="516">
        <v>0</v>
      </c>
      <c r="Y96" s="516">
        <v>0</v>
      </c>
      <c r="Z96" s="516">
        <v>0</v>
      </c>
      <c r="AA96" s="516">
        <v>0</v>
      </c>
      <c r="AB96" s="516">
        <v>0</v>
      </c>
      <c r="AC96" s="516">
        <v>0</v>
      </c>
      <c r="AD96" s="516">
        <v>0</v>
      </c>
      <c r="AE96" s="516">
        <v>0</v>
      </c>
      <c r="AF96" s="516">
        <v>0</v>
      </c>
      <c r="AG96" s="516">
        <v>0</v>
      </c>
      <c r="AH96" s="516">
        <v>0</v>
      </c>
      <c r="AI96" s="516">
        <v>0</v>
      </c>
      <c r="AJ96" s="516">
        <v>0</v>
      </c>
      <c r="AK96" s="516">
        <v>0</v>
      </c>
      <c r="AL96" s="516">
        <v>0</v>
      </c>
      <c r="AM96" s="516">
        <v>0</v>
      </c>
      <c r="AN96" s="516">
        <v>0</v>
      </c>
      <c r="AO96" s="516">
        <v>0</v>
      </c>
      <c r="AP96" s="516">
        <v>0</v>
      </c>
      <c r="AQ96" s="516">
        <v>0</v>
      </c>
      <c r="AR96" s="516">
        <v>0</v>
      </c>
      <c r="AS96" s="516">
        <v>0</v>
      </c>
      <c r="AT96" s="516">
        <v>0</v>
      </c>
      <c r="AU96" s="516">
        <v>0</v>
      </c>
      <c r="AV96" s="516">
        <v>0</v>
      </c>
      <c r="AW96" s="516">
        <v>0</v>
      </c>
      <c r="AX96" s="516">
        <v>0</v>
      </c>
      <c r="AY96" s="516">
        <v>0</v>
      </c>
      <c r="AZ96" s="516">
        <v>0</v>
      </c>
      <c r="BA96" s="516">
        <v>0</v>
      </c>
      <c r="BB96" s="516">
        <v>0</v>
      </c>
      <c r="BC96" s="516">
        <v>0</v>
      </c>
      <c r="BD96" s="516">
        <v>0</v>
      </c>
      <c r="BE96" s="516">
        <v>0</v>
      </c>
      <c r="BF96" s="516">
        <v>0</v>
      </c>
      <c r="BG96" s="516">
        <v>0</v>
      </c>
      <c r="BH96" s="516">
        <v>0</v>
      </c>
      <c r="BI96" s="516">
        <v>0</v>
      </c>
      <c r="BJ96" s="516">
        <v>0</v>
      </c>
      <c r="BK96" s="516">
        <v>0</v>
      </c>
      <c r="BL96" s="516">
        <v>0</v>
      </c>
      <c r="BM96" s="516">
        <v>0</v>
      </c>
      <c r="BN96" s="516">
        <v>0</v>
      </c>
      <c r="BO96" s="516">
        <v>0</v>
      </c>
      <c r="BP96" s="516">
        <v>0</v>
      </c>
      <c r="BQ96" s="516">
        <v>0</v>
      </c>
      <c r="BR96" s="516">
        <v>0</v>
      </c>
      <c r="BS96" s="516">
        <v>0</v>
      </c>
      <c r="BT96" s="516">
        <v>0</v>
      </c>
      <c r="BU96" s="516">
        <v>0</v>
      </c>
      <c r="BV96" s="516">
        <v>0</v>
      </c>
      <c r="BW96" s="516">
        <v>0</v>
      </c>
      <c r="BX96" s="516">
        <v>0</v>
      </c>
      <c r="BY96" s="516">
        <v>0</v>
      </c>
      <c r="BZ96" s="516">
        <v>0</v>
      </c>
      <c r="CA96" s="516">
        <v>0</v>
      </c>
      <c r="CB96" s="516">
        <v>0</v>
      </c>
    </row>
    <row r="97" spans="1:80" x14ac:dyDescent="0.25">
      <c r="A97" s="860">
        <v>331</v>
      </c>
      <c r="B97" s="846">
        <v>331</v>
      </c>
      <c r="C97" s="860" t="s">
        <v>314</v>
      </c>
      <c r="D97" s="860" t="s">
        <v>481</v>
      </c>
      <c r="E97" s="516">
        <v>0</v>
      </c>
      <c r="F97" s="516">
        <v>0</v>
      </c>
      <c r="G97" s="516">
        <v>0</v>
      </c>
      <c r="H97" s="516">
        <v>5472547</v>
      </c>
      <c r="I97" s="516">
        <v>163425</v>
      </c>
      <c r="J97" s="516">
        <v>0</v>
      </c>
      <c r="K97" s="516">
        <v>0</v>
      </c>
      <c r="L97" s="516">
        <v>48500</v>
      </c>
      <c r="M97" s="516">
        <v>2800665</v>
      </c>
      <c r="N97" s="516">
        <v>0</v>
      </c>
      <c r="O97" s="516">
        <v>19643</v>
      </c>
      <c r="P97" s="516">
        <v>73094</v>
      </c>
      <c r="Q97" s="516">
        <v>0</v>
      </c>
      <c r="R97" s="516">
        <v>2813</v>
      </c>
      <c r="S97" s="516">
        <v>800126</v>
      </c>
      <c r="T97" s="516">
        <v>1861540</v>
      </c>
      <c r="U97" s="516">
        <v>0</v>
      </c>
      <c r="V97" s="516">
        <v>1792639</v>
      </c>
      <c r="W97" s="516">
        <v>0</v>
      </c>
      <c r="X97" s="516">
        <v>0</v>
      </c>
      <c r="Y97" s="516">
        <v>151789</v>
      </c>
      <c r="Z97" s="516">
        <v>221130</v>
      </c>
      <c r="AA97" s="516">
        <v>6699</v>
      </c>
      <c r="AB97" s="516">
        <v>119939</v>
      </c>
      <c r="AC97" s="516">
        <v>0</v>
      </c>
      <c r="AD97" s="516">
        <v>12558</v>
      </c>
      <c r="AE97" s="516">
        <v>90214</v>
      </c>
      <c r="AF97" s="516">
        <v>253904</v>
      </c>
      <c r="AG97" s="516">
        <v>0</v>
      </c>
      <c r="AH97" s="516">
        <v>0</v>
      </c>
      <c r="AI97" s="516">
        <v>0</v>
      </c>
      <c r="AJ97" s="516">
        <v>0</v>
      </c>
      <c r="AK97" s="516">
        <v>873720</v>
      </c>
      <c r="AL97" s="516">
        <v>0</v>
      </c>
      <c r="AM97" s="516">
        <v>0</v>
      </c>
      <c r="AN97" s="516">
        <v>1053145</v>
      </c>
      <c r="AO97" s="516">
        <v>1180373</v>
      </c>
      <c r="AP97" s="516">
        <v>0</v>
      </c>
      <c r="AQ97" s="516">
        <v>0</v>
      </c>
      <c r="AR97" s="516">
        <v>273063</v>
      </c>
      <c r="AS97" s="516">
        <v>6064</v>
      </c>
      <c r="AT97" s="516">
        <v>4000</v>
      </c>
      <c r="AU97" s="516">
        <v>0</v>
      </c>
      <c r="AV97" s="516">
        <v>2310000</v>
      </c>
      <c r="AW97" s="516">
        <v>18202</v>
      </c>
      <c r="AX97" s="516">
        <v>24147</v>
      </c>
      <c r="AY97" s="516">
        <v>890272</v>
      </c>
      <c r="AZ97" s="516">
        <v>56805</v>
      </c>
      <c r="BA97" s="516">
        <v>149347</v>
      </c>
      <c r="BB97" s="516">
        <v>0</v>
      </c>
      <c r="BC97" s="516">
        <v>0</v>
      </c>
      <c r="BD97" s="516">
        <v>0</v>
      </c>
      <c r="BE97" s="516">
        <v>0</v>
      </c>
      <c r="BF97" s="516">
        <v>0</v>
      </c>
      <c r="BG97" s="516">
        <v>0</v>
      </c>
      <c r="BH97" s="516">
        <v>0</v>
      </c>
      <c r="BI97" s="516">
        <v>263321</v>
      </c>
      <c r="BJ97" s="516">
        <v>162960</v>
      </c>
      <c r="BK97" s="516">
        <v>0</v>
      </c>
      <c r="BL97" s="516">
        <v>79013</v>
      </c>
      <c r="BM97" s="516">
        <v>68664</v>
      </c>
      <c r="BN97" s="516">
        <v>0</v>
      </c>
      <c r="BO97" s="516">
        <v>275045</v>
      </c>
      <c r="BP97" s="516">
        <v>86799</v>
      </c>
      <c r="BQ97" s="516">
        <v>43316</v>
      </c>
      <c r="BR97" s="516">
        <v>42173</v>
      </c>
      <c r="BS97" s="516">
        <v>0</v>
      </c>
      <c r="BT97" s="516">
        <v>0</v>
      </c>
      <c r="BU97" s="516">
        <v>35056</v>
      </c>
      <c r="BV97" s="516">
        <v>299956</v>
      </c>
      <c r="BW97" s="516">
        <v>12133</v>
      </c>
      <c r="BX97" s="516">
        <v>0</v>
      </c>
      <c r="BY97" s="516">
        <v>0</v>
      </c>
      <c r="BZ97" s="516">
        <v>0</v>
      </c>
      <c r="CA97" s="516">
        <v>744542</v>
      </c>
      <c r="CB97" s="516">
        <v>0</v>
      </c>
    </row>
    <row r="98" spans="1:80" x14ac:dyDescent="0.25">
      <c r="A98" s="860">
        <v>332</v>
      </c>
      <c r="B98" s="846">
        <v>332</v>
      </c>
      <c r="C98" s="860" t="s">
        <v>315</v>
      </c>
      <c r="D98" s="860" t="s">
        <v>482</v>
      </c>
      <c r="E98" s="516">
        <v>0</v>
      </c>
      <c r="F98" s="516">
        <v>0</v>
      </c>
      <c r="G98" s="516">
        <v>0</v>
      </c>
      <c r="H98" s="516">
        <v>2686357</v>
      </c>
      <c r="I98" s="516">
        <v>71726</v>
      </c>
      <c r="J98" s="516">
        <v>2179</v>
      </c>
      <c r="K98" s="516">
        <v>0</v>
      </c>
      <c r="L98" s="516">
        <v>63586</v>
      </c>
      <c r="M98" s="516">
        <v>12776749</v>
      </c>
      <c r="N98" s="516">
        <v>0</v>
      </c>
      <c r="O98" s="516">
        <v>238869</v>
      </c>
      <c r="P98" s="516">
        <v>71521</v>
      </c>
      <c r="Q98" s="516">
        <v>0</v>
      </c>
      <c r="R98" s="516">
        <v>1469572</v>
      </c>
      <c r="S98" s="516">
        <v>853442</v>
      </c>
      <c r="T98" s="516">
        <v>1218769</v>
      </c>
      <c r="U98" s="516">
        <v>0</v>
      </c>
      <c r="V98" s="516">
        <v>1043300</v>
      </c>
      <c r="W98" s="516">
        <v>0</v>
      </c>
      <c r="X98" s="516">
        <v>0</v>
      </c>
      <c r="Y98" s="516">
        <v>0</v>
      </c>
      <c r="Z98" s="516">
        <v>200798</v>
      </c>
      <c r="AA98" s="516">
        <v>375414</v>
      </c>
      <c r="AB98" s="516">
        <v>134411</v>
      </c>
      <c r="AC98" s="516">
        <v>0</v>
      </c>
      <c r="AD98" s="516">
        <v>0</v>
      </c>
      <c r="AE98" s="516">
        <v>63641</v>
      </c>
      <c r="AF98" s="516">
        <v>127781</v>
      </c>
      <c r="AG98" s="516">
        <v>0</v>
      </c>
      <c r="AH98" s="516">
        <v>0</v>
      </c>
      <c r="AI98" s="516">
        <v>0</v>
      </c>
      <c r="AJ98" s="516">
        <v>32988</v>
      </c>
      <c r="AK98" s="516">
        <v>2233658</v>
      </c>
      <c r="AL98" s="516">
        <v>0</v>
      </c>
      <c r="AM98" s="516">
        <v>0</v>
      </c>
      <c r="AN98" s="516">
        <v>2737375</v>
      </c>
      <c r="AO98" s="516">
        <v>8729831</v>
      </c>
      <c r="AP98" s="516">
        <v>0</v>
      </c>
      <c r="AQ98" s="516">
        <v>0</v>
      </c>
      <c r="AR98" s="516">
        <v>408632</v>
      </c>
      <c r="AS98" s="516">
        <v>44410</v>
      </c>
      <c r="AT98" s="516">
        <v>0</v>
      </c>
      <c r="AU98" s="516">
        <v>225044</v>
      </c>
      <c r="AV98" s="516">
        <v>577823</v>
      </c>
      <c r="AW98" s="516">
        <v>0</v>
      </c>
      <c r="AX98" s="516">
        <v>0</v>
      </c>
      <c r="AY98" s="516">
        <v>150067</v>
      </c>
      <c r="AZ98" s="516">
        <v>1202981</v>
      </c>
      <c r="BA98" s="516">
        <v>548022</v>
      </c>
      <c r="BB98" s="516">
        <v>0</v>
      </c>
      <c r="BC98" s="516">
        <v>0</v>
      </c>
      <c r="BD98" s="516">
        <v>0</v>
      </c>
      <c r="BE98" s="516">
        <v>0</v>
      </c>
      <c r="BF98" s="516">
        <v>0</v>
      </c>
      <c r="BG98" s="516">
        <v>0</v>
      </c>
      <c r="BH98" s="516">
        <v>0</v>
      </c>
      <c r="BI98" s="516">
        <v>464945</v>
      </c>
      <c r="BJ98" s="516">
        <v>54385</v>
      </c>
      <c r="BK98" s="516">
        <v>0</v>
      </c>
      <c r="BL98" s="516">
        <v>501382</v>
      </c>
      <c r="BM98" s="516">
        <v>224125</v>
      </c>
      <c r="BN98" s="516">
        <v>0</v>
      </c>
      <c r="BO98" s="516">
        <v>546439</v>
      </c>
      <c r="BP98" s="516">
        <v>728894</v>
      </c>
      <c r="BQ98" s="516">
        <v>1521638</v>
      </c>
      <c r="BR98" s="516">
        <v>290005</v>
      </c>
      <c r="BS98" s="516">
        <v>0</v>
      </c>
      <c r="BT98" s="516">
        <v>0</v>
      </c>
      <c r="BU98" s="516">
        <v>489759</v>
      </c>
      <c r="BV98" s="516">
        <v>325789</v>
      </c>
      <c r="BW98" s="516">
        <v>87337</v>
      </c>
      <c r="BX98" s="516">
        <v>1225970</v>
      </c>
      <c r="BY98" s="516">
        <v>0</v>
      </c>
      <c r="BZ98" s="516">
        <v>0</v>
      </c>
      <c r="CA98" s="516">
        <v>1176694</v>
      </c>
      <c r="CB98" s="516">
        <v>0</v>
      </c>
    </row>
    <row r="99" spans="1:80" x14ac:dyDescent="0.25">
      <c r="A99" s="860">
        <v>333</v>
      </c>
      <c r="B99" s="846">
        <v>333</v>
      </c>
      <c r="C99" s="860" t="s">
        <v>251</v>
      </c>
      <c r="D99" s="860" t="s">
        <v>483</v>
      </c>
      <c r="E99" s="516">
        <v>235624</v>
      </c>
      <c r="F99" s="516">
        <v>22071086</v>
      </c>
      <c r="G99" s="516">
        <v>0</v>
      </c>
      <c r="H99" s="516">
        <v>36717139</v>
      </c>
      <c r="I99" s="516">
        <v>3901017</v>
      </c>
      <c r="J99" s="516">
        <v>402452</v>
      </c>
      <c r="K99" s="516">
        <v>2735597</v>
      </c>
      <c r="L99" s="516">
        <v>820632</v>
      </c>
      <c r="M99" s="516">
        <v>14588969</v>
      </c>
      <c r="N99" s="516">
        <v>203487</v>
      </c>
      <c r="O99" s="516">
        <v>455762</v>
      </c>
      <c r="P99" s="516">
        <v>446290</v>
      </c>
      <c r="Q99" s="516">
        <v>15134886</v>
      </c>
      <c r="R99" s="516">
        <v>14160948</v>
      </c>
      <c r="S99" s="516">
        <v>2692150</v>
      </c>
      <c r="T99" s="516">
        <v>10586742</v>
      </c>
      <c r="U99" s="516">
        <v>0</v>
      </c>
      <c r="V99" s="516">
        <v>17926247</v>
      </c>
      <c r="W99" s="516">
        <v>167688</v>
      </c>
      <c r="X99" s="516">
        <v>8271871</v>
      </c>
      <c r="Y99" s="516">
        <v>11521490</v>
      </c>
      <c r="Z99" s="516">
        <v>4011088</v>
      </c>
      <c r="AA99" s="516">
        <v>1594469</v>
      </c>
      <c r="AB99" s="516">
        <v>2918273</v>
      </c>
      <c r="AC99" s="516">
        <v>1019523</v>
      </c>
      <c r="AD99" s="516">
        <v>230847</v>
      </c>
      <c r="AE99" s="516">
        <v>1002200</v>
      </c>
      <c r="AF99" s="516">
        <v>610116</v>
      </c>
      <c r="AG99" s="516">
        <v>131506</v>
      </c>
      <c r="AH99" s="516">
        <v>62627</v>
      </c>
      <c r="AI99" s="516">
        <v>141351</v>
      </c>
      <c r="AJ99" s="516">
        <v>1653811</v>
      </c>
      <c r="AK99" s="516">
        <v>2975628</v>
      </c>
      <c r="AL99" s="516">
        <v>225247</v>
      </c>
      <c r="AM99" s="516">
        <v>112065</v>
      </c>
      <c r="AN99" s="516">
        <v>10884015</v>
      </c>
      <c r="AO99" s="516">
        <v>11002254</v>
      </c>
      <c r="AP99" s="516">
        <v>504156</v>
      </c>
      <c r="AQ99" s="516">
        <v>10095618</v>
      </c>
      <c r="AR99" s="516">
        <v>24572400</v>
      </c>
      <c r="AS99" s="516">
        <v>2451039</v>
      </c>
      <c r="AT99" s="516">
        <v>372694</v>
      </c>
      <c r="AU99" s="516">
        <v>2356970</v>
      </c>
      <c r="AV99" s="516">
        <v>5085737</v>
      </c>
      <c r="AW99" s="516">
        <v>153356</v>
      </c>
      <c r="AX99" s="516">
        <v>194653</v>
      </c>
      <c r="AY99" s="516">
        <v>2669276</v>
      </c>
      <c r="AZ99" s="516">
        <v>1715339</v>
      </c>
      <c r="BA99" s="516">
        <v>1527944</v>
      </c>
      <c r="BB99" s="516">
        <v>60530</v>
      </c>
      <c r="BC99" s="516">
        <v>0</v>
      </c>
      <c r="BD99" s="516">
        <v>0</v>
      </c>
      <c r="BE99" s="516">
        <v>363569</v>
      </c>
      <c r="BF99" s="516">
        <v>0</v>
      </c>
      <c r="BG99" s="516">
        <v>415422</v>
      </c>
      <c r="BH99" s="516">
        <v>137107</v>
      </c>
      <c r="BI99" s="516">
        <v>2719982</v>
      </c>
      <c r="BJ99" s="516">
        <v>3025371</v>
      </c>
      <c r="BK99" s="516">
        <v>0</v>
      </c>
      <c r="BL99" s="516">
        <v>2797965</v>
      </c>
      <c r="BM99" s="516">
        <v>6017687</v>
      </c>
      <c r="BN99" s="516">
        <v>125766</v>
      </c>
      <c r="BO99" s="516">
        <v>2674936</v>
      </c>
      <c r="BP99" s="516">
        <v>3049048</v>
      </c>
      <c r="BQ99" s="516">
        <v>1472991</v>
      </c>
      <c r="BR99" s="516">
        <v>1182647</v>
      </c>
      <c r="BS99" s="516">
        <v>2628354</v>
      </c>
      <c r="BT99" s="516">
        <v>13332238</v>
      </c>
      <c r="BU99" s="516">
        <v>1830919</v>
      </c>
      <c r="BV99" s="516">
        <v>1161855</v>
      </c>
      <c r="BW99" s="516">
        <v>954348</v>
      </c>
      <c r="BX99" s="516">
        <v>935465</v>
      </c>
      <c r="BY99" s="516">
        <v>156637</v>
      </c>
      <c r="BZ99" s="516">
        <v>189360</v>
      </c>
      <c r="CA99" s="516">
        <v>12775781</v>
      </c>
      <c r="CB99" s="516">
        <v>125756</v>
      </c>
    </row>
    <row r="100" spans="1:80" x14ac:dyDescent="0.25">
      <c r="A100" s="860">
        <v>334</v>
      </c>
      <c r="B100" s="846">
        <v>334</v>
      </c>
      <c r="C100" s="860" t="s">
        <v>343</v>
      </c>
      <c r="D100" s="860" t="s">
        <v>484</v>
      </c>
      <c r="E100" s="516">
        <v>2955470</v>
      </c>
      <c r="F100" s="516">
        <v>56887824</v>
      </c>
      <c r="G100" s="516">
        <v>0</v>
      </c>
      <c r="H100" s="516">
        <v>164583839</v>
      </c>
      <c r="I100" s="516">
        <v>10592174</v>
      </c>
      <c r="J100" s="516">
        <v>145170</v>
      </c>
      <c r="K100" s="516">
        <v>1310889</v>
      </c>
      <c r="L100" s="516">
        <v>3522855</v>
      </c>
      <c r="M100" s="516">
        <v>249877796</v>
      </c>
      <c r="N100" s="516">
        <v>148749</v>
      </c>
      <c r="O100" s="516">
        <v>2173489</v>
      </c>
      <c r="P100" s="516">
        <v>4291086</v>
      </c>
      <c r="Q100" s="516">
        <v>143434792</v>
      </c>
      <c r="R100" s="516">
        <v>46954652</v>
      </c>
      <c r="S100" s="516">
        <v>10773202</v>
      </c>
      <c r="T100" s="516">
        <v>26500378</v>
      </c>
      <c r="U100" s="516">
        <v>0</v>
      </c>
      <c r="V100" s="516">
        <v>40052433</v>
      </c>
      <c r="W100" s="516">
        <v>9065</v>
      </c>
      <c r="X100" s="516">
        <v>31915702</v>
      </c>
      <c r="Y100" s="516">
        <v>89938877</v>
      </c>
      <c r="Z100" s="516">
        <v>13084037</v>
      </c>
      <c r="AA100" s="516">
        <v>17531945</v>
      </c>
      <c r="AB100" s="516">
        <v>8985016</v>
      </c>
      <c r="AC100" s="516">
        <v>752982</v>
      </c>
      <c r="AD100" s="516">
        <v>892076</v>
      </c>
      <c r="AE100" s="516">
        <v>3084468</v>
      </c>
      <c r="AF100" s="516">
        <v>5018750</v>
      </c>
      <c r="AG100" s="516">
        <v>663698</v>
      </c>
      <c r="AH100" s="516">
        <v>145137</v>
      </c>
      <c r="AI100" s="516">
        <v>1865637</v>
      </c>
      <c r="AJ100" s="516">
        <v>2194578</v>
      </c>
      <c r="AK100" s="516">
        <v>18548719</v>
      </c>
      <c r="AL100" s="516">
        <v>1497910</v>
      </c>
      <c r="AM100" s="516">
        <v>37458</v>
      </c>
      <c r="AN100" s="516">
        <v>81854795</v>
      </c>
      <c r="AO100" s="516">
        <v>76417296</v>
      </c>
      <c r="AP100" s="516">
        <v>470036</v>
      </c>
      <c r="AQ100" s="516">
        <v>8676932</v>
      </c>
      <c r="AR100" s="516">
        <v>99056710</v>
      </c>
      <c r="AS100" s="516">
        <v>3852497</v>
      </c>
      <c r="AT100" s="516">
        <v>3122672</v>
      </c>
      <c r="AU100" s="516">
        <v>9420663</v>
      </c>
      <c r="AV100" s="516">
        <v>33752694</v>
      </c>
      <c r="AW100" s="516">
        <v>499184</v>
      </c>
      <c r="AX100" s="516">
        <v>1216324</v>
      </c>
      <c r="AY100" s="516">
        <v>15053966</v>
      </c>
      <c r="AZ100" s="516">
        <v>7924560</v>
      </c>
      <c r="BA100" s="516">
        <v>8611806</v>
      </c>
      <c r="BB100" s="516">
        <v>25799</v>
      </c>
      <c r="BC100" s="516">
        <v>0</v>
      </c>
      <c r="BD100" s="516">
        <v>0</v>
      </c>
      <c r="BE100" s="516">
        <v>103316</v>
      </c>
      <c r="BF100" s="516">
        <v>0</v>
      </c>
      <c r="BG100" s="516">
        <v>489803</v>
      </c>
      <c r="BH100" s="516">
        <v>125775</v>
      </c>
      <c r="BI100" s="516">
        <v>6224693</v>
      </c>
      <c r="BJ100" s="516">
        <v>8948183</v>
      </c>
      <c r="BK100" s="516">
        <v>0</v>
      </c>
      <c r="BL100" s="516">
        <v>16101602</v>
      </c>
      <c r="BM100" s="516">
        <v>8942988</v>
      </c>
      <c r="BN100" s="516">
        <v>154058</v>
      </c>
      <c r="BO100" s="516">
        <v>16950182</v>
      </c>
      <c r="BP100" s="516">
        <v>9141081</v>
      </c>
      <c r="BQ100" s="516">
        <v>1250506</v>
      </c>
      <c r="BR100" s="516">
        <v>2972058</v>
      </c>
      <c r="BS100" s="516">
        <v>1191084</v>
      </c>
      <c r="BT100" s="516">
        <v>141033863</v>
      </c>
      <c r="BU100" s="516">
        <v>4819048</v>
      </c>
      <c r="BV100" s="516">
        <v>5815827</v>
      </c>
      <c r="BW100" s="516">
        <v>1752003</v>
      </c>
      <c r="BX100" s="516">
        <v>3013101</v>
      </c>
      <c r="BY100" s="516">
        <v>43270</v>
      </c>
      <c r="BZ100" s="516">
        <v>67343</v>
      </c>
      <c r="CA100" s="516">
        <v>61037717</v>
      </c>
      <c r="CB100" s="516">
        <v>226559</v>
      </c>
    </row>
    <row r="101" spans="1:80" x14ac:dyDescent="0.25">
      <c r="A101" s="860">
        <v>335</v>
      </c>
      <c r="B101" s="846">
        <v>335</v>
      </c>
      <c r="C101" s="860" t="s">
        <v>124</v>
      </c>
      <c r="D101" s="860" t="s">
        <v>485</v>
      </c>
      <c r="E101" s="516">
        <v>0</v>
      </c>
      <c r="F101" s="516">
        <v>0</v>
      </c>
      <c r="G101" s="516">
        <v>0</v>
      </c>
      <c r="H101" s="516">
        <v>0</v>
      </c>
      <c r="I101" s="516">
        <v>0</v>
      </c>
      <c r="J101" s="516">
        <v>0</v>
      </c>
      <c r="K101" s="516">
        <v>0</v>
      </c>
      <c r="L101" s="516">
        <v>0</v>
      </c>
      <c r="M101" s="516">
        <v>0</v>
      </c>
      <c r="N101" s="516">
        <v>0</v>
      </c>
      <c r="O101" s="516">
        <v>0</v>
      </c>
      <c r="P101" s="516">
        <v>0</v>
      </c>
      <c r="Q101" s="516">
        <v>47424</v>
      </c>
      <c r="R101" s="516">
        <v>7549</v>
      </c>
      <c r="S101" s="516">
        <v>0</v>
      </c>
      <c r="T101" s="516">
        <v>0</v>
      </c>
      <c r="U101" s="516">
        <v>0</v>
      </c>
      <c r="V101" s="516">
        <v>34038</v>
      </c>
      <c r="W101" s="516">
        <v>0</v>
      </c>
      <c r="X101" s="516">
        <v>0</v>
      </c>
      <c r="Y101" s="516">
        <v>0</v>
      </c>
      <c r="Z101" s="516">
        <v>0</v>
      </c>
      <c r="AA101" s="516">
        <v>0</v>
      </c>
      <c r="AB101" s="516">
        <v>0</v>
      </c>
      <c r="AC101" s="516">
        <v>0</v>
      </c>
      <c r="AD101" s="516">
        <v>0</v>
      </c>
      <c r="AE101" s="516">
        <v>0</v>
      </c>
      <c r="AF101" s="516">
        <v>0</v>
      </c>
      <c r="AG101" s="516">
        <v>0</v>
      </c>
      <c r="AH101" s="516">
        <v>0</v>
      </c>
      <c r="AI101" s="516">
        <v>0</v>
      </c>
      <c r="AJ101" s="516">
        <v>0</v>
      </c>
      <c r="AK101" s="516">
        <v>0</v>
      </c>
      <c r="AL101" s="516">
        <v>0</v>
      </c>
      <c r="AM101" s="516">
        <v>0</v>
      </c>
      <c r="AN101" s="516">
        <v>0</v>
      </c>
      <c r="AO101" s="516">
        <v>0</v>
      </c>
      <c r="AP101" s="516">
        <v>0</v>
      </c>
      <c r="AQ101" s="516">
        <v>0</v>
      </c>
      <c r="AR101" s="516">
        <v>0</v>
      </c>
      <c r="AS101" s="516">
        <v>9538</v>
      </c>
      <c r="AT101" s="516">
        <v>0</v>
      </c>
      <c r="AU101" s="516">
        <v>0</v>
      </c>
      <c r="AV101" s="516">
        <v>10</v>
      </c>
      <c r="AW101" s="516">
        <v>0</v>
      </c>
      <c r="AX101" s="516">
        <v>0</v>
      </c>
      <c r="AY101" s="516">
        <v>0</v>
      </c>
      <c r="AZ101" s="516">
        <v>0</v>
      </c>
      <c r="BA101" s="516">
        <v>0</v>
      </c>
      <c r="BB101" s="516">
        <v>0</v>
      </c>
      <c r="BC101" s="516">
        <v>0</v>
      </c>
      <c r="BD101" s="516">
        <v>0</v>
      </c>
      <c r="BE101" s="516">
        <v>0</v>
      </c>
      <c r="BF101" s="516">
        <v>0</v>
      </c>
      <c r="BG101" s="516">
        <v>0</v>
      </c>
      <c r="BH101" s="516">
        <v>0</v>
      </c>
      <c r="BI101" s="516">
        <v>0</v>
      </c>
      <c r="BJ101" s="516">
        <v>0</v>
      </c>
      <c r="BK101" s="516">
        <v>0</v>
      </c>
      <c r="BL101" s="516">
        <v>148</v>
      </c>
      <c r="BM101" s="516">
        <v>0</v>
      </c>
      <c r="BN101" s="516">
        <v>0</v>
      </c>
      <c r="BO101" s="516">
        <v>0</v>
      </c>
      <c r="BP101" s="516">
        <v>0</v>
      </c>
      <c r="BQ101" s="516">
        <v>0</v>
      </c>
      <c r="BR101" s="516">
        <v>0</v>
      </c>
      <c r="BS101" s="516">
        <v>0</v>
      </c>
      <c r="BT101" s="516">
        <v>0</v>
      </c>
      <c r="BU101" s="516">
        <v>0</v>
      </c>
      <c r="BV101" s="516">
        <v>0</v>
      </c>
      <c r="BW101" s="516">
        <v>0</v>
      </c>
      <c r="BX101" s="516">
        <v>0</v>
      </c>
      <c r="BY101" s="516">
        <v>0</v>
      </c>
      <c r="BZ101" s="516">
        <v>0</v>
      </c>
      <c r="CA101" s="516">
        <v>0</v>
      </c>
      <c r="CB101" s="516">
        <v>0</v>
      </c>
    </row>
    <row r="102" spans="1:80" x14ac:dyDescent="0.25">
      <c r="A102" s="860">
        <v>336</v>
      </c>
      <c r="B102" s="846">
        <v>336</v>
      </c>
      <c r="C102" s="860" t="s">
        <v>736</v>
      </c>
      <c r="D102" s="860" t="s">
        <v>486</v>
      </c>
      <c r="E102" s="516">
        <v>119369</v>
      </c>
      <c r="F102" s="516">
        <v>456828</v>
      </c>
      <c r="G102" s="516">
        <v>0</v>
      </c>
      <c r="H102" s="516">
        <v>12762239</v>
      </c>
      <c r="I102" s="516">
        <v>241694</v>
      </c>
      <c r="J102" s="516">
        <v>15715</v>
      </c>
      <c r="K102" s="516">
        <v>22605</v>
      </c>
      <c r="L102" s="516">
        <v>74735</v>
      </c>
      <c r="M102" s="516">
        <v>11916616</v>
      </c>
      <c r="N102" s="516">
        <v>13408</v>
      </c>
      <c r="O102" s="516">
        <v>39107</v>
      </c>
      <c r="P102" s="516">
        <v>50573</v>
      </c>
      <c r="Q102" s="516">
        <v>4995989</v>
      </c>
      <c r="R102" s="516">
        <v>3412714</v>
      </c>
      <c r="S102" s="516">
        <v>483033</v>
      </c>
      <c r="T102" s="516">
        <v>1595901</v>
      </c>
      <c r="U102" s="516">
        <v>0</v>
      </c>
      <c r="V102" s="516">
        <v>4727578</v>
      </c>
      <c r="W102" s="516">
        <v>335</v>
      </c>
      <c r="X102" s="516">
        <v>2459859</v>
      </c>
      <c r="Y102" s="516">
        <v>3474195</v>
      </c>
      <c r="Z102" s="516">
        <v>1025179</v>
      </c>
      <c r="AA102" s="516">
        <v>147192</v>
      </c>
      <c r="AB102" s="516">
        <v>420942</v>
      </c>
      <c r="AC102" s="516">
        <v>2926</v>
      </c>
      <c r="AD102" s="516">
        <v>42306</v>
      </c>
      <c r="AE102" s="516">
        <v>64984</v>
      </c>
      <c r="AF102" s="516">
        <v>550055</v>
      </c>
      <c r="AG102" s="516">
        <v>8298</v>
      </c>
      <c r="AH102" s="516">
        <v>1262</v>
      </c>
      <c r="AI102" s="516">
        <v>441</v>
      </c>
      <c r="AJ102" s="516">
        <v>81178</v>
      </c>
      <c r="AK102" s="516">
        <v>728997</v>
      </c>
      <c r="AL102" s="516">
        <v>5241</v>
      </c>
      <c r="AM102" s="516">
        <v>1477</v>
      </c>
      <c r="AN102" s="516">
        <v>3682645</v>
      </c>
      <c r="AO102" s="516">
        <v>1177565</v>
      </c>
      <c r="AP102" s="516">
        <v>5429</v>
      </c>
      <c r="AQ102" s="516">
        <v>660172</v>
      </c>
      <c r="AR102" s="516">
        <v>5501886</v>
      </c>
      <c r="AS102" s="516">
        <v>179138</v>
      </c>
      <c r="AT102" s="516">
        <v>96717</v>
      </c>
      <c r="AU102" s="516">
        <v>390012</v>
      </c>
      <c r="AV102" s="516">
        <v>1737191</v>
      </c>
      <c r="AW102" s="516">
        <v>44927</v>
      </c>
      <c r="AX102" s="516">
        <v>33289</v>
      </c>
      <c r="AY102" s="516">
        <v>139793</v>
      </c>
      <c r="AZ102" s="516">
        <v>147038</v>
      </c>
      <c r="BA102" s="516">
        <v>224306</v>
      </c>
      <c r="BB102" s="516">
        <v>1462</v>
      </c>
      <c r="BC102" s="516">
        <v>0</v>
      </c>
      <c r="BD102" s="516">
        <v>0</v>
      </c>
      <c r="BE102" s="516">
        <v>4263</v>
      </c>
      <c r="BF102" s="516">
        <v>0</v>
      </c>
      <c r="BG102" s="516">
        <v>13307</v>
      </c>
      <c r="BH102" s="516">
        <v>2572</v>
      </c>
      <c r="BI102" s="516">
        <v>64975</v>
      </c>
      <c r="BJ102" s="516">
        <v>144449</v>
      </c>
      <c r="BK102" s="516">
        <v>0</v>
      </c>
      <c r="BL102" s="516">
        <v>276461</v>
      </c>
      <c r="BM102" s="516">
        <v>142948</v>
      </c>
      <c r="BN102" s="516">
        <v>0</v>
      </c>
      <c r="BO102" s="516">
        <v>422895</v>
      </c>
      <c r="BP102" s="516">
        <v>742257</v>
      </c>
      <c r="BQ102" s="516">
        <v>21947</v>
      </c>
      <c r="BR102" s="516">
        <v>45136</v>
      </c>
      <c r="BS102" s="516">
        <v>32010</v>
      </c>
      <c r="BT102" s="516">
        <v>2545955</v>
      </c>
      <c r="BU102" s="516">
        <v>153808</v>
      </c>
      <c r="BV102" s="516">
        <v>130216</v>
      </c>
      <c r="BW102" s="516">
        <v>144961</v>
      </c>
      <c r="BX102" s="516">
        <v>78335</v>
      </c>
      <c r="BY102" s="516">
        <v>0</v>
      </c>
      <c r="BZ102" s="516">
        <v>0</v>
      </c>
      <c r="CA102" s="516">
        <v>2345046</v>
      </c>
      <c r="CB102" s="516">
        <v>5546</v>
      </c>
    </row>
    <row r="103" spans="1:80" x14ac:dyDescent="0.25">
      <c r="A103" s="860">
        <v>337</v>
      </c>
      <c r="B103" s="846">
        <v>337</v>
      </c>
      <c r="C103" s="860" t="s">
        <v>321</v>
      </c>
      <c r="D103" s="860" t="s">
        <v>487</v>
      </c>
      <c r="E103" s="516">
        <v>165265</v>
      </c>
      <c r="F103" s="516">
        <v>13019995</v>
      </c>
      <c r="G103" s="516">
        <v>0</v>
      </c>
      <c r="H103" s="516">
        <v>22696325</v>
      </c>
      <c r="I103" s="516">
        <v>862742</v>
      </c>
      <c r="J103" s="516">
        <v>0</v>
      </c>
      <c r="K103" s="516">
        <v>0</v>
      </c>
      <c r="L103" s="516">
        <v>1247948</v>
      </c>
      <c r="M103" s="516">
        <v>64715825</v>
      </c>
      <c r="N103" s="516">
        <v>0</v>
      </c>
      <c r="O103" s="516">
        <v>18475</v>
      </c>
      <c r="P103" s="516">
        <v>437231</v>
      </c>
      <c r="Q103" s="516">
        <v>25998532</v>
      </c>
      <c r="R103" s="516">
        <v>12173105</v>
      </c>
      <c r="S103" s="516">
        <v>2044239</v>
      </c>
      <c r="T103" s="516">
        <v>2389854</v>
      </c>
      <c r="U103" s="516">
        <v>0</v>
      </c>
      <c r="V103" s="516">
        <v>10534163</v>
      </c>
      <c r="W103" s="516">
        <v>0</v>
      </c>
      <c r="X103" s="516">
        <v>5999400</v>
      </c>
      <c r="Y103" s="516">
        <v>11027203</v>
      </c>
      <c r="Z103" s="516">
        <v>5654885</v>
      </c>
      <c r="AA103" s="516">
        <v>126854</v>
      </c>
      <c r="AB103" s="516">
        <v>1196141</v>
      </c>
      <c r="AC103" s="516">
        <v>0</v>
      </c>
      <c r="AD103" s="516">
        <v>0</v>
      </c>
      <c r="AE103" s="516">
        <v>83241</v>
      </c>
      <c r="AF103" s="516">
        <v>2041217</v>
      </c>
      <c r="AG103" s="516">
        <v>5656</v>
      </c>
      <c r="AH103" s="516">
        <v>0</v>
      </c>
      <c r="AI103" s="516">
        <v>0</v>
      </c>
      <c r="AJ103" s="516">
        <v>0</v>
      </c>
      <c r="AK103" s="516">
        <v>5826792</v>
      </c>
      <c r="AL103" s="516">
        <v>0</v>
      </c>
      <c r="AM103" s="516">
        <v>0</v>
      </c>
      <c r="AN103" s="516">
        <v>10940597</v>
      </c>
      <c r="AO103" s="516">
        <v>1667097</v>
      </c>
      <c r="AP103" s="516">
        <v>0</v>
      </c>
      <c r="AQ103" s="516">
        <v>653338</v>
      </c>
      <c r="AR103" s="516">
        <v>6064358</v>
      </c>
      <c r="AS103" s="516">
        <v>370531</v>
      </c>
      <c r="AT103" s="516">
        <v>377628</v>
      </c>
      <c r="AU103" s="516">
        <v>2879121</v>
      </c>
      <c r="AV103" s="516">
        <v>779678</v>
      </c>
      <c r="AW103" s="516">
        <v>0</v>
      </c>
      <c r="AX103" s="516">
        <v>32313</v>
      </c>
      <c r="AY103" s="516">
        <v>1900283</v>
      </c>
      <c r="AZ103" s="516">
        <v>673167</v>
      </c>
      <c r="BA103" s="516">
        <v>676585</v>
      </c>
      <c r="BB103" s="516">
        <v>0</v>
      </c>
      <c r="BC103" s="516">
        <v>0</v>
      </c>
      <c r="BD103" s="516">
        <v>0</v>
      </c>
      <c r="BE103" s="516">
        <v>0</v>
      </c>
      <c r="BF103" s="516">
        <v>0</v>
      </c>
      <c r="BG103" s="516">
        <v>0</v>
      </c>
      <c r="BH103" s="516">
        <v>0</v>
      </c>
      <c r="BI103" s="516">
        <v>125165</v>
      </c>
      <c r="BJ103" s="516">
        <v>59991</v>
      </c>
      <c r="BK103" s="516">
        <v>0</v>
      </c>
      <c r="BL103" s="516">
        <v>1955000</v>
      </c>
      <c r="BM103" s="516">
        <v>0</v>
      </c>
      <c r="BN103" s="516">
        <v>0</v>
      </c>
      <c r="BO103" s="516">
        <v>1116014</v>
      </c>
      <c r="BP103" s="516">
        <v>0</v>
      </c>
      <c r="BQ103" s="516">
        <v>12019</v>
      </c>
      <c r="BR103" s="516">
        <v>0</v>
      </c>
      <c r="BS103" s="516">
        <v>0</v>
      </c>
      <c r="BT103" s="516">
        <v>6972717</v>
      </c>
      <c r="BU103" s="516">
        <v>556156</v>
      </c>
      <c r="BV103" s="516">
        <v>341440</v>
      </c>
      <c r="BW103" s="516">
        <v>314419</v>
      </c>
      <c r="BX103" s="516">
        <v>0</v>
      </c>
      <c r="BY103" s="516">
        <v>0</v>
      </c>
      <c r="BZ103" s="516">
        <v>0</v>
      </c>
      <c r="CA103" s="516">
        <v>9645099</v>
      </c>
      <c r="CB103" s="516">
        <v>54669</v>
      </c>
    </row>
    <row r="104" spans="1:80" x14ac:dyDescent="0.25">
      <c r="A104" s="860">
        <v>338</v>
      </c>
      <c r="B104" s="846">
        <v>338</v>
      </c>
      <c r="C104" s="860" t="s">
        <v>123</v>
      </c>
      <c r="D104" s="860" t="s">
        <v>488</v>
      </c>
      <c r="E104" s="516">
        <v>843447</v>
      </c>
      <c r="F104" s="516">
        <v>15207605</v>
      </c>
      <c r="G104" s="516">
        <v>0</v>
      </c>
      <c r="H104" s="516">
        <v>47608183</v>
      </c>
      <c r="I104" s="516">
        <v>1645911</v>
      </c>
      <c r="J104" s="516">
        <v>365243</v>
      </c>
      <c r="K104" s="516">
        <v>371943</v>
      </c>
      <c r="L104" s="516">
        <v>2085310</v>
      </c>
      <c r="M104" s="516">
        <v>126037724</v>
      </c>
      <c r="N104" s="516">
        <v>13408</v>
      </c>
      <c r="O104" s="516">
        <v>936427</v>
      </c>
      <c r="P104" s="516">
        <v>737470</v>
      </c>
      <c r="Q104" s="516">
        <v>49510787</v>
      </c>
      <c r="R104" s="516">
        <v>23678644</v>
      </c>
      <c r="S104" s="516">
        <v>4306075</v>
      </c>
      <c r="T104" s="516">
        <v>14647691</v>
      </c>
      <c r="U104" s="516">
        <v>0</v>
      </c>
      <c r="V104" s="516">
        <v>27244943</v>
      </c>
      <c r="W104" s="516">
        <v>335</v>
      </c>
      <c r="X104" s="516">
        <v>10227668</v>
      </c>
      <c r="Y104" s="516">
        <v>24519820</v>
      </c>
      <c r="Z104" s="516">
        <v>8803512</v>
      </c>
      <c r="AA104" s="516">
        <v>391487</v>
      </c>
      <c r="AB104" s="516">
        <v>6528482</v>
      </c>
      <c r="AC104" s="516">
        <v>2926</v>
      </c>
      <c r="AD104" s="516">
        <v>42306</v>
      </c>
      <c r="AE104" s="516">
        <v>307272</v>
      </c>
      <c r="AF104" s="516">
        <v>2581086</v>
      </c>
      <c r="AG104" s="516">
        <v>8902</v>
      </c>
      <c r="AH104" s="516">
        <v>1262</v>
      </c>
      <c r="AI104" s="516">
        <v>441</v>
      </c>
      <c r="AJ104" s="516">
        <v>570811</v>
      </c>
      <c r="AK104" s="516">
        <v>10540297</v>
      </c>
      <c r="AL104" s="516">
        <v>6141</v>
      </c>
      <c r="AM104" s="516">
        <v>1477</v>
      </c>
      <c r="AN104" s="516">
        <v>16127370</v>
      </c>
      <c r="AO104" s="516">
        <v>9546403</v>
      </c>
      <c r="AP104" s="516">
        <v>24029</v>
      </c>
      <c r="AQ104" s="516">
        <v>1566304</v>
      </c>
      <c r="AR104" s="516">
        <v>32077931</v>
      </c>
      <c r="AS104" s="516">
        <v>1186172</v>
      </c>
      <c r="AT104" s="516">
        <v>689146</v>
      </c>
      <c r="AU104" s="516">
        <v>5035873</v>
      </c>
      <c r="AV104" s="516">
        <v>14601853</v>
      </c>
      <c r="AW104" s="516">
        <v>46095</v>
      </c>
      <c r="AX104" s="516">
        <v>137616</v>
      </c>
      <c r="AY104" s="516">
        <v>3260627</v>
      </c>
      <c r="AZ104" s="516">
        <v>1888845</v>
      </c>
      <c r="BA104" s="516">
        <v>2768857</v>
      </c>
      <c r="BB104" s="516">
        <v>1462</v>
      </c>
      <c r="BC104" s="516">
        <v>0</v>
      </c>
      <c r="BD104" s="516">
        <v>0</v>
      </c>
      <c r="BE104" s="516">
        <v>4263</v>
      </c>
      <c r="BF104" s="516">
        <v>0</v>
      </c>
      <c r="BG104" s="516">
        <v>30525</v>
      </c>
      <c r="BH104" s="516">
        <v>2572</v>
      </c>
      <c r="BI104" s="516">
        <v>3704971</v>
      </c>
      <c r="BJ104" s="516">
        <v>1199077</v>
      </c>
      <c r="BK104" s="516">
        <v>0</v>
      </c>
      <c r="BL104" s="516">
        <v>3578440</v>
      </c>
      <c r="BM104" s="516">
        <v>2929520</v>
      </c>
      <c r="BN104" s="516">
        <v>0</v>
      </c>
      <c r="BO104" s="516">
        <v>3521232</v>
      </c>
      <c r="BP104" s="516">
        <v>1135477</v>
      </c>
      <c r="BQ104" s="516">
        <v>218749</v>
      </c>
      <c r="BR104" s="516">
        <v>620336</v>
      </c>
      <c r="BS104" s="516">
        <v>113079</v>
      </c>
      <c r="BT104" s="516">
        <v>14316613</v>
      </c>
      <c r="BU104" s="516">
        <v>1271115</v>
      </c>
      <c r="BV104" s="516">
        <v>4340579</v>
      </c>
      <c r="BW104" s="516">
        <v>514660</v>
      </c>
      <c r="BX104" s="516">
        <v>109764</v>
      </c>
      <c r="BY104" s="516">
        <v>0</v>
      </c>
      <c r="BZ104" s="516">
        <v>0</v>
      </c>
      <c r="CA104" s="516">
        <v>20826889</v>
      </c>
      <c r="CB104" s="516">
        <v>57667</v>
      </c>
    </row>
    <row r="105" spans="1:80" x14ac:dyDescent="0.25">
      <c r="A105" s="860">
        <v>339</v>
      </c>
      <c r="B105" s="846">
        <v>339</v>
      </c>
      <c r="C105" s="860" t="s">
        <v>257</v>
      </c>
      <c r="D105" s="860" t="s">
        <v>489</v>
      </c>
      <c r="E105" s="516">
        <v>42673</v>
      </c>
      <c r="F105" s="516">
        <v>455094</v>
      </c>
      <c r="G105" s="516">
        <v>0</v>
      </c>
      <c r="H105" s="516">
        <v>2068240</v>
      </c>
      <c r="I105" s="516">
        <v>1095280</v>
      </c>
      <c r="J105" s="516">
        <v>3124</v>
      </c>
      <c r="K105" s="516">
        <v>3259</v>
      </c>
      <c r="L105" s="516">
        <v>171520</v>
      </c>
      <c r="M105" s="516">
        <v>1158451</v>
      </c>
      <c r="N105" s="516">
        <v>0</v>
      </c>
      <c r="O105" s="516">
        <v>108188</v>
      </c>
      <c r="P105" s="516">
        <v>176338</v>
      </c>
      <c r="Q105" s="516">
        <v>3312218</v>
      </c>
      <c r="R105" s="516">
        <v>619788</v>
      </c>
      <c r="S105" s="516">
        <v>228676</v>
      </c>
      <c r="T105" s="516">
        <v>2116671</v>
      </c>
      <c r="U105" s="516">
        <v>0</v>
      </c>
      <c r="V105" s="516">
        <v>1716064</v>
      </c>
      <c r="W105" s="516">
        <v>0</v>
      </c>
      <c r="X105" s="516">
        <v>177845</v>
      </c>
      <c r="Y105" s="516">
        <v>2564549</v>
      </c>
      <c r="Z105" s="516">
        <v>1989889</v>
      </c>
      <c r="AA105" s="516">
        <v>468059</v>
      </c>
      <c r="AB105" s="516">
        <v>826747</v>
      </c>
      <c r="AC105" s="516">
        <v>75237</v>
      </c>
      <c r="AD105" s="516">
        <v>0</v>
      </c>
      <c r="AE105" s="516">
        <v>39582</v>
      </c>
      <c r="AF105" s="516">
        <v>407476</v>
      </c>
      <c r="AG105" s="516">
        <v>0</v>
      </c>
      <c r="AH105" s="516">
        <v>0</v>
      </c>
      <c r="AI105" s="516">
        <v>0</v>
      </c>
      <c r="AJ105" s="516">
        <v>2656</v>
      </c>
      <c r="AK105" s="516">
        <v>210130</v>
      </c>
      <c r="AL105" s="516">
        <v>0</v>
      </c>
      <c r="AM105" s="516">
        <v>600</v>
      </c>
      <c r="AN105" s="516">
        <v>4133148</v>
      </c>
      <c r="AO105" s="516">
        <v>1530008</v>
      </c>
      <c r="AP105" s="516">
        <v>900</v>
      </c>
      <c r="AQ105" s="516">
        <v>16140</v>
      </c>
      <c r="AR105" s="516">
        <v>2440171</v>
      </c>
      <c r="AS105" s="516">
        <v>267372</v>
      </c>
      <c r="AT105" s="516">
        <v>20038</v>
      </c>
      <c r="AU105" s="516">
        <v>770010</v>
      </c>
      <c r="AV105" s="516">
        <v>198419</v>
      </c>
      <c r="AW105" s="516">
        <v>11718</v>
      </c>
      <c r="AX105" s="516">
        <v>21295</v>
      </c>
      <c r="AY105" s="516">
        <v>80085</v>
      </c>
      <c r="AZ105" s="516">
        <v>352608</v>
      </c>
      <c r="BA105" s="516">
        <v>464256</v>
      </c>
      <c r="BB105" s="516">
        <v>20370</v>
      </c>
      <c r="BC105" s="516">
        <v>0</v>
      </c>
      <c r="BD105" s="516">
        <v>0</v>
      </c>
      <c r="BE105" s="516">
        <v>0</v>
      </c>
      <c r="BF105" s="516">
        <v>0</v>
      </c>
      <c r="BG105" s="516">
        <v>86902</v>
      </c>
      <c r="BH105" s="516">
        <v>5395</v>
      </c>
      <c r="BI105" s="516">
        <v>210350</v>
      </c>
      <c r="BJ105" s="516">
        <v>137579</v>
      </c>
      <c r="BK105" s="516">
        <v>0</v>
      </c>
      <c r="BL105" s="516">
        <v>240673</v>
      </c>
      <c r="BM105" s="516">
        <v>257991</v>
      </c>
      <c r="BN105" s="516">
        <v>0</v>
      </c>
      <c r="BO105" s="516">
        <v>1303905</v>
      </c>
      <c r="BP105" s="516">
        <v>34905</v>
      </c>
      <c r="BQ105" s="516">
        <v>9291</v>
      </c>
      <c r="BR105" s="516">
        <v>291010</v>
      </c>
      <c r="BS105" s="516">
        <v>46589</v>
      </c>
      <c r="BT105" s="516">
        <v>2200295</v>
      </c>
      <c r="BU105" s="516">
        <v>257079</v>
      </c>
      <c r="BV105" s="516">
        <v>310235</v>
      </c>
      <c r="BW105" s="516">
        <v>91291</v>
      </c>
      <c r="BX105" s="516">
        <v>1625</v>
      </c>
      <c r="BY105" s="516">
        <v>0</v>
      </c>
      <c r="BZ105" s="516">
        <v>0</v>
      </c>
      <c r="CA105" s="516">
        <v>1479984</v>
      </c>
      <c r="CB105" s="516">
        <v>384</v>
      </c>
    </row>
    <row r="106" spans="1:80" x14ac:dyDescent="0.25">
      <c r="A106" s="860"/>
      <c r="B106" s="846">
        <v>340</v>
      </c>
      <c r="C106" s="860" t="s">
        <v>737</v>
      </c>
      <c r="D106" s="860" t="s">
        <v>490</v>
      </c>
      <c r="E106" s="516"/>
      <c r="F106" s="516"/>
      <c r="G106" s="516"/>
      <c r="H106" s="516"/>
      <c r="I106" s="516"/>
      <c r="J106" s="516"/>
      <c r="K106" s="516"/>
      <c r="L106" s="516"/>
      <c r="M106" s="516"/>
      <c r="N106" s="516"/>
      <c r="O106" s="516"/>
      <c r="P106" s="516"/>
      <c r="Q106" s="516"/>
      <c r="R106" s="516"/>
      <c r="S106" s="516"/>
      <c r="T106" s="516"/>
      <c r="U106" s="516"/>
      <c r="V106" s="516"/>
      <c r="W106" s="516"/>
      <c r="X106" s="516"/>
      <c r="Y106" s="516"/>
      <c r="Z106" s="516"/>
      <c r="AA106" s="516"/>
      <c r="AB106" s="516"/>
      <c r="AC106" s="516"/>
      <c r="AD106" s="516"/>
      <c r="AE106" s="516"/>
      <c r="AF106" s="516"/>
      <c r="AG106" s="516"/>
      <c r="AH106" s="516"/>
      <c r="AI106" s="516"/>
      <c r="AJ106" s="516"/>
      <c r="AK106" s="516"/>
      <c r="AL106" s="516"/>
      <c r="AM106" s="516"/>
      <c r="AN106" s="516"/>
      <c r="AO106" s="516"/>
      <c r="AP106" s="516"/>
      <c r="AQ106" s="516"/>
      <c r="AR106" s="516"/>
      <c r="AS106" s="516"/>
      <c r="AT106" s="516"/>
      <c r="AU106" s="516"/>
      <c r="AV106" s="516"/>
      <c r="AW106" s="516"/>
      <c r="AX106" s="516"/>
      <c r="AY106" s="516"/>
      <c r="AZ106" s="516"/>
      <c r="BA106" s="516"/>
      <c r="BB106" s="516"/>
      <c r="BC106" s="516"/>
      <c r="BD106" s="516"/>
      <c r="BE106" s="516"/>
      <c r="BF106" s="516"/>
      <c r="BG106" s="516"/>
      <c r="BH106" s="516"/>
      <c r="BI106" s="516"/>
      <c r="BJ106" s="516"/>
      <c r="BK106" s="516"/>
      <c r="BL106" s="516"/>
      <c r="BM106" s="516"/>
      <c r="BN106" s="516"/>
      <c r="BO106" s="516"/>
      <c r="BP106" s="516"/>
      <c r="BQ106" s="516"/>
      <c r="BR106" s="516"/>
      <c r="BS106" s="516"/>
      <c r="BT106" s="516"/>
      <c r="BU106" s="516"/>
      <c r="BV106" s="516"/>
      <c r="BW106" s="516"/>
      <c r="BX106" s="516"/>
      <c r="BY106" s="516"/>
      <c r="BZ106" s="516"/>
      <c r="CA106" s="516"/>
      <c r="CB106" s="516"/>
    </row>
    <row r="107" spans="1:80" x14ac:dyDescent="0.25">
      <c r="A107" s="860">
        <v>341</v>
      </c>
      <c r="B107" s="846">
        <v>341</v>
      </c>
      <c r="C107" s="860" t="s">
        <v>260</v>
      </c>
      <c r="D107" s="860" t="s">
        <v>491</v>
      </c>
      <c r="E107" s="516">
        <v>1941715</v>
      </c>
      <c r="F107" s="516">
        <v>12652307</v>
      </c>
      <c r="G107" s="516">
        <v>0</v>
      </c>
      <c r="H107" s="516">
        <v>42303068</v>
      </c>
      <c r="I107" s="516">
        <v>3454246</v>
      </c>
      <c r="J107" s="516">
        <v>248063</v>
      </c>
      <c r="K107" s="516">
        <v>1318916</v>
      </c>
      <c r="L107" s="516">
        <v>1647891</v>
      </c>
      <c r="M107" s="516">
        <v>41524496</v>
      </c>
      <c r="N107" s="516">
        <v>91385</v>
      </c>
      <c r="O107" s="516">
        <v>755447</v>
      </c>
      <c r="P107" s="516">
        <v>1330636</v>
      </c>
      <c r="Q107" s="516">
        <v>27083191</v>
      </c>
      <c r="R107" s="516">
        <v>17318039</v>
      </c>
      <c r="S107" s="516">
        <v>4923386</v>
      </c>
      <c r="T107" s="516">
        <v>11825533</v>
      </c>
      <c r="U107" s="516">
        <v>0</v>
      </c>
      <c r="V107" s="516">
        <v>19767988</v>
      </c>
      <c r="W107" s="516">
        <v>23230</v>
      </c>
      <c r="X107" s="516">
        <v>8830752</v>
      </c>
      <c r="Y107" s="516">
        <v>12529978</v>
      </c>
      <c r="Z107" s="516">
        <v>3994858</v>
      </c>
      <c r="AA107" s="516">
        <v>1337626</v>
      </c>
      <c r="AB107" s="516">
        <v>4445871</v>
      </c>
      <c r="AC107" s="516">
        <v>1098235</v>
      </c>
      <c r="AD107" s="516">
        <v>394563</v>
      </c>
      <c r="AE107" s="516">
        <v>1174573</v>
      </c>
      <c r="AF107" s="516">
        <v>3080801</v>
      </c>
      <c r="AG107" s="516">
        <v>109422</v>
      </c>
      <c r="AH107" s="516">
        <v>44483</v>
      </c>
      <c r="AI107" s="516">
        <v>77867</v>
      </c>
      <c r="AJ107" s="516">
        <v>2598534</v>
      </c>
      <c r="AK107" s="516">
        <v>6990437</v>
      </c>
      <c r="AL107" s="516">
        <v>135341</v>
      </c>
      <c r="AM107" s="516">
        <v>26834</v>
      </c>
      <c r="AN107" s="516">
        <v>12669021</v>
      </c>
      <c r="AO107" s="516">
        <v>16560724</v>
      </c>
      <c r="AP107" s="516">
        <v>288549</v>
      </c>
      <c r="AQ107" s="516">
        <v>4457270</v>
      </c>
      <c r="AR107" s="516">
        <v>18401507</v>
      </c>
      <c r="AS107" s="516">
        <v>2366017</v>
      </c>
      <c r="AT107" s="516">
        <v>584689</v>
      </c>
      <c r="AU107" s="516">
        <v>3451078</v>
      </c>
      <c r="AV107" s="516">
        <v>9701322</v>
      </c>
      <c r="AW107" s="516">
        <v>72062</v>
      </c>
      <c r="AX107" s="516">
        <v>467247</v>
      </c>
      <c r="AY107" s="516">
        <v>3043994</v>
      </c>
      <c r="AZ107" s="516">
        <v>3310182</v>
      </c>
      <c r="BA107" s="516">
        <v>2357152</v>
      </c>
      <c r="BB107" s="516">
        <v>67192</v>
      </c>
      <c r="BC107" s="516">
        <v>0</v>
      </c>
      <c r="BD107" s="516">
        <v>0</v>
      </c>
      <c r="BE107" s="516">
        <v>85127</v>
      </c>
      <c r="BF107" s="516">
        <v>0</v>
      </c>
      <c r="BG107" s="516">
        <v>395667</v>
      </c>
      <c r="BH107" s="516">
        <v>58213</v>
      </c>
      <c r="BI107" s="516">
        <v>2776873</v>
      </c>
      <c r="BJ107" s="516">
        <v>2502681</v>
      </c>
      <c r="BK107" s="516">
        <v>0</v>
      </c>
      <c r="BL107" s="516">
        <v>8094085</v>
      </c>
      <c r="BM107" s="516">
        <v>4320448</v>
      </c>
      <c r="BN107" s="516">
        <v>48783</v>
      </c>
      <c r="BO107" s="516">
        <v>5075010</v>
      </c>
      <c r="BP107" s="516">
        <v>1945917</v>
      </c>
      <c r="BQ107" s="516">
        <v>893422</v>
      </c>
      <c r="BR107" s="516">
        <v>1531237</v>
      </c>
      <c r="BS107" s="516">
        <v>1290268</v>
      </c>
      <c r="BT107" s="516">
        <v>20681684</v>
      </c>
      <c r="BU107" s="516">
        <v>1808904</v>
      </c>
      <c r="BV107" s="516">
        <v>2317413</v>
      </c>
      <c r="BW107" s="516">
        <v>703431</v>
      </c>
      <c r="BX107" s="516">
        <v>921443</v>
      </c>
      <c r="BY107" s="516">
        <v>35185</v>
      </c>
      <c r="BZ107" s="516">
        <v>43501</v>
      </c>
      <c r="CA107" s="516">
        <v>16002972</v>
      </c>
      <c r="CB107" s="516">
        <v>68728</v>
      </c>
    </row>
    <row r="108" spans="1:80" x14ac:dyDescent="0.25">
      <c r="A108" s="860"/>
      <c r="B108" s="846">
        <v>342</v>
      </c>
      <c r="C108" s="860" t="s">
        <v>738</v>
      </c>
      <c r="D108" s="860" t="s">
        <v>492</v>
      </c>
      <c r="E108" s="516"/>
      <c r="F108" s="516"/>
      <c r="G108" s="516"/>
      <c r="H108" s="516"/>
      <c r="I108" s="516"/>
      <c r="J108" s="516"/>
      <c r="K108" s="516"/>
      <c r="L108" s="516"/>
      <c r="M108" s="516"/>
      <c r="N108" s="516"/>
      <c r="O108" s="516"/>
      <c r="P108" s="516"/>
      <c r="Q108" s="516"/>
      <c r="R108" s="516"/>
      <c r="S108" s="516"/>
      <c r="T108" s="516"/>
      <c r="U108" s="516"/>
      <c r="V108" s="516"/>
      <c r="W108" s="516"/>
      <c r="X108" s="516"/>
      <c r="Y108" s="516"/>
      <c r="Z108" s="516"/>
      <c r="AA108" s="516"/>
      <c r="AB108" s="516"/>
      <c r="AC108" s="516"/>
      <c r="AD108" s="516"/>
      <c r="AE108" s="516"/>
      <c r="AF108" s="516"/>
      <c r="AG108" s="516"/>
      <c r="AH108" s="516"/>
      <c r="AI108" s="516"/>
      <c r="AJ108" s="516"/>
      <c r="AK108" s="516"/>
      <c r="AL108" s="516"/>
      <c r="AM108" s="516"/>
      <c r="AN108" s="516"/>
      <c r="AO108" s="516"/>
      <c r="AP108" s="516"/>
      <c r="AQ108" s="516"/>
      <c r="AR108" s="516"/>
      <c r="AS108" s="516"/>
      <c r="AT108" s="516"/>
      <c r="AU108" s="516"/>
      <c r="AV108" s="516"/>
      <c r="AW108" s="516"/>
      <c r="AX108" s="516"/>
      <c r="AY108" s="516"/>
      <c r="AZ108" s="516"/>
      <c r="BA108" s="516"/>
      <c r="BB108" s="516"/>
      <c r="BC108" s="516"/>
      <c r="BD108" s="516"/>
      <c r="BE108" s="516"/>
      <c r="BF108" s="516"/>
      <c r="BG108" s="516"/>
      <c r="BH108" s="516"/>
      <c r="BI108" s="516"/>
      <c r="BJ108" s="516"/>
      <c r="BK108" s="516"/>
      <c r="BL108" s="516"/>
      <c r="BM108" s="516"/>
      <c r="BN108" s="516"/>
      <c r="BO108" s="516"/>
      <c r="BP108" s="516"/>
      <c r="BQ108" s="516"/>
      <c r="BR108" s="516"/>
      <c r="BS108" s="516"/>
      <c r="BT108" s="516"/>
      <c r="BU108" s="516"/>
      <c r="BV108" s="516"/>
      <c r="BW108" s="516"/>
      <c r="BX108" s="516"/>
      <c r="BY108" s="516"/>
      <c r="BZ108" s="516"/>
      <c r="CA108" s="516"/>
      <c r="CB108" s="516"/>
    </row>
    <row r="109" spans="1:80" x14ac:dyDescent="0.25">
      <c r="A109" s="860">
        <v>343</v>
      </c>
      <c r="B109" s="846">
        <v>343</v>
      </c>
      <c r="C109" s="860" t="s">
        <v>322</v>
      </c>
      <c r="D109" s="860" t="s">
        <v>493</v>
      </c>
      <c r="E109" s="516">
        <v>27930</v>
      </c>
      <c r="F109" s="516">
        <v>1433321</v>
      </c>
      <c r="G109" s="516">
        <v>0</v>
      </c>
      <c r="H109" s="516">
        <v>4233455</v>
      </c>
      <c r="I109" s="516">
        <v>171188</v>
      </c>
      <c r="J109" s="516">
        <v>0</v>
      </c>
      <c r="K109" s="516">
        <v>0</v>
      </c>
      <c r="L109" s="516">
        <v>41406</v>
      </c>
      <c r="M109" s="516">
        <v>5321499</v>
      </c>
      <c r="N109" s="516">
        <v>0</v>
      </c>
      <c r="O109" s="516">
        <v>10548</v>
      </c>
      <c r="P109" s="516">
        <v>24528</v>
      </c>
      <c r="Q109" s="516">
        <v>3608502</v>
      </c>
      <c r="R109" s="516">
        <v>2800976</v>
      </c>
      <c r="S109" s="516">
        <v>428488</v>
      </c>
      <c r="T109" s="516">
        <v>578123</v>
      </c>
      <c r="U109" s="516">
        <v>0</v>
      </c>
      <c r="V109" s="516">
        <v>633916</v>
      </c>
      <c r="W109" s="516">
        <v>0</v>
      </c>
      <c r="X109" s="516">
        <v>1999800</v>
      </c>
      <c r="Y109" s="516">
        <v>593582</v>
      </c>
      <c r="Z109" s="516">
        <v>647187</v>
      </c>
      <c r="AA109" s="516">
        <v>90838</v>
      </c>
      <c r="AB109" s="516">
        <v>254618</v>
      </c>
      <c r="AC109" s="516">
        <v>0</v>
      </c>
      <c r="AD109" s="516">
        <v>4894</v>
      </c>
      <c r="AE109" s="516">
        <v>66983</v>
      </c>
      <c r="AF109" s="516">
        <v>186396</v>
      </c>
      <c r="AG109" s="516">
        <v>5052</v>
      </c>
      <c r="AH109" s="516">
        <v>0</v>
      </c>
      <c r="AI109" s="516">
        <v>0</v>
      </c>
      <c r="AJ109" s="516">
        <v>0</v>
      </c>
      <c r="AK109" s="516">
        <v>446959</v>
      </c>
      <c r="AL109" s="516">
        <v>0</v>
      </c>
      <c r="AM109" s="516">
        <v>0</v>
      </c>
      <c r="AN109" s="516">
        <v>1323064</v>
      </c>
      <c r="AO109" s="516">
        <v>771877</v>
      </c>
      <c r="AP109" s="516">
        <v>0</v>
      </c>
      <c r="AQ109" s="516">
        <v>186666</v>
      </c>
      <c r="AR109" s="516">
        <v>903132</v>
      </c>
      <c r="AS109" s="516">
        <v>35334</v>
      </c>
      <c r="AT109" s="516">
        <v>96773</v>
      </c>
      <c r="AU109" s="516">
        <v>2689931</v>
      </c>
      <c r="AV109" s="516">
        <v>357077</v>
      </c>
      <c r="AW109" s="516">
        <v>0</v>
      </c>
      <c r="AX109" s="516">
        <v>2555</v>
      </c>
      <c r="AY109" s="516">
        <v>73490</v>
      </c>
      <c r="AZ109" s="516">
        <v>72734</v>
      </c>
      <c r="BA109" s="516">
        <v>109142</v>
      </c>
      <c r="BB109" s="516">
        <v>0</v>
      </c>
      <c r="BC109" s="516">
        <v>0</v>
      </c>
      <c r="BD109" s="516">
        <v>0</v>
      </c>
      <c r="BE109" s="516">
        <v>0</v>
      </c>
      <c r="BF109" s="516">
        <v>0</v>
      </c>
      <c r="BG109" s="516">
        <v>0</v>
      </c>
      <c r="BH109" s="516">
        <v>0</v>
      </c>
      <c r="BI109" s="516">
        <v>35423</v>
      </c>
      <c r="BJ109" s="516">
        <v>189542</v>
      </c>
      <c r="BK109" s="516">
        <v>0</v>
      </c>
      <c r="BL109" s="516">
        <v>218334</v>
      </c>
      <c r="BM109" s="516">
        <v>0</v>
      </c>
      <c r="BN109" s="516">
        <v>0</v>
      </c>
      <c r="BO109" s="516">
        <v>182783</v>
      </c>
      <c r="BP109" s="516">
        <v>0</v>
      </c>
      <c r="BQ109" s="516">
        <v>11753</v>
      </c>
      <c r="BR109" s="516">
        <v>0</v>
      </c>
      <c r="BS109" s="516">
        <v>0</v>
      </c>
      <c r="BT109" s="516">
        <v>1181049</v>
      </c>
      <c r="BU109" s="516">
        <v>44934</v>
      </c>
      <c r="BV109" s="516">
        <v>78387</v>
      </c>
      <c r="BW109" s="516">
        <v>80845</v>
      </c>
      <c r="BX109" s="516">
        <v>0</v>
      </c>
      <c r="BY109" s="516">
        <v>0</v>
      </c>
      <c r="BZ109" s="516">
        <v>0</v>
      </c>
      <c r="CA109" s="516">
        <v>1347646</v>
      </c>
      <c r="CB109" s="516">
        <v>2436</v>
      </c>
    </row>
    <row r="110" spans="1:80" x14ac:dyDescent="0.25">
      <c r="A110" s="860">
        <v>344</v>
      </c>
      <c r="B110" s="846">
        <v>344</v>
      </c>
      <c r="C110" s="860" t="s">
        <v>255</v>
      </c>
      <c r="D110" s="860" t="s">
        <v>494</v>
      </c>
      <c r="E110" s="516">
        <v>4871</v>
      </c>
      <c r="F110" s="516">
        <v>309637</v>
      </c>
      <c r="G110" s="516">
        <v>0</v>
      </c>
      <c r="H110" s="516">
        <v>608384</v>
      </c>
      <c r="I110" s="516">
        <v>22947</v>
      </c>
      <c r="J110" s="516">
        <v>0</v>
      </c>
      <c r="K110" s="516">
        <v>0</v>
      </c>
      <c r="L110" s="516">
        <v>54150</v>
      </c>
      <c r="M110" s="516">
        <v>3104497</v>
      </c>
      <c r="N110" s="516">
        <v>0</v>
      </c>
      <c r="O110" s="516">
        <v>0</v>
      </c>
      <c r="P110" s="516">
        <v>18578</v>
      </c>
      <c r="Q110" s="516">
        <v>626954</v>
      </c>
      <c r="R110" s="516">
        <v>257907</v>
      </c>
      <c r="S110" s="516">
        <v>37026</v>
      </c>
      <c r="T110" s="516">
        <v>48122</v>
      </c>
      <c r="U110" s="516">
        <v>0</v>
      </c>
      <c r="V110" s="516">
        <v>328206</v>
      </c>
      <c r="W110" s="516">
        <v>0</v>
      </c>
      <c r="X110" s="516">
        <v>132987</v>
      </c>
      <c r="Y110" s="516">
        <v>253289</v>
      </c>
      <c r="Z110" s="516">
        <v>169021</v>
      </c>
      <c r="AA110" s="516">
        <v>5749</v>
      </c>
      <c r="AB110" s="516">
        <v>27945</v>
      </c>
      <c r="AC110" s="516">
        <v>0</v>
      </c>
      <c r="AD110" s="516">
        <v>0</v>
      </c>
      <c r="AE110" s="516">
        <v>3757</v>
      </c>
      <c r="AF110" s="516">
        <v>83133</v>
      </c>
      <c r="AG110" s="516">
        <v>0</v>
      </c>
      <c r="AH110" s="516">
        <v>0</v>
      </c>
      <c r="AI110" s="516">
        <v>0</v>
      </c>
      <c r="AJ110" s="516">
        <v>0</v>
      </c>
      <c r="AK110" s="516">
        <v>157134</v>
      </c>
      <c r="AL110" s="516">
        <v>0</v>
      </c>
      <c r="AM110" s="516">
        <v>0</v>
      </c>
      <c r="AN110" s="516">
        <v>292645</v>
      </c>
      <c r="AO110" s="516">
        <v>14900</v>
      </c>
      <c r="AP110" s="516">
        <v>0</v>
      </c>
      <c r="AQ110" s="516">
        <v>20058</v>
      </c>
      <c r="AR110" s="516">
        <v>191366</v>
      </c>
      <c r="AS110" s="516">
        <v>11258</v>
      </c>
      <c r="AT110" s="516">
        <v>10898</v>
      </c>
      <c r="AU110" s="516">
        <v>121841</v>
      </c>
      <c r="AV110" s="516">
        <v>36502</v>
      </c>
      <c r="AW110" s="516">
        <v>0</v>
      </c>
      <c r="AX110" s="516">
        <v>959</v>
      </c>
      <c r="AY110" s="516">
        <v>124210</v>
      </c>
      <c r="AZ110" s="516">
        <v>5501</v>
      </c>
      <c r="BA110" s="516">
        <v>18875</v>
      </c>
      <c r="BB110" s="516">
        <v>0</v>
      </c>
      <c r="BC110" s="516">
        <v>0</v>
      </c>
      <c r="BD110" s="516">
        <v>0</v>
      </c>
      <c r="BE110" s="516">
        <v>0</v>
      </c>
      <c r="BF110" s="516">
        <v>0</v>
      </c>
      <c r="BG110" s="516">
        <v>0</v>
      </c>
      <c r="BH110" s="516">
        <v>0</v>
      </c>
      <c r="BI110" s="516">
        <v>3403</v>
      </c>
      <c r="BJ110" s="516">
        <v>5143</v>
      </c>
      <c r="BK110" s="516">
        <v>0</v>
      </c>
      <c r="BL110" s="516">
        <v>58437</v>
      </c>
      <c r="BM110" s="516">
        <v>0</v>
      </c>
      <c r="BN110" s="516">
        <v>0</v>
      </c>
      <c r="BO110" s="516">
        <v>36284</v>
      </c>
      <c r="BP110" s="516">
        <v>0</v>
      </c>
      <c r="BQ110" s="516">
        <v>551</v>
      </c>
      <c r="BR110" s="516">
        <v>0</v>
      </c>
      <c r="BS110" s="516">
        <v>0</v>
      </c>
      <c r="BT110" s="516">
        <v>192925</v>
      </c>
      <c r="BU110" s="516">
        <v>18453</v>
      </c>
      <c r="BV110" s="516">
        <v>9272</v>
      </c>
      <c r="BW110" s="516">
        <v>2355</v>
      </c>
      <c r="BX110" s="516">
        <v>0</v>
      </c>
      <c r="BY110" s="516">
        <v>0</v>
      </c>
      <c r="BZ110" s="516">
        <v>0</v>
      </c>
      <c r="CA110" s="516">
        <v>281751</v>
      </c>
      <c r="CB110" s="516">
        <v>2520</v>
      </c>
    </row>
    <row r="111" spans="1:80" x14ac:dyDescent="0.25">
      <c r="A111" s="860"/>
      <c r="B111" s="846">
        <v>346</v>
      </c>
      <c r="C111" s="860" t="s">
        <v>739</v>
      </c>
      <c r="D111" s="860" t="s">
        <v>495</v>
      </c>
      <c r="E111" s="516">
        <v>0</v>
      </c>
      <c r="F111" s="516">
        <v>0</v>
      </c>
      <c r="G111" s="516">
        <v>0</v>
      </c>
      <c r="H111" s="516">
        <v>0</v>
      </c>
      <c r="I111" s="516">
        <v>0</v>
      </c>
      <c r="J111" s="516">
        <v>0</v>
      </c>
      <c r="K111" s="516">
        <v>0</v>
      </c>
      <c r="L111" s="516">
        <v>0</v>
      </c>
      <c r="M111" s="516">
        <v>0</v>
      </c>
      <c r="N111" s="516">
        <v>0</v>
      </c>
      <c r="O111" s="516">
        <v>0</v>
      </c>
      <c r="P111" s="516">
        <v>0</v>
      </c>
      <c r="Q111" s="516">
        <v>0</v>
      </c>
      <c r="R111" s="516">
        <v>0</v>
      </c>
      <c r="S111" s="516">
        <v>0</v>
      </c>
      <c r="T111" s="516">
        <v>0</v>
      </c>
      <c r="U111" s="516">
        <v>0</v>
      </c>
      <c r="V111" s="516">
        <v>0</v>
      </c>
      <c r="W111" s="516">
        <v>0</v>
      </c>
      <c r="X111" s="516">
        <v>0</v>
      </c>
      <c r="Y111" s="516">
        <v>0</v>
      </c>
      <c r="Z111" s="516">
        <v>0</v>
      </c>
      <c r="AA111" s="516">
        <v>0</v>
      </c>
      <c r="AB111" s="516">
        <v>0</v>
      </c>
      <c r="AC111" s="516">
        <v>0</v>
      </c>
      <c r="AD111" s="516">
        <v>0</v>
      </c>
      <c r="AE111" s="516">
        <v>0</v>
      </c>
      <c r="AF111" s="516">
        <v>0</v>
      </c>
      <c r="AG111" s="516">
        <v>0</v>
      </c>
      <c r="AH111" s="516">
        <v>0</v>
      </c>
      <c r="AI111" s="516">
        <v>0</v>
      </c>
      <c r="AJ111" s="516">
        <v>0</v>
      </c>
      <c r="AK111" s="516">
        <v>0</v>
      </c>
      <c r="AL111" s="516">
        <v>0</v>
      </c>
      <c r="AM111" s="516">
        <v>0</v>
      </c>
      <c r="AN111" s="516">
        <v>0</v>
      </c>
      <c r="AO111" s="516">
        <v>0</v>
      </c>
      <c r="AP111" s="516">
        <v>0</v>
      </c>
      <c r="AQ111" s="516">
        <v>0</v>
      </c>
      <c r="AR111" s="516">
        <v>0</v>
      </c>
      <c r="AS111" s="516">
        <v>0</v>
      </c>
      <c r="AT111" s="516">
        <v>0</v>
      </c>
      <c r="AU111" s="516">
        <v>0</v>
      </c>
      <c r="AV111" s="516">
        <v>0</v>
      </c>
      <c r="AW111" s="516">
        <v>0</v>
      </c>
      <c r="AX111" s="516">
        <v>0</v>
      </c>
      <c r="AY111" s="516">
        <v>0</v>
      </c>
      <c r="AZ111" s="516">
        <v>0</v>
      </c>
      <c r="BA111" s="516">
        <v>0</v>
      </c>
      <c r="BB111" s="516">
        <v>0</v>
      </c>
      <c r="BC111" s="516">
        <v>0</v>
      </c>
      <c r="BD111" s="516">
        <v>0</v>
      </c>
      <c r="BE111" s="516">
        <v>0</v>
      </c>
      <c r="BF111" s="516">
        <v>0</v>
      </c>
      <c r="BG111" s="516">
        <v>0</v>
      </c>
      <c r="BH111" s="516">
        <v>0</v>
      </c>
      <c r="BI111" s="516">
        <v>0</v>
      </c>
      <c r="BJ111" s="516">
        <v>0</v>
      </c>
      <c r="BK111" s="516">
        <v>0</v>
      </c>
      <c r="BL111" s="516">
        <v>0</v>
      </c>
      <c r="BM111" s="516">
        <v>0</v>
      </c>
      <c r="BN111" s="516">
        <v>0</v>
      </c>
      <c r="BO111" s="516">
        <v>0</v>
      </c>
      <c r="BP111" s="516">
        <v>0</v>
      </c>
      <c r="BQ111" s="516">
        <v>0</v>
      </c>
      <c r="BR111" s="516">
        <v>0</v>
      </c>
      <c r="BS111" s="516">
        <v>0</v>
      </c>
      <c r="BT111" s="516">
        <v>0</v>
      </c>
      <c r="BU111" s="516">
        <v>0</v>
      </c>
      <c r="BV111" s="516">
        <v>0</v>
      </c>
      <c r="BW111" s="516">
        <v>0</v>
      </c>
      <c r="BX111" s="516">
        <v>0</v>
      </c>
      <c r="BY111" s="516">
        <v>0</v>
      </c>
      <c r="BZ111" s="516">
        <v>0</v>
      </c>
      <c r="CA111" s="516">
        <v>0</v>
      </c>
      <c r="CB111" s="516">
        <v>0</v>
      </c>
    </row>
    <row r="112" spans="1:80" x14ac:dyDescent="0.25">
      <c r="A112" s="860"/>
      <c r="B112" s="846">
        <v>347</v>
      </c>
      <c r="C112" s="860" t="s">
        <v>740</v>
      </c>
      <c r="D112" s="860" t="s">
        <v>496</v>
      </c>
      <c r="E112" s="516">
        <v>0</v>
      </c>
      <c r="F112" s="516">
        <v>0</v>
      </c>
      <c r="G112" s="516">
        <v>0</v>
      </c>
      <c r="H112" s="516">
        <v>0</v>
      </c>
      <c r="I112" s="516">
        <v>0</v>
      </c>
      <c r="J112" s="516">
        <v>0</v>
      </c>
      <c r="K112" s="516">
        <v>0</v>
      </c>
      <c r="L112" s="516">
        <v>0</v>
      </c>
      <c r="M112" s="516">
        <v>0</v>
      </c>
      <c r="N112" s="516">
        <v>0</v>
      </c>
      <c r="O112" s="516">
        <v>0</v>
      </c>
      <c r="P112" s="516">
        <v>0</v>
      </c>
      <c r="Q112" s="516">
        <v>0</v>
      </c>
      <c r="R112" s="516">
        <v>0</v>
      </c>
      <c r="S112" s="516">
        <v>0</v>
      </c>
      <c r="T112" s="516">
        <v>0</v>
      </c>
      <c r="U112" s="516">
        <v>0</v>
      </c>
      <c r="V112" s="516">
        <v>0</v>
      </c>
      <c r="W112" s="516">
        <v>0</v>
      </c>
      <c r="X112" s="516">
        <v>0</v>
      </c>
      <c r="Y112" s="516">
        <v>0</v>
      </c>
      <c r="Z112" s="516">
        <v>0</v>
      </c>
      <c r="AA112" s="516">
        <v>0</v>
      </c>
      <c r="AB112" s="516">
        <v>0</v>
      </c>
      <c r="AC112" s="516">
        <v>0</v>
      </c>
      <c r="AD112" s="516">
        <v>0</v>
      </c>
      <c r="AE112" s="516">
        <v>0</v>
      </c>
      <c r="AF112" s="516">
        <v>0</v>
      </c>
      <c r="AG112" s="516">
        <v>0</v>
      </c>
      <c r="AH112" s="516">
        <v>0</v>
      </c>
      <c r="AI112" s="516">
        <v>0</v>
      </c>
      <c r="AJ112" s="516">
        <v>0</v>
      </c>
      <c r="AK112" s="516">
        <v>0</v>
      </c>
      <c r="AL112" s="516">
        <v>0</v>
      </c>
      <c r="AM112" s="516">
        <v>0</v>
      </c>
      <c r="AN112" s="516">
        <v>0</v>
      </c>
      <c r="AO112" s="516">
        <v>0</v>
      </c>
      <c r="AP112" s="516">
        <v>0</v>
      </c>
      <c r="AQ112" s="516">
        <v>0</v>
      </c>
      <c r="AR112" s="516">
        <v>0</v>
      </c>
      <c r="AS112" s="516">
        <v>0</v>
      </c>
      <c r="AT112" s="516">
        <v>0</v>
      </c>
      <c r="AU112" s="516">
        <v>0</v>
      </c>
      <c r="AV112" s="516">
        <v>0</v>
      </c>
      <c r="AW112" s="516">
        <v>0</v>
      </c>
      <c r="AX112" s="516">
        <v>0</v>
      </c>
      <c r="AY112" s="516">
        <v>0</v>
      </c>
      <c r="AZ112" s="516">
        <v>0</v>
      </c>
      <c r="BA112" s="516">
        <v>0</v>
      </c>
      <c r="BB112" s="516">
        <v>0</v>
      </c>
      <c r="BC112" s="516">
        <v>0</v>
      </c>
      <c r="BD112" s="516">
        <v>0</v>
      </c>
      <c r="BE112" s="516">
        <v>0</v>
      </c>
      <c r="BF112" s="516">
        <v>0</v>
      </c>
      <c r="BG112" s="516">
        <v>0</v>
      </c>
      <c r="BH112" s="516">
        <v>0</v>
      </c>
      <c r="BI112" s="516">
        <v>0</v>
      </c>
      <c r="BJ112" s="516">
        <v>0</v>
      </c>
      <c r="BK112" s="516">
        <v>0</v>
      </c>
      <c r="BL112" s="516">
        <v>0</v>
      </c>
      <c r="BM112" s="516">
        <v>0</v>
      </c>
      <c r="BN112" s="516">
        <v>0</v>
      </c>
      <c r="BO112" s="516">
        <v>0</v>
      </c>
      <c r="BP112" s="516">
        <v>0</v>
      </c>
      <c r="BQ112" s="516">
        <v>0</v>
      </c>
      <c r="BR112" s="516">
        <v>0</v>
      </c>
      <c r="BS112" s="516">
        <v>0</v>
      </c>
      <c r="BT112" s="516">
        <v>0</v>
      </c>
      <c r="BU112" s="516">
        <v>0</v>
      </c>
      <c r="BV112" s="516">
        <v>0</v>
      </c>
      <c r="BW112" s="516">
        <v>0</v>
      </c>
      <c r="BX112" s="516">
        <v>0</v>
      </c>
      <c r="BY112" s="516">
        <v>0</v>
      </c>
      <c r="BZ112" s="516">
        <v>0</v>
      </c>
      <c r="CA112" s="516">
        <v>0</v>
      </c>
      <c r="CB112" s="516">
        <v>0</v>
      </c>
    </row>
    <row r="113" spans="1:80" x14ac:dyDescent="0.25">
      <c r="A113" s="860">
        <v>349</v>
      </c>
      <c r="B113" s="846">
        <v>349</v>
      </c>
      <c r="C113" s="860" t="s">
        <v>129</v>
      </c>
      <c r="D113" s="860" t="s">
        <v>497</v>
      </c>
      <c r="E113" s="516">
        <v>0</v>
      </c>
      <c r="F113" s="516">
        <v>0</v>
      </c>
      <c r="G113" s="516">
        <v>0</v>
      </c>
      <c r="H113" s="516">
        <v>69229999</v>
      </c>
      <c r="I113" s="516">
        <v>2361271</v>
      </c>
      <c r="J113" s="516">
        <v>316767</v>
      </c>
      <c r="K113" s="516">
        <v>172519</v>
      </c>
      <c r="L113" s="516">
        <v>3045678</v>
      </c>
      <c r="M113" s="516">
        <v>59721528</v>
      </c>
      <c r="N113" s="516">
        <v>0</v>
      </c>
      <c r="O113" s="516">
        <v>757901</v>
      </c>
      <c r="P113" s="516">
        <v>205493</v>
      </c>
      <c r="Q113" s="516">
        <v>0</v>
      </c>
      <c r="R113" s="516">
        <v>2349882</v>
      </c>
      <c r="S113" s="516">
        <v>12924097</v>
      </c>
      <c r="T113" s="516">
        <v>27613002</v>
      </c>
      <c r="U113" s="516">
        <v>0</v>
      </c>
      <c r="V113" s="516">
        <v>13350579</v>
      </c>
      <c r="W113" s="516">
        <v>0</v>
      </c>
      <c r="X113" s="516">
        <v>0</v>
      </c>
      <c r="Y113" s="516">
        <v>478922</v>
      </c>
      <c r="Z113" s="516">
        <v>2180588</v>
      </c>
      <c r="AA113" s="516">
        <v>720091</v>
      </c>
      <c r="AB113" s="516">
        <v>1624831</v>
      </c>
      <c r="AC113" s="516">
        <v>0</v>
      </c>
      <c r="AD113" s="516">
        <v>24779</v>
      </c>
      <c r="AE113" s="516">
        <v>1484656</v>
      </c>
      <c r="AF113" s="516">
        <v>5755833</v>
      </c>
      <c r="AG113" s="516">
        <v>4085</v>
      </c>
      <c r="AH113" s="516">
        <v>0</v>
      </c>
      <c r="AI113" s="516">
        <v>0</v>
      </c>
      <c r="AJ113" s="516">
        <v>92649</v>
      </c>
      <c r="AK113" s="516">
        <v>6398135</v>
      </c>
      <c r="AL113" s="516">
        <v>43923</v>
      </c>
      <c r="AM113" s="516">
        <v>0</v>
      </c>
      <c r="AN113" s="516">
        <v>7291039</v>
      </c>
      <c r="AO113" s="516">
        <v>21744327</v>
      </c>
      <c r="AP113" s="516">
        <v>21427</v>
      </c>
      <c r="AQ113" s="516">
        <v>0</v>
      </c>
      <c r="AR113" s="516">
        <v>3483628</v>
      </c>
      <c r="AS113" s="516">
        <v>294761</v>
      </c>
      <c r="AT113" s="516">
        <v>429950</v>
      </c>
      <c r="AU113" s="516">
        <v>716297</v>
      </c>
      <c r="AV113" s="516">
        <v>11919175</v>
      </c>
      <c r="AW113" s="516">
        <v>254345</v>
      </c>
      <c r="AX113" s="516">
        <v>317240</v>
      </c>
      <c r="AY113" s="516">
        <v>820040</v>
      </c>
      <c r="AZ113" s="516">
        <v>456512</v>
      </c>
      <c r="BA113" s="516">
        <v>4551376</v>
      </c>
      <c r="BB113" s="516">
        <v>0</v>
      </c>
      <c r="BC113" s="516">
        <v>0</v>
      </c>
      <c r="BD113" s="516">
        <v>0</v>
      </c>
      <c r="BE113" s="516">
        <v>0</v>
      </c>
      <c r="BF113" s="516">
        <v>0</v>
      </c>
      <c r="BG113" s="516">
        <v>102273</v>
      </c>
      <c r="BH113" s="516">
        <v>0</v>
      </c>
      <c r="BI113" s="516">
        <v>2463600</v>
      </c>
      <c r="BJ113" s="516">
        <v>1631217</v>
      </c>
      <c r="BK113" s="516">
        <v>0</v>
      </c>
      <c r="BL113" s="516">
        <v>1018760</v>
      </c>
      <c r="BM113" s="516">
        <v>1413149</v>
      </c>
      <c r="BN113" s="516">
        <v>0</v>
      </c>
      <c r="BO113" s="516">
        <v>2313629</v>
      </c>
      <c r="BP113" s="516">
        <v>1109857</v>
      </c>
      <c r="BQ113" s="516">
        <v>783822</v>
      </c>
      <c r="BR113" s="516">
        <v>1537886</v>
      </c>
      <c r="BS113" s="516">
        <v>0</v>
      </c>
      <c r="BT113" s="516">
        <v>0</v>
      </c>
      <c r="BU113" s="516">
        <v>470530</v>
      </c>
      <c r="BV113" s="516">
        <v>5621755</v>
      </c>
      <c r="BW113" s="516">
        <v>233033</v>
      </c>
      <c r="BX113" s="516">
        <v>645705</v>
      </c>
      <c r="BY113" s="516">
        <v>0</v>
      </c>
      <c r="BZ113" s="516">
        <v>0</v>
      </c>
      <c r="CA113" s="516">
        <v>10593028</v>
      </c>
      <c r="CB113" s="516">
        <v>0</v>
      </c>
    </row>
    <row r="114" spans="1:80" x14ac:dyDescent="0.25">
      <c r="A114" s="860">
        <v>350</v>
      </c>
      <c r="B114" s="846">
        <v>350</v>
      </c>
      <c r="C114" s="860" t="s">
        <v>298</v>
      </c>
      <c r="D114" s="860" t="s">
        <v>498</v>
      </c>
      <c r="E114" s="516">
        <v>0</v>
      </c>
      <c r="F114" s="516">
        <v>0</v>
      </c>
      <c r="G114" s="516">
        <v>0</v>
      </c>
      <c r="H114" s="516">
        <v>1341844</v>
      </c>
      <c r="I114" s="516">
        <v>178117</v>
      </c>
      <c r="J114" s="516">
        <v>7806</v>
      </c>
      <c r="K114" s="516">
        <v>60323</v>
      </c>
      <c r="L114" s="516">
        <v>1113</v>
      </c>
      <c r="M114" s="516">
        <v>424303</v>
      </c>
      <c r="N114" s="516">
        <v>0</v>
      </c>
      <c r="O114" s="516">
        <v>51588</v>
      </c>
      <c r="P114" s="516">
        <v>245</v>
      </c>
      <c r="Q114" s="516">
        <v>0</v>
      </c>
      <c r="R114" s="516">
        <v>293421</v>
      </c>
      <c r="S114" s="516">
        <v>92458</v>
      </c>
      <c r="T114" s="516">
        <v>89498</v>
      </c>
      <c r="U114" s="516">
        <v>0</v>
      </c>
      <c r="V114" s="516">
        <v>36168</v>
      </c>
      <c r="W114" s="516">
        <v>0</v>
      </c>
      <c r="X114" s="516">
        <v>0</v>
      </c>
      <c r="Y114" s="516">
        <v>15561</v>
      </c>
      <c r="Z114" s="516">
        <v>96414</v>
      </c>
      <c r="AA114" s="516">
        <v>135786</v>
      </c>
      <c r="AB114" s="516">
        <v>844</v>
      </c>
      <c r="AC114" s="516">
        <v>0</v>
      </c>
      <c r="AD114" s="516">
        <v>41</v>
      </c>
      <c r="AE114" s="516">
        <v>7856</v>
      </c>
      <c r="AF114" s="516">
        <v>189</v>
      </c>
      <c r="AG114" s="516">
        <v>0</v>
      </c>
      <c r="AH114" s="516">
        <v>0</v>
      </c>
      <c r="AI114" s="516">
        <v>0</v>
      </c>
      <c r="AJ114" s="516">
        <v>11262</v>
      </c>
      <c r="AK114" s="516">
        <v>108968</v>
      </c>
      <c r="AL114" s="516">
        <v>5104</v>
      </c>
      <c r="AM114" s="516">
        <v>0</v>
      </c>
      <c r="AN114" s="516">
        <v>241201</v>
      </c>
      <c r="AO114" s="516">
        <v>95825</v>
      </c>
      <c r="AP114" s="516">
        <v>0</v>
      </c>
      <c r="AQ114" s="516">
        <v>0</v>
      </c>
      <c r="AR114" s="516">
        <v>175593</v>
      </c>
      <c r="AS114" s="516">
        <v>76804</v>
      </c>
      <c r="AT114" s="516">
        <v>0</v>
      </c>
      <c r="AU114" s="516">
        <v>15666</v>
      </c>
      <c r="AV114" s="516">
        <v>190277</v>
      </c>
      <c r="AW114" s="516">
        <v>3711</v>
      </c>
      <c r="AX114" s="516">
        <v>4428</v>
      </c>
      <c r="AY114" s="516">
        <v>0</v>
      </c>
      <c r="AZ114" s="516">
        <v>13964</v>
      </c>
      <c r="BA114" s="516">
        <v>16326</v>
      </c>
      <c r="BB114" s="516">
        <v>0</v>
      </c>
      <c r="BC114" s="516">
        <v>0</v>
      </c>
      <c r="BD114" s="516">
        <v>0</v>
      </c>
      <c r="BE114" s="516">
        <v>0</v>
      </c>
      <c r="BF114" s="516">
        <v>0</v>
      </c>
      <c r="BG114" s="516">
        <v>47604</v>
      </c>
      <c r="BH114" s="516">
        <v>0</v>
      </c>
      <c r="BI114" s="516">
        <v>3954</v>
      </c>
      <c r="BJ114" s="516">
        <v>22221</v>
      </c>
      <c r="BK114" s="516">
        <v>0</v>
      </c>
      <c r="BL114" s="516">
        <v>68723</v>
      </c>
      <c r="BM114" s="516">
        <v>48925</v>
      </c>
      <c r="BN114" s="516">
        <v>0</v>
      </c>
      <c r="BO114" s="516">
        <v>89123</v>
      </c>
      <c r="BP114" s="516">
        <v>53866</v>
      </c>
      <c r="BQ114" s="516">
        <v>1440635</v>
      </c>
      <c r="BR114" s="516">
        <v>13550</v>
      </c>
      <c r="BS114" s="516">
        <v>0</v>
      </c>
      <c r="BT114" s="516">
        <v>0</v>
      </c>
      <c r="BU114" s="516">
        <v>52450</v>
      </c>
      <c r="BV114" s="516">
        <v>40956</v>
      </c>
      <c r="BW114" s="516">
        <v>123732</v>
      </c>
      <c r="BX114" s="516">
        <v>7078</v>
      </c>
      <c r="BY114" s="516">
        <v>0</v>
      </c>
      <c r="BZ114" s="516">
        <v>0</v>
      </c>
      <c r="CA114" s="516">
        <v>138825</v>
      </c>
      <c r="CB114" s="516">
        <v>0</v>
      </c>
    </row>
    <row r="115" spans="1:80" x14ac:dyDescent="0.25">
      <c r="A115" s="860">
        <v>351</v>
      </c>
      <c r="B115" s="846">
        <v>351</v>
      </c>
      <c r="C115" s="860" t="s">
        <v>299</v>
      </c>
      <c r="D115" s="860" t="s">
        <v>499</v>
      </c>
      <c r="E115" s="516">
        <v>0</v>
      </c>
      <c r="F115" s="516">
        <v>0</v>
      </c>
      <c r="G115" s="516">
        <v>0</v>
      </c>
      <c r="H115" s="516">
        <v>2013025</v>
      </c>
      <c r="I115" s="516">
        <v>113049</v>
      </c>
      <c r="J115" s="516">
        <v>0</v>
      </c>
      <c r="K115" s="516">
        <v>0</v>
      </c>
      <c r="L115" s="516">
        <v>69848</v>
      </c>
      <c r="M115" s="516">
        <v>1860747</v>
      </c>
      <c r="N115" s="516">
        <v>0</v>
      </c>
      <c r="O115" s="516">
        <v>905</v>
      </c>
      <c r="P115" s="516">
        <v>1772</v>
      </c>
      <c r="Q115" s="516">
        <v>0</v>
      </c>
      <c r="R115" s="516">
        <v>0</v>
      </c>
      <c r="S115" s="516">
        <v>60527</v>
      </c>
      <c r="T115" s="516">
        <v>14470</v>
      </c>
      <c r="U115" s="516">
        <v>0</v>
      </c>
      <c r="V115" s="516">
        <v>156847</v>
      </c>
      <c r="W115" s="516">
        <v>0</v>
      </c>
      <c r="X115" s="516">
        <v>0</v>
      </c>
      <c r="Y115" s="516">
        <v>74050</v>
      </c>
      <c r="Z115" s="516">
        <v>37685</v>
      </c>
      <c r="AA115" s="516">
        <v>13936</v>
      </c>
      <c r="AB115" s="516">
        <v>1098191</v>
      </c>
      <c r="AC115" s="516">
        <v>0</v>
      </c>
      <c r="AD115" s="516">
        <v>0</v>
      </c>
      <c r="AE115" s="516">
        <v>19727</v>
      </c>
      <c r="AF115" s="516">
        <v>168575</v>
      </c>
      <c r="AG115" s="516">
        <v>0</v>
      </c>
      <c r="AH115" s="516">
        <v>0</v>
      </c>
      <c r="AI115" s="516">
        <v>0</v>
      </c>
      <c r="AJ115" s="516">
        <v>0</v>
      </c>
      <c r="AK115" s="516">
        <v>331824</v>
      </c>
      <c r="AL115" s="516">
        <v>0</v>
      </c>
      <c r="AM115" s="516">
        <v>0</v>
      </c>
      <c r="AN115" s="516">
        <v>182180</v>
      </c>
      <c r="AO115" s="516">
        <v>114586</v>
      </c>
      <c r="AP115" s="516">
        <v>0</v>
      </c>
      <c r="AQ115" s="516">
        <v>0</v>
      </c>
      <c r="AR115" s="516">
        <v>25545</v>
      </c>
      <c r="AS115" s="516">
        <v>0</v>
      </c>
      <c r="AT115" s="516">
        <v>6875</v>
      </c>
      <c r="AU115" s="516">
        <v>0</v>
      </c>
      <c r="AV115" s="516">
        <v>158795</v>
      </c>
      <c r="AW115" s="516">
        <v>3395</v>
      </c>
      <c r="AX115" s="516">
        <v>10042</v>
      </c>
      <c r="AY115" s="516">
        <v>21430</v>
      </c>
      <c r="AZ115" s="516">
        <v>5732</v>
      </c>
      <c r="BA115" s="516">
        <v>106104</v>
      </c>
      <c r="BB115" s="516">
        <v>0</v>
      </c>
      <c r="BC115" s="516">
        <v>0</v>
      </c>
      <c r="BD115" s="516">
        <v>0</v>
      </c>
      <c r="BE115" s="516">
        <v>0</v>
      </c>
      <c r="BF115" s="516">
        <v>0</v>
      </c>
      <c r="BG115" s="516">
        <v>0</v>
      </c>
      <c r="BH115" s="516">
        <v>0</v>
      </c>
      <c r="BI115" s="516">
        <v>58913</v>
      </c>
      <c r="BJ115" s="516">
        <v>34222</v>
      </c>
      <c r="BK115" s="516">
        <v>0</v>
      </c>
      <c r="BL115" s="516">
        <v>0</v>
      </c>
      <c r="BM115" s="516">
        <v>9904</v>
      </c>
      <c r="BN115" s="516">
        <v>0</v>
      </c>
      <c r="BO115" s="516">
        <v>24323</v>
      </c>
      <c r="BP115" s="516">
        <v>25576</v>
      </c>
      <c r="BQ115" s="516">
        <v>25062</v>
      </c>
      <c r="BR115" s="516">
        <v>0</v>
      </c>
      <c r="BS115" s="516">
        <v>0</v>
      </c>
      <c r="BT115" s="516">
        <v>0</v>
      </c>
      <c r="BU115" s="516">
        <v>8700</v>
      </c>
      <c r="BV115" s="516">
        <v>67554</v>
      </c>
      <c r="BW115" s="516">
        <v>113848</v>
      </c>
      <c r="BX115" s="516">
        <v>0</v>
      </c>
      <c r="BY115" s="516">
        <v>0</v>
      </c>
      <c r="BZ115" s="516">
        <v>0</v>
      </c>
      <c r="CA115" s="516">
        <v>119373</v>
      </c>
      <c r="CB115" s="516">
        <v>0</v>
      </c>
    </row>
    <row r="116" spans="1:80" x14ac:dyDescent="0.25">
      <c r="A116" s="860">
        <v>352</v>
      </c>
      <c r="B116" s="846">
        <v>352</v>
      </c>
      <c r="C116" s="860" t="s">
        <v>301</v>
      </c>
      <c r="D116" s="860" t="s">
        <v>500</v>
      </c>
      <c r="E116" s="516">
        <v>0</v>
      </c>
      <c r="F116" s="516">
        <v>0</v>
      </c>
      <c r="G116" s="516">
        <v>0</v>
      </c>
      <c r="H116" s="516">
        <v>1031220</v>
      </c>
      <c r="I116" s="516">
        <v>0</v>
      </c>
      <c r="J116" s="516">
        <v>0</v>
      </c>
      <c r="K116" s="516">
        <v>244595</v>
      </c>
      <c r="L116" s="516">
        <v>0</v>
      </c>
      <c r="M116" s="516">
        <v>2128143</v>
      </c>
      <c r="N116" s="516">
        <v>0</v>
      </c>
      <c r="O116" s="516">
        <v>0</v>
      </c>
      <c r="P116" s="516">
        <v>0</v>
      </c>
      <c r="Q116" s="516">
        <v>0</v>
      </c>
      <c r="R116" s="516">
        <v>0</v>
      </c>
      <c r="S116" s="516">
        <v>0</v>
      </c>
      <c r="T116" s="516">
        <v>0</v>
      </c>
      <c r="U116" s="516">
        <v>0</v>
      </c>
      <c r="V116" s="516">
        <v>0</v>
      </c>
      <c r="W116" s="516">
        <v>0</v>
      </c>
      <c r="X116" s="516">
        <v>0</v>
      </c>
      <c r="Y116" s="516">
        <v>0</v>
      </c>
      <c r="Z116" s="516">
        <v>0</v>
      </c>
      <c r="AA116" s="516">
        <v>0</v>
      </c>
      <c r="AB116" s="516">
        <v>0</v>
      </c>
      <c r="AC116" s="516">
        <v>0</v>
      </c>
      <c r="AD116" s="516">
        <v>0</v>
      </c>
      <c r="AE116" s="516">
        <v>0</v>
      </c>
      <c r="AF116" s="516">
        <v>0</v>
      </c>
      <c r="AG116" s="516">
        <v>0</v>
      </c>
      <c r="AH116" s="516">
        <v>0</v>
      </c>
      <c r="AI116" s="516">
        <v>0</v>
      </c>
      <c r="AJ116" s="516">
        <v>0</v>
      </c>
      <c r="AK116" s="516">
        <v>0</v>
      </c>
      <c r="AL116" s="516">
        <v>0</v>
      </c>
      <c r="AM116" s="516">
        <v>0</v>
      </c>
      <c r="AN116" s="516">
        <v>1144693</v>
      </c>
      <c r="AO116" s="516">
        <v>0</v>
      </c>
      <c r="AP116" s="516">
        <v>0</v>
      </c>
      <c r="AQ116" s="516">
        <v>0</v>
      </c>
      <c r="AR116" s="516">
        <v>3511968</v>
      </c>
      <c r="AS116" s="516">
        <v>0</v>
      </c>
      <c r="AT116" s="516">
        <v>0</v>
      </c>
      <c r="AU116" s="516">
        <v>0</v>
      </c>
      <c r="AV116" s="516">
        <v>0</v>
      </c>
      <c r="AW116" s="516">
        <v>0</v>
      </c>
      <c r="AX116" s="516">
        <v>0</v>
      </c>
      <c r="AY116" s="516">
        <v>0</v>
      </c>
      <c r="AZ116" s="516">
        <v>0</v>
      </c>
      <c r="BA116" s="516">
        <v>0</v>
      </c>
      <c r="BB116" s="516">
        <v>0</v>
      </c>
      <c r="BC116" s="516">
        <v>0</v>
      </c>
      <c r="BD116" s="516">
        <v>0</v>
      </c>
      <c r="BE116" s="516">
        <v>0</v>
      </c>
      <c r="BF116" s="516">
        <v>0</v>
      </c>
      <c r="BG116" s="516">
        <v>0</v>
      </c>
      <c r="BH116" s="516">
        <v>0</v>
      </c>
      <c r="BI116" s="516">
        <v>0</v>
      </c>
      <c r="BJ116" s="516">
        <v>0</v>
      </c>
      <c r="BK116" s="516">
        <v>0</v>
      </c>
      <c r="BL116" s="516">
        <v>0</v>
      </c>
      <c r="BM116" s="516">
        <v>0</v>
      </c>
      <c r="BN116" s="516">
        <v>0</v>
      </c>
      <c r="BO116" s="516">
        <v>0</v>
      </c>
      <c r="BP116" s="516">
        <v>0</v>
      </c>
      <c r="BQ116" s="516">
        <v>0</v>
      </c>
      <c r="BR116" s="516">
        <v>0</v>
      </c>
      <c r="BS116" s="516">
        <v>0</v>
      </c>
      <c r="BT116" s="516">
        <v>0</v>
      </c>
      <c r="BU116" s="516">
        <v>0</v>
      </c>
      <c r="BV116" s="516">
        <v>17560</v>
      </c>
      <c r="BW116" s="516">
        <v>0</v>
      </c>
      <c r="BX116" s="516">
        <v>0</v>
      </c>
      <c r="BY116" s="516">
        <v>0</v>
      </c>
      <c r="BZ116" s="516">
        <v>0</v>
      </c>
      <c r="CA116" s="516">
        <v>625234</v>
      </c>
      <c r="CB116" s="516">
        <v>0</v>
      </c>
    </row>
    <row r="117" spans="1:80" x14ac:dyDescent="0.25">
      <c r="A117" s="860">
        <v>353</v>
      </c>
      <c r="B117" s="846">
        <v>353</v>
      </c>
      <c r="C117" s="860" t="s">
        <v>302</v>
      </c>
      <c r="D117" s="860" t="s">
        <v>501</v>
      </c>
      <c r="E117" s="516">
        <v>0</v>
      </c>
      <c r="F117" s="516">
        <v>0</v>
      </c>
      <c r="G117" s="516">
        <v>0</v>
      </c>
      <c r="H117" s="516">
        <v>150000</v>
      </c>
      <c r="I117" s="516">
        <v>0</v>
      </c>
      <c r="J117" s="516">
        <v>0</v>
      </c>
      <c r="K117" s="516">
        <v>0</v>
      </c>
      <c r="L117" s="516">
        <v>0</v>
      </c>
      <c r="M117" s="516">
        <v>2388143</v>
      </c>
      <c r="N117" s="516">
        <v>0</v>
      </c>
      <c r="O117" s="516">
        <v>0</v>
      </c>
      <c r="P117" s="516">
        <v>0</v>
      </c>
      <c r="Q117" s="516">
        <v>0</v>
      </c>
      <c r="R117" s="516">
        <v>0</v>
      </c>
      <c r="S117" s="516">
        <v>0</v>
      </c>
      <c r="T117" s="516">
        <v>0</v>
      </c>
      <c r="U117" s="516">
        <v>0</v>
      </c>
      <c r="V117" s="516">
        <v>3614000</v>
      </c>
      <c r="W117" s="516">
        <v>0</v>
      </c>
      <c r="X117" s="516">
        <v>0</v>
      </c>
      <c r="Y117" s="516">
        <v>0</v>
      </c>
      <c r="Z117" s="516">
        <v>0</v>
      </c>
      <c r="AA117" s="516">
        <v>80125</v>
      </c>
      <c r="AB117" s="516">
        <v>0</v>
      </c>
      <c r="AC117" s="516">
        <v>0</v>
      </c>
      <c r="AD117" s="516">
        <v>0</v>
      </c>
      <c r="AE117" s="516">
        <v>0</v>
      </c>
      <c r="AF117" s="516">
        <v>0</v>
      </c>
      <c r="AG117" s="516">
        <v>0</v>
      </c>
      <c r="AH117" s="516">
        <v>0</v>
      </c>
      <c r="AI117" s="516">
        <v>0</v>
      </c>
      <c r="AJ117" s="516">
        <v>0</v>
      </c>
      <c r="AK117" s="516">
        <v>3550000</v>
      </c>
      <c r="AL117" s="516">
        <v>0</v>
      </c>
      <c r="AM117" s="516">
        <v>0</v>
      </c>
      <c r="AN117" s="516">
        <v>1258668</v>
      </c>
      <c r="AO117" s="516">
        <v>0</v>
      </c>
      <c r="AP117" s="516">
        <v>0</v>
      </c>
      <c r="AQ117" s="516">
        <v>0</v>
      </c>
      <c r="AR117" s="516">
        <v>359633</v>
      </c>
      <c r="AS117" s="516">
        <v>4585</v>
      </c>
      <c r="AT117" s="516">
        <v>2117</v>
      </c>
      <c r="AU117" s="516">
        <v>0</v>
      </c>
      <c r="AV117" s="516">
        <v>379096</v>
      </c>
      <c r="AW117" s="516">
        <v>0</v>
      </c>
      <c r="AX117" s="516">
        <v>0</v>
      </c>
      <c r="AY117" s="516">
        <v>0</v>
      </c>
      <c r="AZ117" s="516">
        <v>0</v>
      </c>
      <c r="BA117" s="516">
        <v>0</v>
      </c>
      <c r="BB117" s="516">
        <v>0</v>
      </c>
      <c r="BC117" s="516">
        <v>0</v>
      </c>
      <c r="BD117" s="516">
        <v>0</v>
      </c>
      <c r="BE117" s="516">
        <v>0</v>
      </c>
      <c r="BF117" s="516">
        <v>0</v>
      </c>
      <c r="BG117" s="516">
        <v>0</v>
      </c>
      <c r="BH117" s="516">
        <v>0</v>
      </c>
      <c r="BI117" s="516">
        <v>0</v>
      </c>
      <c r="BJ117" s="516">
        <v>0</v>
      </c>
      <c r="BK117" s="516">
        <v>0</v>
      </c>
      <c r="BL117" s="516">
        <v>0</v>
      </c>
      <c r="BM117" s="516">
        <v>0</v>
      </c>
      <c r="BN117" s="516">
        <v>0</v>
      </c>
      <c r="BO117" s="516">
        <v>173000</v>
      </c>
      <c r="BP117" s="516">
        <v>0</v>
      </c>
      <c r="BQ117" s="516">
        <v>0</v>
      </c>
      <c r="BR117" s="516">
        <v>0</v>
      </c>
      <c r="BS117" s="516">
        <v>0</v>
      </c>
      <c r="BT117" s="516">
        <v>0</v>
      </c>
      <c r="BU117" s="516">
        <v>1780</v>
      </c>
      <c r="BV117" s="516">
        <v>0</v>
      </c>
      <c r="BW117" s="516">
        <v>0</v>
      </c>
      <c r="BX117" s="516">
        <v>0</v>
      </c>
      <c r="BY117" s="516">
        <v>0</v>
      </c>
      <c r="BZ117" s="516">
        <v>0</v>
      </c>
      <c r="CA117" s="516">
        <v>567932</v>
      </c>
      <c r="CB117" s="516">
        <v>0</v>
      </c>
    </row>
    <row r="118" spans="1:80" x14ac:dyDescent="0.25">
      <c r="A118" s="860">
        <v>356</v>
      </c>
      <c r="B118" s="846">
        <v>356</v>
      </c>
      <c r="C118" s="860" t="s">
        <v>646</v>
      </c>
      <c r="D118" s="860" t="s">
        <v>502</v>
      </c>
      <c r="E118" s="516">
        <v>0</v>
      </c>
      <c r="F118" s="516">
        <v>0</v>
      </c>
      <c r="G118" s="516">
        <v>0</v>
      </c>
      <c r="H118" s="516">
        <v>0</v>
      </c>
      <c r="I118" s="516">
        <v>0</v>
      </c>
      <c r="J118" s="516">
        <v>0</v>
      </c>
      <c r="K118" s="516">
        <v>0</v>
      </c>
      <c r="L118" s="516">
        <v>0</v>
      </c>
      <c r="M118" s="516">
        <v>0</v>
      </c>
      <c r="N118" s="516">
        <v>0</v>
      </c>
      <c r="O118" s="516">
        <v>0</v>
      </c>
      <c r="P118" s="516">
        <v>0</v>
      </c>
      <c r="Q118" s="516">
        <v>0</v>
      </c>
      <c r="R118" s="516">
        <v>0</v>
      </c>
      <c r="S118" s="516">
        <v>0</v>
      </c>
      <c r="T118" s="516">
        <v>13537340</v>
      </c>
      <c r="U118" s="516">
        <v>0</v>
      </c>
      <c r="V118" s="516">
        <v>46800693</v>
      </c>
      <c r="W118" s="516">
        <v>0</v>
      </c>
      <c r="X118" s="516">
        <v>0</v>
      </c>
      <c r="Y118" s="516">
        <v>0</v>
      </c>
      <c r="Z118" s="516">
        <v>0</v>
      </c>
      <c r="AA118" s="516">
        <v>2222337</v>
      </c>
      <c r="AB118" s="516">
        <v>2272910</v>
      </c>
      <c r="AC118" s="516">
        <v>0</v>
      </c>
      <c r="AD118" s="516">
        <v>0</v>
      </c>
      <c r="AE118" s="516">
        <v>0</v>
      </c>
      <c r="AF118" s="516">
        <v>6281795</v>
      </c>
      <c r="AG118" s="516">
        <v>0</v>
      </c>
      <c r="AH118" s="516">
        <v>0</v>
      </c>
      <c r="AI118" s="516">
        <v>0</v>
      </c>
      <c r="AJ118" s="516">
        <v>0</v>
      </c>
      <c r="AK118" s="516">
        <v>16310776</v>
      </c>
      <c r="AL118" s="516">
        <v>0</v>
      </c>
      <c r="AM118" s="516">
        <v>0</v>
      </c>
      <c r="AN118" s="516">
        <v>0</v>
      </c>
      <c r="AO118" s="516">
        <v>0</v>
      </c>
      <c r="AP118" s="516">
        <v>0</v>
      </c>
      <c r="AQ118" s="516">
        <v>0</v>
      </c>
      <c r="AR118" s="516">
        <v>66541616</v>
      </c>
      <c r="AS118" s="516">
        <v>0</v>
      </c>
      <c r="AT118" s="516">
        <v>0</v>
      </c>
      <c r="AU118" s="516">
        <v>0</v>
      </c>
      <c r="AV118" s="516">
        <v>5594535</v>
      </c>
      <c r="AW118" s="516">
        <v>0</v>
      </c>
      <c r="AX118" s="516">
        <v>0</v>
      </c>
      <c r="AY118" s="516">
        <v>0</v>
      </c>
      <c r="AZ118" s="516">
        <v>0</v>
      </c>
      <c r="BA118" s="516">
        <v>10556830</v>
      </c>
      <c r="BB118" s="516">
        <v>0</v>
      </c>
      <c r="BC118" s="516">
        <v>0</v>
      </c>
      <c r="BD118" s="516">
        <v>0</v>
      </c>
      <c r="BE118" s="516">
        <v>0</v>
      </c>
      <c r="BF118" s="516">
        <v>0</v>
      </c>
      <c r="BG118" s="516">
        <v>268960</v>
      </c>
      <c r="BH118" s="516">
        <v>0</v>
      </c>
      <c r="BI118" s="516">
        <v>0</v>
      </c>
      <c r="BJ118" s="516">
        <v>0</v>
      </c>
      <c r="BK118" s="516">
        <v>0</v>
      </c>
      <c r="BL118" s="516">
        <v>6682392</v>
      </c>
      <c r="BM118" s="516">
        <v>0</v>
      </c>
      <c r="BN118" s="516">
        <v>0</v>
      </c>
      <c r="BO118" s="516">
        <v>0</v>
      </c>
      <c r="BP118" s="516">
        <v>0</v>
      </c>
      <c r="BQ118" s="516">
        <v>0</v>
      </c>
      <c r="BR118" s="516">
        <v>0</v>
      </c>
      <c r="BS118" s="516">
        <v>0</v>
      </c>
      <c r="BT118" s="516">
        <v>0</v>
      </c>
      <c r="BU118" s="516">
        <v>0</v>
      </c>
      <c r="BV118" s="516">
        <v>0</v>
      </c>
      <c r="BW118" s="516">
        <v>0</v>
      </c>
      <c r="BX118" s="516">
        <v>0</v>
      </c>
      <c r="BY118" s="516">
        <v>0</v>
      </c>
      <c r="BZ118" s="516">
        <v>0</v>
      </c>
      <c r="CA118" s="516">
        <v>0</v>
      </c>
      <c r="CB118" s="516">
        <v>0</v>
      </c>
    </row>
    <row r="119" spans="1:80" x14ac:dyDescent="0.25">
      <c r="A119" s="860">
        <v>357</v>
      </c>
      <c r="B119" s="846">
        <v>357</v>
      </c>
      <c r="C119" s="860" t="s">
        <v>647</v>
      </c>
      <c r="D119" s="860" t="s">
        <v>503</v>
      </c>
      <c r="E119" s="516">
        <v>0</v>
      </c>
      <c r="F119" s="516">
        <v>0</v>
      </c>
      <c r="G119" s="516">
        <v>0</v>
      </c>
      <c r="H119" s="516">
        <v>0</v>
      </c>
      <c r="I119" s="516">
        <v>0</v>
      </c>
      <c r="J119" s="516">
        <v>0</v>
      </c>
      <c r="K119" s="516">
        <v>0</v>
      </c>
      <c r="L119" s="516">
        <v>0</v>
      </c>
      <c r="M119" s="516">
        <v>0</v>
      </c>
      <c r="N119" s="516">
        <v>0</v>
      </c>
      <c r="O119" s="516">
        <v>0</v>
      </c>
      <c r="P119" s="516">
        <v>0</v>
      </c>
      <c r="Q119" s="516">
        <v>0</v>
      </c>
      <c r="R119" s="516">
        <v>0</v>
      </c>
      <c r="S119" s="516">
        <v>0</v>
      </c>
      <c r="T119" s="516">
        <v>7988504</v>
      </c>
      <c r="U119" s="516">
        <v>0</v>
      </c>
      <c r="V119" s="516">
        <v>28922073</v>
      </c>
      <c r="W119" s="516">
        <v>0</v>
      </c>
      <c r="X119" s="516">
        <v>0</v>
      </c>
      <c r="Y119" s="516">
        <v>0</v>
      </c>
      <c r="Z119" s="516">
        <v>0</v>
      </c>
      <c r="AA119" s="516">
        <v>1335452</v>
      </c>
      <c r="AB119" s="516">
        <v>1701294</v>
      </c>
      <c r="AC119" s="516">
        <v>0</v>
      </c>
      <c r="AD119" s="516">
        <v>0</v>
      </c>
      <c r="AE119" s="516">
        <v>0</v>
      </c>
      <c r="AF119" s="516">
        <v>3832999</v>
      </c>
      <c r="AG119" s="516">
        <v>0</v>
      </c>
      <c r="AH119" s="516">
        <v>0</v>
      </c>
      <c r="AI119" s="516">
        <v>0</v>
      </c>
      <c r="AJ119" s="516">
        <v>0</v>
      </c>
      <c r="AK119" s="516">
        <v>10373283</v>
      </c>
      <c r="AL119" s="516">
        <v>0</v>
      </c>
      <c r="AM119" s="516">
        <v>0</v>
      </c>
      <c r="AN119" s="516">
        <v>0</v>
      </c>
      <c r="AO119" s="516">
        <v>0</v>
      </c>
      <c r="AP119" s="516">
        <v>0</v>
      </c>
      <c r="AQ119" s="516">
        <v>0</v>
      </c>
      <c r="AR119" s="516">
        <v>31771795</v>
      </c>
      <c r="AS119" s="516">
        <v>0</v>
      </c>
      <c r="AT119" s="516">
        <v>0</v>
      </c>
      <c r="AU119" s="516">
        <v>0</v>
      </c>
      <c r="AV119" s="516">
        <v>4207033</v>
      </c>
      <c r="AW119" s="516">
        <v>0</v>
      </c>
      <c r="AX119" s="516">
        <v>0</v>
      </c>
      <c r="AY119" s="516">
        <v>0</v>
      </c>
      <c r="AZ119" s="516">
        <v>0</v>
      </c>
      <c r="BA119" s="516">
        <v>7614967</v>
      </c>
      <c r="BB119" s="516">
        <v>0</v>
      </c>
      <c r="BC119" s="516">
        <v>0</v>
      </c>
      <c r="BD119" s="516">
        <v>0</v>
      </c>
      <c r="BE119" s="516">
        <v>0</v>
      </c>
      <c r="BF119" s="516">
        <v>0</v>
      </c>
      <c r="BG119" s="516">
        <v>230523</v>
      </c>
      <c r="BH119" s="516">
        <v>0</v>
      </c>
      <c r="BI119" s="516">
        <v>0</v>
      </c>
      <c r="BJ119" s="516">
        <v>0</v>
      </c>
      <c r="BK119" s="516">
        <v>0</v>
      </c>
      <c r="BL119" s="516">
        <v>4338166</v>
      </c>
      <c r="BM119" s="516">
        <v>0</v>
      </c>
      <c r="BN119" s="516">
        <v>0</v>
      </c>
      <c r="BO119" s="516">
        <v>0</v>
      </c>
      <c r="BP119" s="516">
        <v>0</v>
      </c>
      <c r="BQ119" s="516">
        <v>0</v>
      </c>
      <c r="BR119" s="516">
        <v>0</v>
      </c>
      <c r="BS119" s="516">
        <v>0</v>
      </c>
      <c r="BT119" s="516">
        <v>0</v>
      </c>
      <c r="BU119" s="516">
        <v>0</v>
      </c>
      <c r="BV119" s="516">
        <v>0</v>
      </c>
      <c r="BW119" s="516">
        <v>0</v>
      </c>
      <c r="BX119" s="516">
        <v>0</v>
      </c>
      <c r="BY119" s="516">
        <v>0</v>
      </c>
      <c r="BZ119" s="516">
        <v>0</v>
      </c>
      <c r="CA119" s="516">
        <v>0</v>
      </c>
      <c r="CB119" s="516">
        <v>0</v>
      </c>
    </row>
    <row r="120" spans="1:80" x14ac:dyDescent="0.25">
      <c r="A120" s="860">
        <v>359</v>
      </c>
      <c r="B120" s="846">
        <v>359</v>
      </c>
      <c r="C120" s="860" t="s">
        <v>323</v>
      </c>
      <c r="D120" s="860" t="s">
        <v>504</v>
      </c>
      <c r="E120" s="516">
        <v>0</v>
      </c>
      <c r="F120" s="516">
        <v>0</v>
      </c>
      <c r="G120" s="516">
        <v>0</v>
      </c>
      <c r="H120" s="516">
        <v>0</v>
      </c>
      <c r="I120" s="516">
        <v>0</v>
      </c>
      <c r="J120" s="516">
        <v>0</v>
      </c>
      <c r="K120" s="516">
        <v>0</v>
      </c>
      <c r="L120" s="516">
        <v>0</v>
      </c>
      <c r="M120" s="516">
        <v>0</v>
      </c>
      <c r="N120" s="516">
        <v>0</v>
      </c>
      <c r="O120" s="516">
        <v>0</v>
      </c>
      <c r="P120" s="516">
        <v>0</v>
      </c>
      <c r="Q120" s="516">
        <v>0</v>
      </c>
      <c r="R120" s="516">
        <v>0</v>
      </c>
      <c r="S120" s="516">
        <v>0</v>
      </c>
      <c r="T120" s="516">
        <v>232917</v>
      </c>
      <c r="U120" s="516">
        <v>0</v>
      </c>
      <c r="V120" s="516">
        <v>1876533</v>
      </c>
      <c r="W120" s="516">
        <v>0</v>
      </c>
      <c r="X120" s="516">
        <v>0</v>
      </c>
      <c r="Y120" s="516">
        <v>0</v>
      </c>
      <c r="Z120" s="516">
        <v>0</v>
      </c>
      <c r="AA120" s="516">
        <v>174590</v>
      </c>
      <c r="AB120" s="516">
        <v>0</v>
      </c>
      <c r="AC120" s="516">
        <v>0</v>
      </c>
      <c r="AD120" s="516">
        <v>0</v>
      </c>
      <c r="AE120" s="516">
        <v>0</v>
      </c>
      <c r="AF120" s="516">
        <v>219003</v>
      </c>
      <c r="AG120" s="516">
        <v>0</v>
      </c>
      <c r="AH120" s="516">
        <v>0</v>
      </c>
      <c r="AI120" s="516">
        <v>0</v>
      </c>
      <c r="AJ120" s="516">
        <v>0</v>
      </c>
      <c r="AK120" s="516">
        <v>1716225</v>
      </c>
      <c r="AL120" s="516">
        <v>0</v>
      </c>
      <c r="AM120" s="516">
        <v>0</v>
      </c>
      <c r="AN120" s="516">
        <v>0</v>
      </c>
      <c r="AO120" s="516">
        <v>0</v>
      </c>
      <c r="AP120" s="516">
        <v>0</v>
      </c>
      <c r="AQ120" s="516">
        <v>0</v>
      </c>
      <c r="AR120" s="516">
        <v>5054172</v>
      </c>
      <c r="AS120" s="516">
        <v>0</v>
      </c>
      <c r="AT120" s="516">
        <v>0</v>
      </c>
      <c r="AU120" s="516">
        <v>0</v>
      </c>
      <c r="AV120" s="516">
        <v>0</v>
      </c>
      <c r="AW120" s="516">
        <v>0</v>
      </c>
      <c r="AX120" s="516">
        <v>0</v>
      </c>
      <c r="AY120" s="516">
        <v>0</v>
      </c>
      <c r="AZ120" s="516">
        <v>0</v>
      </c>
      <c r="BA120" s="516">
        <v>287971</v>
      </c>
      <c r="BB120" s="516">
        <v>0</v>
      </c>
      <c r="BC120" s="516">
        <v>0</v>
      </c>
      <c r="BD120" s="516">
        <v>0</v>
      </c>
      <c r="BE120" s="516">
        <v>0</v>
      </c>
      <c r="BF120" s="516">
        <v>0</v>
      </c>
      <c r="BG120" s="516">
        <v>0</v>
      </c>
      <c r="BH120" s="516">
        <v>0</v>
      </c>
      <c r="BI120" s="516">
        <v>0</v>
      </c>
      <c r="BJ120" s="516">
        <v>0</v>
      </c>
      <c r="BK120" s="516">
        <v>0</v>
      </c>
      <c r="BL120" s="516">
        <v>0</v>
      </c>
      <c r="BM120" s="516">
        <v>0</v>
      </c>
      <c r="BN120" s="516">
        <v>0</v>
      </c>
      <c r="BO120" s="516">
        <v>0</v>
      </c>
      <c r="BP120" s="516">
        <v>0</v>
      </c>
      <c r="BQ120" s="516">
        <v>0</v>
      </c>
      <c r="BR120" s="516">
        <v>0</v>
      </c>
      <c r="BS120" s="516">
        <v>0</v>
      </c>
      <c r="BT120" s="516">
        <v>0</v>
      </c>
      <c r="BU120" s="516">
        <v>0</v>
      </c>
      <c r="BV120" s="516">
        <v>0</v>
      </c>
      <c r="BW120" s="516">
        <v>0</v>
      </c>
      <c r="BX120" s="516">
        <v>0</v>
      </c>
      <c r="BY120" s="516">
        <v>0</v>
      </c>
      <c r="BZ120" s="516">
        <v>0</v>
      </c>
      <c r="CA120" s="516">
        <v>0</v>
      </c>
      <c r="CB120" s="516">
        <v>0</v>
      </c>
    </row>
    <row r="121" spans="1:80" x14ac:dyDescent="0.25">
      <c r="A121" s="860">
        <v>360</v>
      </c>
      <c r="B121" s="846">
        <v>360</v>
      </c>
      <c r="C121" s="860" t="s">
        <v>132</v>
      </c>
      <c r="D121" s="860" t="s">
        <v>505</v>
      </c>
      <c r="E121" s="516">
        <v>0</v>
      </c>
      <c r="F121" s="516">
        <v>0</v>
      </c>
      <c r="G121" s="516">
        <v>0</v>
      </c>
      <c r="H121" s="516">
        <v>0</v>
      </c>
      <c r="I121" s="516">
        <v>0</v>
      </c>
      <c r="J121" s="516">
        <v>0</v>
      </c>
      <c r="K121" s="516">
        <v>0</v>
      </c>
      <c r="L121" s="516">
        <v>0</v>
      </c>
      <c r="M121" s="516">
        <v>0</v>
      </c>
      <c r="N121" s="516">
        <v>0</v>
      </c>
      <c r="O121" s="516">
        <v>0</v>
      </c>
      <c r="P121" s="516">
        <v>0</v>
      </c>
      <c r="Q121" s="516">
        <v>0</v>
      </c>
      <c r="R121" s="516">
        <v>0</v>
      </c>
      <c r="S121" s="516">
        <v>0</v>
      </c>
      <c r="T121" s="516">
        <v>2515555</v>
      </c>
      <c r="U121" s="516">
        <v>0</v>
      </c>
      <c r="V121" s="516">
        <v>7325584</v>
      </c>
      <c r="W121" s="516">
        <v>0</v>
      </c>
      <c r="X121" s="516">
        <v>0</v>
      </c>
      <c r="Y121" s="516">
        <v>0</v>
      </c>
      <c r="Z121" s="516">
        <v>0</v>
      </c>
      <c r="AA121" s="516">
        <v>778771</v>
      </c>
      <c r="AB121" s="516">
        <v>625222</v>
      </c>
      <c r="AC121" s="516">
        <v>0</v>
      </c>
      <c r="AD121" s="516">
        <v>0</v>
      </c>
      <c r="AE121" s="516">
        <v>0</v>
      </c>
      <c r="AF121" s="516">
        <v>1166934</v>
      </c>
      <c r="AG121" s="516">
        <v>0</v>
      </c>
      <c r="AH121" s="516">
        <v>0</v>
      </c>
      <c r="AI121" s="516">
        <v>0</v>
      </c>
      <c r="AJ121" s="516">
        <v>0</v>
      </c>
      <c r="AK121" s="516">
        <v>4080440</v>
      </c>
      <c r="AL121" s="516">
        <v>0</v>
      </c>
      <c r="AM121" s="516">
        <v>0</v>
      </c>
      <c r="AN121" s="516">
        <v>0</v>
      </c>
      <c r="AO121" s="516">
        <v>0</v>
      </c>
      <c r="AP121" s="516">
        <v>0</v>
      </c>
      <c r="AQ121" s="516">
        <v>0</v>
      </c>
      <c r="AR121" s="516">
        <v>12065768</v>
      </c>
      <c r="AS121" s="516">
        <v>0</v>
      </c>
      <c r="AT121" s="516">
        <v>0</v>
      </c>
      <c r="AU121" s="516">
        <v>0</v>
      </c>
      <c r="AV121" s="516">
        <v>1533316</v>
      </c>
      <c r="AW121" s="516">
        <v>0</v>
      </c>
      <c r="AX121" s="516">
        <v>0</v>
      </c>
      <c r="AY121" s="516">
        <v>0</v>
      </c>
      <c r="AZ121" s="516">
        <v>0</v>
      </c>
      <c r="BA121" s="516">
        <v>1494050</v>
      </c>
      <c r="BB121" s="516">
        <v>0</v>
      </c>
      <c r="BC121" s="516">
        <v>0</v>
      </c>
      <c r="BD121" s="516">
        <v>0</v>
      </c>
      <c r="BE121" s="516">
        <v>0</v>
      </c>
      <c r="BF121" s="516">
        <v>0</v>
      </c>
      <c r="BG121" s="516">
        <v>80261</v>
      </c>
      <c r="BH121" s="516">
        <v>0</v>
      </c>
      <c r="BI121" s="516">
        <v>0</v>
      </c>
      <c r="BJ121" s="516">
        <v>0</v>
      </c>
      <c r="BK121" s="516">
        <v>0</v>
      </c>
      <c r="BL121" s="516">
        <v>269192</v>
      </c>
      <c r="BM121" s="516">
        <v>0</v>
      </c>
      <c r="BN121" s="516">
        <v>0</v>
      </c>
      <c r="BO121" s="516">
        <v>0</v>
      </c>
      <c r="BP121" s="516">
        <v>0</v>
      </c>
      <c r="BQ121" s="516">
        <v>0</v>
      </c>
      <c r="BR121" s="516">
        <v>0</v>
      </c>
      <c r="BS121" s="516">
        <v>0</v>
      </c>
      <c r="BT121" s="516">
        <v>0</v>
      </c>
      <c r="BU121" s="516">
        <v>0</v>
      </c>
      <c r="BV121" s="516">
        <v>0</v>
      </c>
      <c r="BW121" s="516">
        <v>0</v>
      </c>
      <c r="BX121" s="516">
        <v>0</v>
      </c>
      <c r="BY121" s="516">
        <v>0</v>
      </c>
      <c r="BZ121" s="516">
        <v>0</v>
      </c>
      <c r="CA121" s="516">
        <v>0</v>
      </c>
      <c r="CB121" s="516">
        <v>0</v>
      </c>
    </row>
    <row r="122" spans="1:80" x14ac:dyDescent="0.25">
      <c r="A122" s="860">
        <v>361</v>
      </c>
      <c r="B122" s="846">
        <v>361</v>
      </c>
      <c r="C122" s="860" t="s">
        <v>113</v>
      </c>
      <c r="D122" s="860" t="s">
        <v>506</v>
      </c>
      <c r="E122" s="516">
        <v>0</v>
      </c>
      <c r="F122" s="516">
        <v>0</v>
      </c>
      <c r="G122" s="516">
        <v>0</v>
      </c>
      <c r="H122" s="516">
        <v>0</v>
      </c>
      <c r="I122" s="516">
        <v>0</v>
      </c>
      <c r="J122" s="516">
        <v>0</v>
      </c>
      <c r="K122" s="516">
        <v>0</v>
      </c>
      <c r="L122" s="516">
        <v>0</v>
      </c>
      <c r="M122" s="516">
        <v>0</v>
      </c>
      <c r="N122" s="516">
        <v>0</v>
      </c>
      <c r="O122" s="516">
        <v>0</v>
      </c>
      <c r="P122" s="516">
        <v>0</v>
      </c>
      <c r="Q122" s="516">
        <v>0</v>
      </c>
      <c r="R122" s="516">
        <v>0</v>
      </c>
      <c r="S122" s="516">
        <v>0</v>
      </c>
      <c r="T122" s="516">
        <v>4080072</v>
      </c>
      <c r="U122" s="516">
        <v>0</v>
      </c>
      <c r="V122" s="516">
        <v>24559242</v>
      </c>
      <c r="W122" s="516">
        <v>0</v>
      </c>
      <c r="X122" s="516">
        <v>0</v>
      </c>
      <c r="Y122" s="516">
        <v>0</v>
      </c>
      <c r="Z122" s="516">
        <v>0</v>
      </c>
      <c r="AA122" s="516">
        <v>986992</v>
      </c>
      <c r="AB122" s="516">
        <v>337088</v>
      </c>
      <c r="AC122" s="516">
        <v>0</v>
      </c>
      <c r="AD122" s="516">
        <v>0</v>
      </c>
      <c r="AE122" s="516">
        <v>0</v>
      </c>
      <c r="AF122" s="516">
        <v>653455</v>
      </c>
      <c r="AG122" s="516">
        <v>0</v>
      </c>
      <c r="AH122" s="516">
        <v>0</v>
      </c>
      <c r="AI122" s="516">
        <v>0</v>
      </c>
      <c r="AJ122" s="516">
        <v>0</v>
      </c>
      <c r="AK122" s="516">
        <v>3375712</v>
      </c>
      <c r="AL122" s="516">
        <v>0</v>
      </c>
      <c r="AM122" s="516">
        <v>0</v>
      </c>
      <c r="AN122" s="516">
        <v>0</v>
      </c>
      <c r="AO122" s="516">
        <v>0</v>
      </c>
      <c r="AP122" s="516">
        <v>0</v>
      </c>
      <c r="AQ122" s="516">
        <v>0</v>
      </c>
      <c r="AR122" s="516">
        <v>17576904</v>
      </c>
      <c r="AS122" s="516">
        <v>0</v>
      </c>
      <c r="AT122" s="516">
        <v>0</v>
      </c>
      <c r="AU122" s="516">
        <v>0</v>
      </c>
      <c r="AV122" s="516">
        <v>4087609</v>
      </c>
      <c r="AW122" s="516">
        <v>0</v>
      </c>
      <c r="AX122" s="516">
        <v>0</v>
      </c>
      <c r="AY122" s="516">
        <v>0</v>
      </c>
      <c r="AZ122" s="516">
        <v>0</v>
      </c>
      <c r="BA122" s="516">
        <v>1791528</v>
      </c>
      <c r="BB122" s="516">
        <v>0</v>
      </c>
      <c r="BC122" s="516">
        <v>0</v>
      </c>
      <c r="BD122" s="516">
        <v>0</v>
      </c>
      <c r="BE122" s="516">
        <v>0</v>
      </c>
      <c r="BF122" s="516">
        <v>0</v>
      </c>
      <c r="BG122" s="516">
        <v>375655</v>
      </c>
      <c r="BH122" s="516">
        <v>0</v>
      </c>
      <c r="BI122" s="516">
        <v>0</v>
      </c>
      <c r="BJ122" s="516">
        <v>0</v>
      </c>
      <c r="BK122" s="516">
        <v>0</v>
      </c>
      <c r="BL122" s="516">
        <v>2285913</v>
      </c>
      <c r="BM122" s="516">
        <v>0</v>
      </c>
      <c r="BN122" s="516">
        <v>0</v>
      </c>
      <c r="BO122" s="516">
        <v>0</v>
      </c>
      <c r="BP122" s="516">
        <v>0</v>
      </c>
      <c r="BQ122" s="516">
        <v>0</v>
      </c>
      <c r="BR122" s="516">
        <v>0</v>
      </c>
      <c r="BS122" s="516">
        <v>0</v>
      </c>
      <c r="BT122" s="516">
        <v>0</v>
      </c>
      <c r="BU122" s="516">
        <v>0</v>
      </c>
      <c r="BV122" s="516">
        <v>0</v>
      </c>
      <c r="BW122" s="516">
        <v>0</v>
      </c>
      <c r="BX122" s="516">
        <v>0</v>
      </c>
      <c r="BY122" s="516">
        <v>0</v>
      </c>
      <c r="BZ122" s="516">
        <v>0</v>
      </c>
      <c r="CA122" s="516">
        <v>0</v>
      </c>
      <c r="CB122" s="516">
        <v>0</v>
      </c>
    </row>
    <row r="123" spans="1:80" x14ac:dyDescent="0.25">
      <c r="A123" s="860">
        <v>362</v>
      </c>
      <c r="B123" s="846">
        <v>362</v>
      </c>
      <c r="C123" s="860" t="s">
        <v>114</v>
      </c>
      <c r="D123" s="860" t="s">
        <v>507</v>
      </c>
      <c r="E123" s="516">
        <v>0</v>
      </c>
      <c r="F123" s="516">
        <v>0</v>
      </c>
      <c r="G123" s="516">
        <v>0</v>
      </c>
      <c r="H123" s="516">
        <v>0</v>
      </c>
      <c r="I123" s="516">
        <v>0</v>
      </c>
      <c r="J123" s="516">
        <v>0</v>
      </c>
      <c r="K123" s="516">
        <v>0</v>
      </c>
      <c r="L123" s="516">
        <v>0</v>
      </c>
      <c r="M123" s="516">
        <v>0</v>
      </c>
      <c r="N123" s="516">
        <v>0</v>
      </c>
      <c r="O123" s="516">
        <v>0</v>
      </c>
      <c r="P123" s="516">
        <v>0</v>
      </c>
      <c r="Q123" s="516">
        <v>0</v>
      </c>
      <c r="R123" s="516">
        <v>0</v>
      </c>
      <c r="S123" s="516">
        <v>0</v>
      </c>
      <c r="T123" s="516">
        <v>9435881</v>
      </c>
      <c r="U123" s="516">
        <v>0</v>
      </c>
      <c r="V123" s="516">
        <v>50400790</v>
      </c>
      <c r="W123" s="516">
        <v>0</v>
      </c>
      <c r="X123" s="516">
        <v>0</v>
      </c>
      <c r="Y123" s="516">
        <v>0</v>
      </c>
      <c r="Z123" s="516">
        <v>0</v>
      </c>
      <c r="AA123" s="516">
        <v>1705287</v>
      </c>
      <c r="AB123" s="516">
        <v>1425989</v>
      </c>
      <c r="AC123" s="516">
        <v>0</v>
      </c>
      <c r="AD123" s="516">
        <v>0</v>
      </c>
      <c r="AE123" s="516">
        <v>0</v>
      </c>
      <c r="AF123" s="516">
        <v>2883247</v>
      </c>
      <c r="AG123" s="516">
        <v>0</v>
      </c>
      <c r="AH123" s="516">
        <v>0</v>
      </c>
      <c r="AI123" s="516">
        <v>0</v>
      </c>
      <c r="AJ123" s="516">
        <v>0</v>
      </c>
      <c r="AK123" s="516">
        <v>9177125</v>
      </c>
      <c r="AL123" s="516">
        <v>0</v>
      </c>
      <c r="AM123" s="516">
        <v>0</v>
      </c>
      <c r="AN123" s="516">
        <v>0</v>
      </c>
      <c r="AO123" s="516">
        <v>0</v>
      </c>
      <c r="AP123" s="516">
        <v>0</v>
      </c>
      <c r="AQ123" s="516">
        <v>0</v>
      </c>
      <c r="AR123" s="516">
        <v>47929839</v>
      </c>
      <c r="AS123" s="516">
        <v>0</v>
      </c>
      <c r="AT123" s="516">
        <v>0</v>
      </c>
      <c r="AU123" s="516">
        <v>0</v>
      </c>
      <c r="AV123" s="516">
        <v>5878274</v>
      </c>
      <c r="AW123" s="516">
        <v>0</v>
      </c>
      <c r="AX123" s="516">
        <v>0</v>
      </c>
      <c r="AY123" s="516">
        <v>0</v>
      </c>
      <c r="AZ123" s="516">
        <v>0</v>
      </c>
      <c r="BA123" s="516">
        <v>5459588</v>
      </c>
      <c r="BB123" s="516">
        <v>0</v>
      </c>
      <c r="BC123" s="516">
        <v>0</v>
      </c>
      <c r="BD123" s="516">
        <v>0</v>
      </c>
      <c r="BE123" s="516">
        <v>0</v>
      </c>
      <c r="BF123" s="516">
        <v>0</v>
      </c>
      <c r="BG123" s="516">
        <v>414092</v>
      </c>
      <c r="BH123" s="516">
        <v>0</v>
      </c>
      <c r="BI123" s="516">
        <v>0</v>
      </c>
      <c r="BJ123" s="516">
        <v>0</v>
      </c>
      <c r="BK123" s="516">
        <v>0</v>
      </c>
      <c r="BL123" s="516">
        <v>4649939</v>
      </c>
      <c r="BM123" s="516">
        <v>0</v>
      </c>
      <c r="BN123" s="516">
        <v>0</v>
      </c>
      <c r="BO123" s="516">
        <v>0</v>
      </c>
      <c r="BP123" s="516">
        <v>0</v>
      </c>
      <c r="BQ123" s="516">
        <v>0</v>
      </c>
      <c r="BR123" s="516">
        <v>0</v>
      </c>
      <c r="BS123" s="516">
        <v>0</v>
      </c>
      <c r="BT123" s="516">
        <v>0</v>
      </c>
      <c r="BU123" s="516">
        <v>0</v>
      </c>
      <c r="BV123" s="516">
        <v>0</v>
      </c>
      <c r="BW123" s="516">
        <v>0</v>
      </c>
      <c r="BX123" s="516">
        <v>0</v>
      </c>
      <c r="BY123" s="516">
        <v>0</v>
      </c>
      <c r="BZ123" s="516">
        <v>0</v>
      </c>
      <c r="CA123" s="516">
        <v>0</v>
      </c>
      <c r="CB123" s="516">
        <v>0</v>
      </c>
    </row>
    <row r="124" spans="1:80" x14ac:dyDescent="0.25">
      <c r="A124" s="860">
        <v>363</v>
      </c>
      <c r="B124" s="846">
        <v>363</v>
      </c>
      <c r="C124" s="860" t="s">
        <v>309</v>
      </c>
      <c r="D124" s="860" t="s">
        <v>508</v>
      </c>
      <c r="E124" s="516">
        <v>0</v>
      </c>
      <c r="F124" s="516">
        <v>0</v>
      </c>
      <c r="G124" s="516">
        <v>0</v>
      </c>
      <c r="H124" s="516">
        <v>0</v>
      </c>
      <c r="I124" s="516">
        <v>0</v>
      </c>
      <c r="J124" s="516">
        <v>0</v>
      </c>
      <c r="K124" s="516">
        <v>0</v>
      </c>
      <c r="L124" s="516">
        <v>0</v>
      </c>
      <c r="M124" s="516">
        <v>0</v>
      </c>
      <c r="N124" s="516">
        <v>0</v>
      </c>
      <c r="O124" s="516">
        <v>0</v>
      </c>
      <c r="P124" s="516">
        <v>0</v>
      </c>
      <c r="Q124" s="516">
        <v>0</v>
      </c>
      <c r="R124" s="516">
        <v>0</v>
      </c>
      <c r="S124" s="516">
        <v>0</v>
      </c>
      <c r="T124" s="516">
        <v>77636</v>
      </c>
      <c r="U124" s="516">
        <v>0</v>
      </c>
      <c r="V124" s="516">
        <v>115670</v>
      </c>
      <c r="W124" s="516">
        <v>0</v>
      </c>
      <c r="X124" s="516">
        <v>0</v>
      </c>
      <c r="Y124" s="516">
        <v>0</v>
      </c>
      <c r="Z124" s="516">
        <v>0</v>
      </c>
      <c r="AA124" s="516">
        <v>88687</v>
      </c>
      <c r="AB124" s="516">
        <v>2050</v>
      </c>
      <c r="AC124" s="516">
        <v>0</v>
      </c>
      <c r="AD124" s="516">
        <v>0</v>
      </c>
      <c r="AE124" s="516">
        <v>0</v>
      </c>
      <c r="AF124" s="516">
        <v>1818</v>
      </c>
      <c r="AG124" s="516">
        <v>0</v>
      </c>
      <c r="AH124" s="516">
        <v>0</v>
      </c>
      <c r="AI124" s="516">
        <v>0</v>
      </c>
      <c r="AJ124" s="516">
        <v>0</v>
      </c>
      <c r="AK124" s="516">
        <v>253548</v>
      </c>
      <c r="AL124" s="516">
        <v>0</v>
      </c>
      <c r="AM124" s="516">
        <v>0</v>
      </c>
      <c r="AN124" s="516">
        <v>0</v>
      </c>
      <c r="AO124" s="516">
        <v>0</v>
      </c>
      <c r="AP124" s="516">
        <v>0</v>
      </c>
      <c r="AQ124" s="516">
        <v>0</v>
      </c>
      <c r="AR124" s="516">
        <v>346784</v>
      </c>
      <c r="AS124" s="516">
        <v>0</v>
      </c>
      <c r="AT124" s="516">
        <v>0</v>
      </c>
      <c r="AU124" s="516">
        <v>0</v>
      </c>
      <c r="AV124" s="516">
        <v>78981</v>
      </c>
      <c r="AW124" s="516">
        <v>0</v>
      </c>
      <c r="AX124" s="516">
        <v>0</v>
      </c>
      <c r="AY124" s="516">
        <v>0</v>
      </c>
      <c r="AZ124" s="516">
        <v>0</v>
      </c>
      <c r="BA124" s="516">
        <v>42956</v>
      </c>
      <c r="BB124" s="516">
        <v>0</v>
      </c>
      <c r="BC124" s="516">
        <v>0</v>
      </c>
      <c r="BD124" s="516">
        <v>0</v>
      </c>
      <c r="BE124" s="516">
        <v>0</v>
      </c>
      <c r="BF124" s="516">
        <v>0</v>
      </c>
      <c r="BG124" s="516">
        <v>72881</v>
      </c>
      <c r="BH124" s="516">
        <v>0</v>
      </c>
      <c r="BI124" s="516">
        <v>0</v>
      </c>
      <c r="BJ124" s="516">
        <v>0</v>
      </c>
      <c r="BK124" s="516">
        <v>0</v>
      </c>
      <c r="BL124" s="516">
        <v>13018</v>
      </c>
      <c r="BM124" s="516">
        <v>0</v>
      </c>
      <c r="BN124" s="516">
        <v>0</v>
      </c>
      <c r="BO124" s="516">
        <v>0</v>
      </c>
      <c r="BP124" s="516">
        <v>0</v>
      </c>
      <c r="BQ124" s="516">
        <v>0</v>
      </c>
      <c r="BR124" s="516">
        <v>0</v>
      </c>
      <c r="BS124" s="516">
        <v>0</v>
      </c>
      <c r="BT124" s="516">
        <v>0</v>
      </c>
      <c r="BU124" s="516">
        <v>0</v>
      </c>
      <c r="BV124" s="516">
        <v>0</v>
      </c>
      <c r="BW124" s="516">
        <v>0</v>
      </c>
      <c r="BX124" s="516">
        <v>0</v>
      </c>
      <c r="BY124" s="516">
        <v>0</v>
      </c>
      <c r="BZ124" s="516">
        <v>0</v>
      </c>
      <c r="CA124" s="516">
        <v>0</v>
      </c>
      <c r="CB124" s="516">
        <v>0</v>
      </c>
    </row>
    <row r="125" spans="1:80" x14ac:dyDescent="0.25">
      <c r="A125" s="860">
        <v>364</v>
      </c>
      <c r="B125" s="846">
        <v>364</v>
      </c>
      <c r="C125" s="860" t="s">
        <v>310</v>
      </c>
      <c r="D125" s="860" t="s">
        <v>509</v>
      </c>
      <c r="E125" s="516">
        <v>0</v>
      </c>
      <c r="F125" s="516">
        <v>0</v>
      </c>
      <c r="G125" s="516">
        <v>0</v>
      </c>
      <c r="H125" s="516">
        <v>0</v>
      </c>
      <c r="I125" s="516">
        <v>0</v>
      </c>
      <c r="J125" s="516">
        <v>0</v>
      </c>
      <c r="K125" s="516">
        <v>0</v>
      </c>
      <c r="L125" s="516">
        <v>0</v>
      </c>
      <c r="M125" s="516">
        <v>0</v>
      </c>
      <c r="N125" s="516">
        <v>0</v>
      </c>
      <c r="O125" s="516">
        <v>0</v>
      </c>
      <c r="P125" s="516">
        <v>0</v>
      </c>
      <c r="Q125" s="516">
        <v>0</v>
      </c>
      <c r="R125" s="516">
        <v>0</v>
      </c>
      <c r="S125" s="516">
        <v>0</v>
      </c>
      <c r="T125" s="516">
        <v>8239</v>
      </c>
      <c r="U125" s="516">
        <v>0</v>
      </c>
      <c r="V125" s="516">
        <v>0</v>
      </c>
      <c r="W125" s="516">
        <v>0</v>
      </c>
      <c r="X125" s="516">
        <v>0</v>
      </c>
      <c r="Y125" s="516">
        <v>0</v>
      </c>
      <c r="Z125" s="516">
        <v>0</v>
      </c>
      <c r="AA125" s="516">
        <v>4742</v>
      </c>
      <c r="AB125" s="516">
        <v>0</v>
      </c>
      <c r="AC125" s="516">
        <v>0</v>
      </c>
      <c r="AD125" s="516">
        <v>0</v>
      </c>
      <c r="AE125" s="516">
        <v>0</v>
      </c>
      <c r="AF125" s="516">
        <v>12908</v>
      </c>
      <c r="AG125" s="516">
        <v>0</v>
      </c>
      <c r="AH125" s="516">
        <v>0</v>
      </c>
      <c r="AI125" s="516">
        <v>0</v>
      </c>
      <c r="AJ125" s="516">
        <v>0</v>
      </c>
      <c r="AK125" s="516">
        <v>100078</v>
      </c>
      <c r="AL125" s="516">
        <v>0</v>
      </c>
      <c r="AM125" s="516">
        <v>0</v>
      </c>
      <c r="AN125" s="516">
        <v>0</v>
      </c>
      <c r="AO125" s="516">
        <v>0</v>
      </c>
      <c r="AP125" s="516">
        <v>0</v>
      </c>
      <c r="AQ125" s="516">
        <v>0</v>
      </c>
      <c r="AR125" s="516">
        <v>231283</v>
      </c>
      <c r="AS125" s="516">
        <v>0</v>
      </c>
      <c r="AT125" s="516">
        <v>0</v>
      </c>
      <c r="AU125" s="516">
        <v>0</v>
      </c>
      <c r="AV125" s="516">
        <v>0</v>
      </c>
      <c r="AW125" s="516">
        <v>0</v>
      </c>
      <c r="AX125" s="516">
        <v>0</v>
      </c>
      <c r="AY125" s="516">
        <v>0</v>
      </c>
      <c r="AZ125" s="516">
        <v>0</v>
      </c>
      <c r="BA125" s="516">
        <v>13393</v>
      </c>
      <c r="BB125" s="516">
        <v>0</v>
      </c>
      <c r="BC125" s="516">
        <v>0</v>
      </c>
      <c r="BD125" s="516">
        <v>0</v>
      </c>
      <c r="BE125" s="516">
        <v>0</v>
      </c>
      <c r="BF125" s="516">
        <v>0</v>
      </c>
      <c r="BG125" s="516">
        <v>0</v>
      </c>
      <c r="BH125" s="516">
        <v>0</v>
      </c>
      <c r="BI125" s="516">
        <v>0</v>
      </c>
      <c r="BJ125" s="516">
        <v>0</v>
      </c>
      <c r="BK125" s="516">
        <v>0</v>
      </c>
      <c r="BL125" s="516">
        <v>0</v>
      </c>
      <c r="BM125" s="516">
        <v>0</v>
      </c>
      <c r="BN125" s="516">
        <v>0</v>
      </c>
      <c r="BO125" s="516">
        <v>0</v>
      </c>
      <c r="BP125" s="516">
        <v>0</v>
      </c>
      <c r="BQ125" s="516">
        <v>0</v>
      </c>
      <c r="BR125" s="516">
        <v>0</v>
      </c>
      <c r="BS125" s="516">
        <v>0</v>
      </c>
      <c r="BT125" s="516">
        <v>0</v>
      </c>
      <c r="BU125" s="516">
        <v>0</v>
      </c>
      <c r="BV125" s="516">
        <v>0</v>
      </c>
      <c r="BW125" s="516">
        <v>0</v>
      </c>
      <c r="BX125" s="516">
        <v>0</v>
      </c>
      <c r="BY125" s="516">
        <v>0</v>
      </c>
      <c r="BZ125" s="516">
        <v>0</v>
      </c>
      <c r="CA125" s="516">
        <v>0</v>
      </c>
      <c r="CB125" s="516">
        <v>0</v>
      </c>
    </row>
    <row r="126" spans="1:80" x14ac:dyDescent="0.25">
      <c r="A126" s="860">
        <v>365</v>
      </c>
      <c r="B126" s="846">
        <v>365</v>
      </c>
      <c r="C126" s="860" t="s">
        <v>312</v>
      </c>
      <c r="D126" s="860" t="s">
        <v>510</v>
      </c>
      <c r="E126" s="516">
        <v>0</v>
      </c>
      <c r="F126" s="516">
        <v>0</v>
      </c>
      <c r="G126" s="516">
        <v>0</v>
      </c>
      <c r="H126" s="516">
        <v>0</v>
      </c>
      <c r="I126" s="516">
        <v>0</v>
      </c>
      <c r="J126" s="516">
        <v>0</v>
      </c>
      <c r="K126" s="516">
        <v>0</v>
      </c>
      <c r="L126" s="516">
        <v>0</v>
      </c>
      <c r="M126" s="516">
        <v>0</v>
      </c>
      <c r="N126" s="516">
        <v>0</v>
      </c>
      <c r="O126" s="516">
        <v>0</v>
      </c>
      <c r="P126" s="516">
        <v>0</v>
      </c>
      <c r="Q126" s="516">
        <v>0</v>
      </c>
      <c r="R126" s="516">
        <v>0</v>
      </c>
      <c r="S126" s="516">
        <v>0</v>
      </c>
      <c r="T126" s="516">
        <v>0</v>
      </c>
      <c r="U126" s="516">
        <v>0</v>
      </c>
      <c r="V126" s="516">
        <v>0</v>
      </c>
      <c r="W126" s="516">
        <v>0</v>
      </c>
      <c r="X126" s="516">
        <v>0</v>
      </c>
      <c r="Y126" s="516">
        <v>0</v>
      </c>
      <c r="Z126" s="516">
        <v>0</v>
      </c>
      <c r="AA126" s="516">
        <v>0</v>
      </c>
      <c r="AB126" s="516">
        <v>0</v>
      </c>
      <c r="AC126" s="516">
        <v>0</v>
      </c>
      <c r="AD126" s="516">
        <v>0</v>
      </c>
      <c r="AE126" s="516">
        <v>0</v>
      </c>
      <c r="AF126" s="516">
        <v>0</v>
      </c>
      <c r="AG126" s="516">
        <v>0</v>
      </c>
      <c r="AH126" s="516">
        <v>0</v>
      </c>
      <c r="AI126" s="516">
        <v>0</v>
      </c>
      <c r="AJ126" s="516">
        <v>0</v>
      </c>
      <c r="AK126" s="516">
        <v>0</v>
      </c>
      <c r="AL126" s="516">
        <v>0</v>
      </c>
      <c r="AM126" s="516">
        <v>0</v>
      </c>
      <c r="AN126" s="516">
        <v>0</v>
      </c>
      <c r="AO126" s="516">
        <v>0</v>
      </c>
      <c r="AP126" s="516">
        <v>0</v>
      </c>
      <c r="AQ126" s="516">
        <v>0</v>
      </c>
      <c r="AR126" s="516">
        <v>2466547</v>
      </c>
      <c r="AS126" s="516">
        <v>0</v>
      </c>
      <c r="AT126" s="516">
        <v>0</v>
      </c>
      <c r="AU126" s="516">
        <v>0</v>
      </c>
      <c r="AV126" s="516">
        <v>0</v>
      </c>
      <c r="AW126" s="516">
        <v>0</v>
      </c>
      <c r="AX126" s="516">
        <v>0</v>
      </c>
      <c r="AY126" s="516">
        <v>0</v>
      </c>
      <c r="AZ126" s="516">
        <v>0</v>
      </c>
      <c r="BA126" s="516">
        <v>0</v>
      </c>
      <c r="BB126" s="516">
        <v>0</v>
      </c>
      <c r="BC126" s="516">
        <v>0</v>
      </c>
      <c r="BD126" s="516">
        <v>0</v>
      </c>
      <c r="BE126" s="516">
        <v>0</v>
      </c>
      <c r="BF126" s="516">
        <v>0</v>
      </c>
      <c r="BG126" s="516">
        <v>0</v>
      </c>
      <c r="BH126" s="516">
        <v>0</v>
      </c>
      <c r="BI126" s="516">
        <v>0</v>
      </c>
      <c r="BJ126" s="516">
        <v>0</v>
      </c>
      <c r="BK126" s="516">
        <v>0</v>
      </c>
      <c r="BL126" s="516">
        <v>0</v>
      </c>
      <c r="BM126" s="516">
        <v>0</v>
      </c>
      <c r="BN126" s="516">
        <v>0</v>
      </c>
      <c r="BO126" s="516">
        <v>0</v>
      </c>
      <c r="BP126" s="516">
        <v>0</v>
      </c>
      <c r="BQ126" s="516">
        <v>0</v>
      </c>
      <c r="BR126" s="516">
        <v>0</v>
      </c>
      <c r="BS126" s="516">
        <v>0</v>
      </c>
      <c r="BT126" s="516">
        <v>0</v>
      </c>
      <c r="BU126" s="516">
        <v>0</v>
      </c>
      <c r="BV126" s="516">
        <v>0</v>
      </c>
      <c r="BW126" s="516">
        <v>0</v>
      </c>
      <c r="BX126" s="516">
        <v>0</v>
      </c>
      <c r="BY126" s="516">
        <v>0</v>
      </c>
      <c r="BZ126" s="516">
        <v>0</v>
      </c>
      <c r="CA126" s="516">
        <v>0</v>
      </c>
      <c r="CB126" s="516">
        <v>0</v>
      </c>
    </row>
    <row r="127" spans="1:80" x14ac:dyDescent="0.25">
      <c r="A127" s="860">
        <v>366</v>
      </c>
      <c r="B127" s="846">
        <v>366</v>
      </c>
      <c r="C127" s="860" t="s">
        <v>625</v>
      </c>
      <c r="D127" s="860" t="s">
        <v>511</v>
      </c>
      <c r="E127" s="516">
        <v>0</v>
      </c>
      <c r="F127" s="516">
        <v>0</v>
      </c>
      <c r="G127" s="516">
        <v>0</v>
      </c>
      <c r="H127" s="516">
        <v>0</v>
      </c>
      <c r="I127" s="516">
        <v>0</v>
      </c>
      <c r="J127" s="516">
        <v>0</v>
      </c>
      <c r="K127" s="516">
        <v>0</v>
      </c>
      <c r="L127" s="516">
        <v>0</v>
      </c>
      <c r="M127" s="516">
        <v>0</v>
      </c>
      <c r="N127" s="516">
        <v>0</v>
      </c>
      <c r="O127" s="516">
        <v>0</v>
      </c>
      <c r="P127" s="516">
        <v>0</v>
      </c>
      <c r="Q127" s="516">
        <v>0</v>
      </c>
      <c r="R127" s="516">
        <v>0</v>
      </c>
      <c r="S127" s="516">
        <v>0</v>
      </c>
      <c r="T127" s="516">
        <v>2279757</v>
      </c>
      <c r="U127" s="516">
        <v>0</v>
      </c>
      <c r="V127" s="516">
        <v>3683300</v>
      </c>
      <c r="W127" s="516">
        <v>0</v>
      </c>
      <c r="X127" s="516">
        <v>0</v>
      </c>
      <c r="Y127" s="516">
        <v>0</v>
      </c>
      <c r="Z127" s="516">
        <v>0</v>
      </c>
      <c r="AA127" s="516">
        <v>152206</v>
      </c>
      <c r="AB127" s="516">
        <v>0</v>
      </c>
      <c r="AC127" s="516">
        <v>0</v>
      </c>
      <c r="AD127" s="516">
        <v>0</v>
      </c>
      <c r="AE127" s="516">
        <v>0</v>
      </c>
      <c r="AF127" s="516">
        <v>0</v>
      </c>
      <c r="AG127" s="516">
        <v>0</v>
      </c>
      <c r="AH127" s="516">
        <v>0</v>
      </c>
      <c r="AI127" s="516">
        <v>0</v>
      </c>
      <c r="AJ127" s="516">
        <v>0</v>
      </c>
      <c r="AK127" s="516">
        <v>1788332</v>
      </c>
      <c r="AL127" s="516">
        <v>0</v>
      </c>
      <c r="AM127" s="516">
        <v>0</v>
      </c>
      <c r="AN127" s="516">
        <v>0</v>
      </c>
      <c r="AO127" s="516">
        <v>0</v>
      </c>
      <c r="AP127" s="516">
        <v>0</v>
      </c>
      <c r="AQ127" s="516">
        <v>0</v>
      </c>
      <c r="AR127" s="516">
        <v>1426993</v>
      </c>
      <c r="AS127" s="516">
        <v>0</v>
      </c>
      <c r="AT127" s="516">
        <v>0</v>
      </c>
      <c r="AU127" s="516">
        <v>0</v>
      </c>
      <c r="AV127" s="516">
        <v>25975</v>
      </c>
      <c r="AW127" s="516">
        <v>0</v>
      </c>
      <c r="AX127" s="516">
        <v>0</v>
      </c>
      <c r="AY127" s="516">
        <v>0</v>
      </c>
      <c r="AZ127" s="516">
        <v>0</v>
      </c>
      <c r="BA127" s="516">
        <v>367305</v>
      </c>
      <c r="BB127" s="516">
        <v>0</v>
      </c>
      <c r="BC127" s="516">
        <v>0</v>
      </c>
      <c r="BD127" s="516">
        <v>0</v>
      </c>
      <c r="BE127" s="516">
        <v>0</v>
      </c>
      <c r="BF127" s="516">
        <v>0</v>
      </c>
      <c r="BG127" s="516">
        <v>0</v>
      </c>
      <c r="BH127" s="516">
        <v>0</v>
      </c>
      <c r="BI127" s="516">
        <v>0</v>
      </c>
      <c r="BJ127" s="516">
        <v>0</v>
      </c>
      <c r="BK127" s="516">
        <v>0</v>
      </c>
      <c r="BL127" s="516">
        <v>0</v>
      </c>
      <c r="BM127" s="516">
        <v>0</v>
      </c>
      <c r="BN127" s="516">
        <v>0</v>
      </c>
      <c r="BO127" s="516">
        <v>0</v>
      </c>
      <c r="BP127" s="516">
        <v>0</v>
      </c>
      <c r="BQ127" s="516">
        <v>0</v>
      </c>
      <c r="BR127" s="516">
        <v>0</v>
      </c>
      <c r="BS127" s="516">
        <v>0</v>
      </c>
      <c r="BT127" s="516">
        <v>0</v>
      </c>
      <c r="BU127" s="516">
        <v>0</v>
      </c>
      <c r="BV127" s="516">
        <v>0</v>
      </c>
      <c r="BW127" s="516">
        <v>0</v>
      </c>
      <c r="BX127" s="516">
        <v>0</v>
      </c>
      <c r="BY127" s="516">
        <v>0</v>
      </c>
      <c r="BZ127" s="516">
        <v>0</v>
      </c>
      <c r="CA127" s="516">
        <v>0</v>
      </c>
      <c r="CB127" s="516">
        <v>0</v>
      </c>
    </row>
    <row r="128" spans="1:80" x14ac:dyDescent="0.25">
      <c r="A128" s="860"/>
      <c r="B128" s="846">
        <v>367</v>
      </c>
      <c r="C128" s="860" t="s">
        <v>741</v>
      </c>
      <c r="D128" s="860" t="s">
        <v>512</v>
      </c>
      <c r="E128" s="516"/>
      <c r="F128" s="516"/>
      <c r="G128" s="516"/>
      <c r="H128" s="516"/>
      <c r="I128" s="516"/>
      <c r="J128" s="516"/>
      <c r="K128" s="516"/>
      <c r="L128" s="516"/>
      <c r="M128" s="516"/>
      <c r="N128" s="516"/>
      <c r="O128" s="516"/>
      <c r="P128" s="516"/>
      <c r="Q128" s="516"/>
      <c r="R128" s="516"/>
      <c r="S128" s="516"/>
      <c r="T128" s="516"/>
      <c r="U128" s="516"/>
      <c r="V128" s="516"/>
      <c r="W128" s="516"/>
      <c r="X128" s="516"/>
      <c r="Y128" s="516"/>
      <c r="Z128" s="516"/>
      <c r="AA128" s="516"/>
      <c r="AB128" s="516"/>
      <c r="AC128" s="516"/>
      <c r="AD128" s="516"/>
      <c r="AE128" s="516"/>
      <c r="AF128" s="516"/>
      <c r="AG128" s="516"/>
      <c r="AH128" s="516"/>
      <c r="AI128" s="516"/>
      <c r="AJ128" s="516"/>
      <c r="AK128" s="516"/>
      <c r="AL128" s="516"/>
      <c r="AM128" s="516"/>
      <c r="AN128" s="516"/>
      <c r="AO128" s="516"/>
      <c r="AP128" s="516"/>
      <c r="AQ128" s="516"/>
      <c r="AR128" s="516"/>
      <c r="AS128" s="516"/>
      <c r="AT128" s="516"/>
      <c r="AU128" s="516"/>
      <c r="AV128" s="516"/>
      <c r="AW128" s="516"/>
      <c r="AX128" s="516"/>
      <c r="AY128" s="516"/>
      <c r="AZ128" s="516"/>
      <c r="BA128" s="516"/>
      <c r="BB128" s="516"/>
      <c r="BC128" s="516"/>
      <c r="BD128" s="516"/>
      <c r="BE128" s="516"/>
      <c r="BF128" s="516"/>
      <c r="BG128" s="516"/>
      <c r="BH128" s="516"/>
      <c r="BI128" s="516"/>
      <c r="BJ128" s="516"/>
      <c r="BK128" s="516"/>
      <c r="BL128" s="516"/>
      <c r="BM128" s="516"/>
      <c r="BN128" s="516"/>
      <c r="BO128" s="516"/>
      <c r="BP128" s="516"/>
      <c r="BQ128" s="516"/>
      <c r="BR128" s="516"/>
      <c r="BS128" s="516"/>
      <c r="BT128" s="516"/>
      <c r="BU128" s="516"/>
      <c r="BV128" s="516"/>
      <c r="BW128" s="516"/>
      <c r="BX128" s="516"/>
      <c r="BY128" s="516"/>
      <c r="BZ128" s="516"/>
      <c r="CA128" s="516"/>
      <c r="CB128" s="516"/>
    </row>
    <row r="129" spans="1:80" x14ac:dyDescent="0.25">
      <c r="A129" s="860">
        <v>368</v>
      </c>
      <c r="B129" s="846">
        <v>368</v>
      </c>
      <c r="C129" s="860" t="s">
        <v>267</v>
      </c>
      <c r="D129" s="860" t="s">
        <v>513</v>
      </c>
      <c r="E129" s="516">
        <v>0</v>
      </c>
      <c r="F129" s="516">
        <v>145</v>
      </c>
      <c r="G129" s="516">
        <v>0</v>
      </c>
      <c r="H129" s="516">
        <v>0</v>
      </c>
      <c r="I129" s="516">
        <v>1025</v>
      </c>
      <c r="J129" s="516">
        <v>0</v>
      </c>
      <c r="K129" s="516">
        <v>0</v>
      </c>
      <c r="L129" s="516">
        <v>0</v>
      </c>
      <c r="M129" s="516">
        <v>0</v>
      </c>
      <c r="N129" s="516">
        <v>0</v>
      </c>
      <c r="O129" s="516">
        <v>0</v>
      </c>
      <c r="P129" s="516">
        <v>0</v>
      </c>
      <c r="Q129" s="516">
        <v>574151</v>
      </c>
      <c r="R129" s="516">
        <v>0</v>
      </c>
      <c r="S129" s="516">
        <v>0</v>
      </c>
      <c r="T129" s="516">
        <v>0</v>
      </c>
      <c r="U129" s="516">
        <v>0</v>
      </c>
      <c r="V129" s="516">
        <v>0</v>
      </c>
      <c r="W129" s="516">
        <v>0</v>
      </c>
      <c r="X129" s="516">
        <v>0</v>
      </c>
      <c r="Y129" s="516">
        <v>0</v>
      </c>
      <c r="Z129" s="516">
        <v>0</v>
      </c>
      <c r="AA129" s="516">
        <v>0</v>
      </c>
      <c r="AB129" s="516">
        <v>0</v>
      </c>
      <c r="AC129" s="516">
        <v>0</v>
      </c>
      <c r="AD129" s="516">
        <v>0</v>
      </c>
      <c r="AE129" s="516">
        <v>0</v>
      </c>
      <c r="AF129" s="516">
        <v>0</v>
      </c>
      <c r="AG129" s="516">
        <v>0</v>
      </c>
      <c r="AH129" s="516">
        <v>0</v>
      </c>
      <c r="AI129" s="516">
        <v>0</v>
      </c>
      <c r="AJ129" s="516">
        <v>0</v>
      </c>
      <c r="AK129" s="516">
        <v>0</v>
      </c>
      <c r="AL129" s="516">
        <v>0</v>
      </c>
      <c r="AM129" s="516">
        <v>0</v>
      </c>
      <c r="AN129" s="516">
        <v>0</v>
      </c>
      <c r="AO129" s="516">
        <v>0</v>
      </c>
      <c r="AP129" s="516">
        <v>0</v>
      </c>
      <c r="AQ129" s="516">
        <v>200346</v>
      </c>
      <c r="AR129" s="516">
        <v>103100</v>
      </c>
      <c r="AS129" s="516">
        <v>0</v>
      </c>
      <c r="AT129" s="516">
        <v>0</v>
      </c>
      <c r="AU129" s="516">
        <v>0</v>
      </c>
      <c r="AV129" s="516">
        <v>0</v>
      </c>
      <c r="AW129" s="516">
        <v>0</v>
      </c>
      <c r="AX129" s="516">
        <v>0</v>
      </c>
      <c r="AY129" s="516">
        <v>0</v>
      </c>
      <c r="AZ129" s="516">
        <v>0</v>
      </c>
      <c r="BA129" s="516">
        <v>0</v>
      </c>
      <c r="BB129" s="516">
        <v>0</v>
      </c>
      <c r="BC129" s="516">
        <v>0</v>
      </c>
      <c r="BD129" s="516">
        <v>0</v>
      </c>
      <c r="BE129" s="516">
        <v>0</v>
      </c>
      <c r="BF129" s="516">
        <v>0</v>
      </c>
      <c r="BG129" s="516">
        <v>0</v>
      </c>
      <c r="BH129" s="516">
        <v>0</v>
      </c>
      <c r="BI129" s="516">
        <v>0</v>
      </c>
      <c r="BJ129" s="516">
        <v>17610</v>
      </c>
      <c r="BK129" s="516">
        <v>0</v>
      </c>
      <c r="BL129" s="516">
        <v>1185</v>
      </c>
      <c r="BM129" s="516">
        <v>0</v>
      </c>
      <c r="BN129" s="516">
        <v>0</v>
      </c>
      <c r="BO129" s="516">
        <v>13232</v>
      </c>
      <c r="BP129" s="516">
        <v>0</v>
      </c>
      <c r="BQ129" s="516">
        <v>0</v>
      </c>
      <c r="BR129" s="516">
        <v>0</v>
      </c>
      <c r="BS129" s="516">
        <v>33020</v>
      </c>
      <c r="BT129" s="516">
        <v>0</v>
      </c>
      <c r="BU129" s="516">
        <v>0</v>
      </c>
      <c r="BV129" s="516">
        <v>0</v>
      </c>
      <c r="BW129" s="516">
        <v>0</v>
      </c>
      <c r="BX129" s="516">
        <v>0</v>
      </c>
      <c r="BY129" s="516">
        <v>0</v>
      </c>
      <c r="BZ129" s="516">
        <v>0</v>
      </c>
      <c r="CA129" s="516">
        <v>584374</v>
      </c>
      <c r="CB129" s="516">
        <v>0</v>
      </c>
    </row>
    <row r="130" spans="1:80" x14ac:dyDescent="0.25">
      <c r="A130" s="860">
        <v>369</v>
      </c>
      <c r="B130" s="846">
        <v>369</v>
      </c>
      <c r="C130" s="860" t="s">
        <v>272</v>
      </c>
      <c r="D130" s="860" t="s">
        <v>514</v>
      </c>
      <c r="E130" s="516">
        <v>913216</v>
      </c>
      <c r="F130" s="516">
        <v>5362015</v>
      </c>
      <c r="G130" s="516">
        <v>0</v>
      </c>
      <c r="H130" s="516">
        <v>6584422</v>
      </c>
      <c r="I130" s="516">
        <v>1295380</v>
      </c>
      <c r="J130" s="516">
        <v>102920</v>
      </c>
      <c r="K130" s="516">
        <v>716677</v>
      </c>
      <c r="L130" s="516">
        <v>1305125</v>
      </c>
      <c r="M130" s="516">
        <v>8412783</v>
      </c>
      <c r="N130" s="516">
        <v>70410</v>
      </c>
      <c r="O130" s="516">
        <v>379018</v>
      </c>
      <c r="P130" s="516">
        <v>604981</v>
      </c>
      <c r="Q130" s="516">
        <v>9521523</v>
      </c>
      <c r="R130" s="516">
        <v>2059079</v>
      </c>
      <c r="S130" s="516">
        <v>3261529</v>
      </c>
      <c r="T130" s="516">
        <v>868207</v>
      </c>
      <c r="U130" s="516">
        <v>0</v>
      </c>
      <c r="V130" s="516">
        <v>1263431</v>
      </c>
      <c r="W130" s="516">
        <v>19562</v>
      </c>
      <c r="X130" s="516">
        <v>2206449</v>
      </c>
      <c r="Y130" s="516">
        <v>5205567</v>
      </c>
      <c r="Z130" s="516">
        <v>1887191</v>
      </c>
      <c r="AA130" s="516">
        <v>336447</v>
      </c>
      <c r="AB130" s="516">
        <v>1684104</v>
      </c>
      <c r="AC130" s="516">
        <v>419747</v>
      </c>
      <c r="AD130" s="516">
        <v>8470</v>
      </c>
      <c r="AE130" s="516">
        <v>502855</v>
      </c>
      <c r="AF130" s="516">
        <v>1292203</v>
      </c>
      <c r="AG130" s="516">
        <v>114690</v>
      </c>
      <c r="AH130" s="516">
        <v>38379</v>
      </c>
      <c r="AI130" s="516">
        <v>12110</v>
      </c>
      <c r="AJ130" s="516">
        <v>1008394</v>
      </c>
      <c r="AK130" s="516">
        <v>2009971</v>
      </c>
      <c r="AL130" s="516">
        <v>262053</v>
      </c>
      <c r="AM130" s="516">
        <v>16291</v>
      </c>
      <c r="AN130" s="516">
        <v>9221216</v>
      </c>
      <c r="AO130" s="516">
        <v>3079353</v>
      </c>
      <c r="AP130" s="516">
        <v>168080</v>
      </c>
      <c r="AQ130" s="516">
        <v>2107695</v>
      </c>
      <c r="AR130" s="516">
        <v>8162211</v>
      </c>
      <c r="AS130" s="516">
        <v>1215284</v>
      </c>
      <c r="AT130" s="516">
        <v>209984</v>
      </c>
      <c r="AU130" s="516">
        <v>1808914</v>
      </c>
      <c r="AV130" s="516">
        <v>5693932</v>
      </c>
      <c r="AW130" s="516">
        <v>43383</v>
      </c>
      <c r="AX130" s="516">
        <v>192950</v>
      </c>
      <c r="AY130" s="516">
        <v>1420829</v>
      </c>
      <c r="AZ130" s="516">
        <v>542084</v>
      </c>
      <c r="BA130" s="516">
        <v>1344558</v>
      </c>
      <c r="BB130" s="516">
        <v>47023</v>
      </c>
      <c r="BC130" s="516">
        <v>0</v>
      </c>
      <c r="BD130" s="516">
        <v>0</v>
      </c>
      <c r="BE130" s="516">
        <v>41108</v>
      </c>
      <c r="BF130" s="516">
        <v>0</v>
      </c>
      <c r="BG130" s="516">
        <v>123885</v>
      </c>
      <c r="BH130" s="516">
        <v>46823</v>
      </c>
      <c r="BI130" s="516">
        <v>1148199</v>
      </c>
      <c r="BJ130" s="516">
        <v>100749</v>
      </c>
      <c r="BK130" s="516">
        <v>0</v>
      </c>
      <c r="BL130" s="516">
        <v>1941577</v>
      </c>
      <c r="BM130" s="516">
        <v>525551</v>
      </c>
      <c r="BN130" s="516">
        <v>48683</v>
      </c>
      <c r="BO130" s="516">
        <v>1114818</v>
      </c>
      <c r="BP130" s="516">
        <v>775718</v>
      </c>
      <c r="BQ130" s="516">
        <v>414108</v>
      </c>
      <c r="BR130" s="516">
        <v>596990</v>
      </c>
      <c r="BS130" s="516">
        <v>667620</v>
      </c>
      <c r="BT130" s="516">
        <v>1231517</v>
      </c>
      <c r="BU130" s="516">
        <v>1237545</v>
      </c>
      <c r="BV130" s="516">
        <v>450790</v>
      </c>
      <c r="BW130" s="516">
        <v>222704</v>
      </c>
      <c r="BX130" s="516">
        <v>451321</v>
      </c>
      <c r="BY130" s="516">
        <v>35626</v>
      </c>
      <c r="BZ130" s="516">
        <v>37061</v>
      </c>
      <c r="CA130" s="516">
        <v>6078526</v>
      </c>
      <c r="CB130" s="516">
        <v>78355</v>
      </c>
    </row>
    <row r="131" spans="1:80" x14ac:dyDescent="0.25">
      <c r="A131" s="860">
        <v>370</v>
      </c>
      <c r="B131" s="846">
        <v>370</v>
      </c>
      <c r="C131" s="860" t="s">
        <v>274</v>
      </c>
      <c r="D131" s="860" t="s">
        <v>515</v>
      </c>
      <c r="E131" s="516">
        <v>32935</v>
      </c>
      <c r="F131" s="516">
        <v>1752049</v>
      </c>
      <c r="G131" s="516">
        <v>0</v>
      </c>
      <c r="H131" s="516">
        <v>3988736</v>
      </c>
      <c r="I131" s="516">
        <v>196678</v>
      </c>
      <c r="J131" s="516">
        <v>0</v>
      </c>
      <c r="K131" s="516">
        <v>0</v>
      </c>
      <c r="L131" s="516">
        <v>95558</v>
      </c>
      <c r="M131" s="516">
        <v>8428016</v>
      </c>
      <c r="N131" s="516">
        <v>0</v>
      </c>
      <c r="O131" s="516">
        <v>11270</v>
      </c>
      <c r="P131" s="516">
        <v>43106</v>
      </c>
      <c r="Q131" s="516">
        <v>3550879</v>
      </c>
      <c r="R131" s="516">
        <v>2978562</v>
      </c>
      <c r="S131" s="516">
        <v>465512</v>
      </c>
      <c r="T131" s="516">
        <v>621069</v>
      </c>
      <c r="U131" s="516">
        <v>0</v>
      </c>
      <c r="V131" s="516">
        <v>962099</v>
      </c>
      <c r="W131" s="516">
        <v>0</v>
      </c>
      <c r="X131" s="516">
        <v>2132787</v>
      </c>
      <c r="Y131" s="516">
        <v>715473</v>
      </c>
      <c r="Z131" s="516">
        <v>816208</v>
      </c>
      <c r="AA131" s="516">
        <v>97898</v>
      </c>
      <c r="AB131" s="516">
        <v>282563</v>
      </c>
      <c r="AC131" s="516">
        <v>0</v>
      </c>
      <c r="AD131" s="516">
        <v>4894</v>
      </c>
      <c r="AE131" s="516">
        <v>70740</v>
      </c>
      <c r="AF131" s="516">
        <v>269530</v>
      </c>
      <c r="AG131" s="516">
        <v>5052</v>
      </c>
      <c r="AH131" s="516">
        <v>0</v>
      </c>
      <c r="AI131" s="516">
        <v>0</v>
      </c>
      <c r="AJ131" s="516">
        <v>0</v>
      </c>
      <c r="AK131" s="516">
        <v>604090</v>
      </c>
      <c r="AL131" s="516">
        <v>0</v>
      </c>
      <c r="AM131" s="516">
        <v>0</v>
      </c>
      <c r="AN131" s="516">
        <v>1621480</v>
      </c>
      <c r="AO131" s="516">
        <v>786777</v>
      </c>
      <c r="AP131" s="516">
        <v>0</v>
      </c>
      <c r="AQ131" s="516">
        <v>207214</v>
      </c>
      <c r="AR131" s="516">
        <v>1033172</v>
      </c>
      <c r="AS131" s="516">
        <v>47612</v>
      </c>
      <c r="AT131" s="516">
        <v>108163</v>
      </c>
      <c r="AU131" s="516">
        <v>2849398</v>
      </c>
      <c r="AV131" s="516">
        <v>394488</v>
      </c>
      <c r="AW131" s="516">
        <v>0</v>
      </c>
      <c r="AX131" s="516">
        <v>3514</v>
      </c>
      <c r="AY131" s="516">
        <v>198692</v>
      </c>
      <c r="AZ131" s="516">
        <v>78236</v>
      </c>
      <c r="BA131" s="516">
        <v>128017</v>
      </c>
      <c r="BB131" s="516">
        <v>0</v>
      </c>
      <c r="BC131" s="516">
        <v>0</v>
      </c>
      <c r="BD131" s="516">
        <v>0</v>
      </c>
      <c r="BE131" s="516">
        <v>0</v>
      </c>
      <c r="BF131" s="516">
        <v>0</v>
      </c>
      <c r="BG131" s="516">
        <v>0</v>
      </c>
      <c r="BH131" s="516">
        <v>0</v>
      </c>
      <c r="BI131" s="516">
        <v>38826</v>
      </c>
      <c r="BJ131" s="516">
        <v>194685</v>
      </c>
      <c r="BK131" s="516">
        <v>0</v>
      </c>
      <c r="BL131" s="516">
        <v>276905</v>
      </c>
      <c r="BM131" s="516">
        <v>0</v>
      </c>
      <c r="BN131" s="516">
        <v>0</v>
      </c>
      <c r="BO131" s="516">
        <v>220529</v>
      </c>
      <c r="BP131" s="516">
        <v>0</v>
      </c>
      <c r="BQ131" s="516">
        <v>12304</v>
      </c>
      <c r="BR131" s="516">
        <v>0</v>
      </c>
      <c r="BS131" s="516">
        <v>0</v>
      </c>
      <c r="BT131" s="516">
        <v>1197266</v>
      </c>
      <c r="BU131" s="516">
        <v>62330</v>
      </c>
      <c r="BV131" s="516">
        <v>87658</v>
      </c>
      <c r="BW131" s="516">
        <v>83200</v>
      </c>
      <c r="BX131" s="516">
        <v>0</v>
      </c>
      <c r="BY131" s="516">
        <v>0</v>
      </c>
      <c r="BZ131" s="516">
        <v>0</v>
      </c>
      <c r="CA131" s="516">
        <v>1633032</v>
      </c>
      <c r="CB131" s="516">
        <v>4956</v>
      </c>
    </row>
    <row r="132" spans="1:80" x14ac:dyDescent="0.25">
      <c r="A132" s="860">
        <v>371</v>
      </c>
      <c r="B132" s="846">
        <v>371</v>
      </c>
      <c r="C132" s="860" t="s">
        <v>329</v>
      </c>
      <c r="D132" s="860" t="s">
        <v>516</v>
      </c>
      <c r="E132" s="516">
        <v>0</v>
      </c>
      <c r="F132" s="516">
        <v>2016077</v>
      </c>
      <c r="G132" s="516">
        <v>0</v>
      </c>
      <c r="H132" s="516">
        <v>0</v>
      </c>
      <c r="I132" s="516">
        <v>0</v>
      </c>
      <c r="J132" s="516">
        <v>0</v>
      </c>
      <c r="K132" s="516">
        <v>0</v>
      </c>
      <c r="L132" s="516">
        <v>0</v>
      </c>
      <c r="M132" s="516">
        <v>0</v>
      </c>
      <c r="N132" s="516">
        <v>0</v>
      </c>
      <c r="O132" s="516">
        <v>0</v>
      </c>
      <c r="P132" s="516">
        <v>0</v>
      </c>
      <c r="Q132" s="516">
        <v>0</v>
      </c>
      <c r="R132" s="516">
        <v>0</v>
      </c>
      <c r="S132" s="516">
        <v>0</v>
      </c>
      <c r="T132" s="516">
        <v>0</v>
      </c>
      <c r="U132" s="516">
        <v>0</v>
      </c>
      <c r="V132" s="516">
        <v>0</v>
      </c>
      <c r="W132" s="516">
        <v>0</v>
      </c>
      <c r="X132" s="516">
        <v>0</v>
      </c>
      <c r="Y132" s="516">
        <v>0</v>
      </c>
      <c r="Z132" s="516">
        <v>0</v>
      </c>
      <c r="AA132" s="516">
        <v>0</v>
      </c>
      <c r="AB132" s="516">
        <v>0</v>
      </c>
      <c r="AC132" s="516">
        <v>0</v>
      </c>
      <c r="AD132" s="516">
        <v>0</v>
      </c>
      <c r="AE132" s="516">
        <v>0</v>
      </c>
      <c r="AF132" s="516">
        <v>0</v>
      </c>
      <c r="AG132" s="516">
        <v>0</v>
      </c>
      <c r="AH132" s="516">
        <v>0</v>
      </c>
      <c r="AI132" s="516">
        <v>0</v>
      </c>
      <c r="AJ132" s="516">
        <v>0</v>
      </c>
      <c r="AK132" s="516">
        <v>0</v>
      </c>
      <c r="AL132" s="516">
        <v>0</v>
      </c>
      <c r="AM132" s="516">
        <v>0</v>
      </c>
      <c r="AN132" s="516">
        <v>0</v>
      </c>
      <c r="AO132" s="516">
        <v>0</v>
      </c>
      <c r="AP132" s="516">
        <v>0</v>
      </c>
      <c r="AQ132" s="516">
        <v>0</v>
      </c>
      <c r="AR132" s="516">
        <v>0</v>
      </c>
      <c r="AS132" s="516">
        <v>0</v>
      </c>
      <c r="AT132" s="516">
        <v>0</v>
      </c>
      <c r="AU132" s="516">
        <v>0</v>
      </c>
      <c r="AV132" s="516">
        <v>0</v>
      </c>
      <c r="AW132" s="516">
        <v>0</v>
      </c>
      <c r="AX132" s="516">
        <v>0</v>
      </c>
      <c r="AY132" s="516">
        <v>0</v>
      </c>
      <c r="AZ132" s="516">
        <v>0</v>
      </c>
      <c r="BA132" s="516">
        <v>0</v>
      </c>
      <c r="BB132" s="516">
        <v>0</v>
      </c>
      <c r="BC132" s="516">
        <v>0</v>
      </c>
      <c r="BD132" s="516">
        <v>0</v>
      </c>
      <c r="BE132" s="516">
        <v>0</v>
      </c>
      <c r="BF132" s="516">
        <v>0</v>
      </c>
      <c r="BG132" s="516">
        <v>0</v>
      </c>
      <c r="BH132" s="516">
        <v>0</v>
      </c>
      <c r="BI132" s="516">
        <v>0</v>
      </c>
      <c r="BJ132" s="516">
        <v>0</v>
      </c>
      <c r="BK132" s="516">
        <v>0</v>
      </c>
      <c r="BL132" s="516">
        <v>0</v>
      </c>
      <c r="BM132" s="516">
        <v>0</v>
      </c>
      <c r="BN132" s="516">
        <v>0</v>
      </c>
      <c r="BO132" s="516">
        <v>0</v>
      </c>
      <c r="BP132" s="516">
        <v>0</v>
      </c>
      <c r="BQ132" s="516">
        <v>0</v>
      </c>
      <c r="BR132" s="516">
        <v>0</v>
      </c>
      <c r="BS132" s="516">
        <v>0</v>
      </c>
      <c r="BT132" s="516">
        <v>0</v>
      </c>
      <c r="BU132" s="516">
        <v>0</v>
      </c>
      <c r="BV132" s="516">
        <v>0</v>
      </c>
      <c r="BW132" s="516">
        <v>0</v>
      </c>
      <c r="BX132" s="516">
        <v>0</v>
      </c>
      <c r="BY132" s="516">
        <v>0</v>
      </c>
      <c r="BZ132" s="516">
        <v>0</v>
      </c>
      <c r="CA132" s="516">
        <v>0</v>
      </c>
      <c r="CB132" s="516">
        <v>0</v>
      </c>
    </row>
    <row r="133" spans="1:80" x14ac:dyDescent="0.25">
      <c r="A133" s="860">
        <v>373</v>
      </c>
      <c r="B133" s="846">
        <v>373</v>
      </c>
      <c r="C133" s="860" t="s">
        <v>643</v>
      </c>
      <c r="D133" s="860" t="s">
        <v>517</v>
      </c>
      <c r="E133" s="516">
        <v>1758394</v>
      </c>
      <c r="F133" s="516">
        <v>13170271</v>
      </c>
      <c r="G133" s="516">
        <v>0</v>
      </c>
      <c r="H133" s="516">
        <v>92125797</v>
      </c>
      <c r="I133" s="516">
        <v>5900473</v>
      </c>
      <c r="J133" s="516">
        <v>108014</v>
      </c>
      <c r="K133" s="516">
        <v>862550</v>
      </c>
      <c r="L133" s="516">
        <v>1595762</v>
      </c>
      <c r="M133" s="516">
        <v>96801967</v>
      </c>
      <c r="N133" s="516">
        <v>89415</v>
      </c>
      <c r="O133" s="516">
        <v>938281</v>
      </c>
      <c r="P133" s="516">
        <v>2576293</v>
      </c>
      <c r="Q133" s="516">
        <v>74979035</v>
      </c>
      <c r="R133" s="516">
        <v>18518612</v>
      </c>
      <c r="S133" s="516">
        <v>5068368</v>
      </c>
      <c r="T133" s="516">
        <v>20436710</v>
      </c>
      <c r="U133" s="516">
        <v>0</v>
      </c>
      <c r="V133" s="516">
        <v>26352282</v>
      </c>
      <c r="W133" s="516">
        <v>9065</v>
      </c>
      <c r="X133" s="516">
        <v>13485920</v>
      </c>
      <c r="Y133" s="516">
        <v>23578727</v>
      </c>
      <c r="Z133" s="516">
        <v>4837427</v>
      </c>
      <c r="AA133" s="516">
        <v>15431668</v>
      </c>
      <c r="AB133" s="516">
        <v>4739122</v>
      </c>
      <c r="AC133" s="516">
        <v>513112</v>
      </c>
      <c r="AD133" s="516">
        <v>616754</v>
      </c>
      <c r="AE133" s="516">
        <v>2048939</v>
      </c>
      <c r="AF133" s="516">
        <v>2774509</v>
      </c>
      <c r="AG133" s="516">
        <v>141428</v>
      </c>
      <c r="AH133" s="516">
        <v>73504</v>
      </c>
      <c r="AI133" s="516">
        <v>758744</v>
      </c>
      <c r="AJ133" s="516">
        <v>1103183</v>
      </c>
      <c r="AK133" s="516">
        <v>6565116</v>
      </c>
      <c r="AL133" s="516">
        <v>962794</v>
      </c>
      <c r="AM133" s="516">
        <v>16856</v>
      </c>
      <c r="AN133" s="516">
        <v>26533718</v>
      </c>
      <c r="AO133" s="516">
        <v>57123429</v>
      </c>
      <c r="AP133" s="516">
        <v>271075</v>
      </c>
      <c r="AQ133" s="516">
        <v>4060176</v>
      </c>
      <c r="AR133" s="516">
        <v>65633734</v>
      </c>
      <c r="AS133" s="516">
        <v>2615507</v>
      </c>
      <c r="AT133" s="516">
        <v>1639660</v>
      </c>
      <c r="AU133" s="516">
        <v>3552049</v>
      </c>
      <c r="AV133" s="516">
        <v>23569360</v>
      </c>
      <c r="AW133" s="516">
        <v>58884</v>
      </c>
      <c r="AX133" s="516">
        <v>259722</v>
      </c>
      <c r="AY133" s="516">
        <v>5423995</v>
      </c>
      <c r="AZ133" s="516">
        <v>5629152</v>
      </c>
      <c r="BA133" s="516">
        <v>6361029</v>
      </c>
      <c r="BB133" s="516">
        <v>24456</v>
      </c>
      <c r="BC133" s="516">
        <v>0</v>
      </c>
      <c r="BD133" s="516">
        <v>0</v>
      </c>
      <c r="BE133" s="516">
        <v>86253</v>
      </c>
      <c r="BF133" s="516">
        <v>0</v>
      </c>
      <c r="BG133" s="516">
        <v>246590</v>
      </c>
      <c r="BH133" s="516">
        <v>91774</v>
      </c>
      <c r="BI133" s="516">
        <v>4373162</v>
      </c>
      <c r="BJ133" s="516">
        <v>3526094</v>
      </c>
      <c r="BK133" s="516">
        <v>0</v>
      </c>
      <c r="BL133" s="516">
        <v>9319474</v>
      </c>
      <c r="BM133" s="516">
        <v>3696411</v>
      </c>
      <c r="BN133" s="516">
        <v>109737</v>
      </c>
      <c r="BO133" s="516">
        <v>9632568</v>
      </c>
      <c r="BP133" s="516">
        <v>5684635</v>
      </c>
      <c r="BQ133" s="516">
        <v>692447</v>
      </c>
      <c r="BR133" s="516">
        <v>1812828</v>
      </c>
      <c r="BS133" s="516">
        <v>271961</v>
      </c>
      <c r="BT133" s="516">
        <v>116665620</v>
      </c>
      <c r="BU133" s="516">
        <v>2580764</v>
      </c>
      <c r="BV133" s="516">
        <v>3760530</v>
      </c>
      <c r="BW133" s="516">
        <v>691041</v>
      </c>
      <c r="BX133" s="516">
        <v>879491</v>
      </c>
      <c r="BY133" s="516">
        <v>34612</v>
      </c>
      <c r="BZ133" s="516">
        <v>61662</v>
      </c>
      <c r="CA133" s="516">
        <v>13891151</v>
      </c>
      <c r="CB133" s="516">
        <v>64903</v>
      </c>
    </row>
    <row r="134" spans="1:80" x14ac:dyDescent="0.25">
      <c r="A134" s="860">
        <v>375</v>
      </c>
      <c r="B134" s="846">
        <v>375</v>
      </c>
      <c r="C134" s="860" t="s">
        <v>289</v>
      </c>
      <c r="D134" s="860" t="s">
        <v>518</v>
      </c>
      <c r="E134" s="516">
        <v>0</v>
      </c>
      <c r="F134" s="516">
        <v>0</v>
      </c>
      <c r="G134" s="516">
        <v>0</v>
      </c>
      <c r="H134" s="516">
        <v>35258215</v>
      </c>
      <c r="I134" s="516">
        <v>9689872</v>
      </c>
      <c r="J134" s="516">
        <v>-4079</v>
      </c>
      <c r="K134" s="516">
        <v>5487128</v>
      </c>
      <c r="L134" s="516">
        <v>212724</v>
      </c>
      <c r="M134" s="516">
        <v>443255</v>
      </c>
      <c r="N134" s="516">
        <v>0</v>
      </c>
      <c r="O134" s="516">
        <v>980348</v>
      </c>
      <c r="P134" s="516">
        <v>948566</v>
      </c>
      <c r="Q134" s="516">
        <v>0</v>
      </c>
      <c r="R134" s="516">
        <v>7653992</v>
      </c>
      <c r="S134" s="516">
        <v>7253306</v>
      </c>
      <c r="T134" s="516">
        <v>5937662</v>
      </c>
      <c r="U134" s="516">
        <v>0</v>
      </c>
      <c r="V134" s="516">
        <v>0</v>
      </c>
      <c r="W134" s="516">
        <v>0</v>
      </c>
      <c r="X134" s="516">
        <v>0</v>
      </c>
      <c r="Y134" s="516">
        <v>37335</v>
      </c>
      <c r="Z134" s="516">
        <v>1913728</v>
      </c>
      <c r="AA134" s="516">
        <v>879723</v>
      </c>
      <c r="AB134" s="516">
        <v>71234</v>
      </c>
      <c r="AC134" s="516">
        <v>0</v>
      </c>
      <c r="AD134" s="516">
        <v>65091</v>
      </c>
      <c r="AE134" s="516">
        <v>1531462</v>
      </c>
      <c r="AF134" s="516">
        <v>577421</v>
      </c>
      <c r="AG134" s="516">
        <v>66583</v>
      </c>
      <c r="AH134" s="516">
        <v>0</v>
      </c>
      <c r="AI134" s="516">
        <v>0</v>
      </c>
      <c r="AJ134" s="516">
        <v>820600</v>
      </c>
      <c r="AK134" s="516">
        <v>5322048</v>
      </c>
      <c r="AL134" s="516">
        <v>368396</v>
      </c>
      <c r="AM134" s="516">
        <v>0</v>
      </c>
      <c r="AN134" s="516">
        <v>15494601</v>
      </c>
      <c r="AO134" s="516">
        <v>14407381</v>
      </c>
      <c r="AP134" s="516">
        <v>80736</v>
      </c>
      <c r="AQ134" s="516">
        <v>0</v>
      </c>
      <c r="AR134" s="516">
        <v>8443065</v>
      </c>
      <c r="AS134" s="516">
        <v>1318373</v>
      </c>
      <c r="AT134" s="516">
        <v>111512</v>
      </c>
      <c r="AU134" s="516">
        <v>929604</v>
      </c>
      <c r="AV134" s="516">
        <v>8170227</v>
      </c>
      <c r="AW134" s="516">
        <v>1068069</v>
      </c>
      <c r="AX134" s="516">
        <v>222801</v>
      </c>
      <c r="AY134" s="516">
        <v>0</v>
      </c>
      <c r="AZ134" s="516">
        <v>715566</v>
      </c>
      <c r="BA134" s="516">
        <v>1433023</v>
      </c>
      <c r="BB134" s="516">
        <v>0</v>
      </c>
      <c r="BC134" s="516">
        <v>0</v>
      </c>
      <c r="BD134" s="516">
        <v>0</v>
      </c>
      <c r="BE134" s="516">
        <v>0</v>
      </c>
      <c r="BF134" s="516">
        <v>0</v>
      </c>
      <c r="BG134" s="516">
        <v>-35913</v>
      </c>
      <c r="BH134" s="516">
        <v>0</v>
      </c>
      <c r="BI134" s="516">
        <v>2109134</v>
      </c>
      <c r="BJ134" s="516">
        <v>1838151</v>
      </c>
      <c r="BK134" s="516">
        <v>0</v>
      </c>
      <c r="BL134" s="516">
        <v>4994733</v>
      </c>
      <c r="BM134" s="516">
        <v>1798065</v>
      </c>
      <c r="BN134" s="516">
        <v>0</v>
      </c>
      <c r="BO134" s="516">
        <v>2196552</v>
      </c>
      <c r="BP134" s="516">
        <v>3724622</v>
      </c>
      <c r="BQ134" s="516">
        <v>833056</v>
      </c>
      <c r="BR134" s="516">
        <v>2730957</v>
      </c>
      <c r="BS134" s="516">
        <v>0</v>
      </c>
      <c r="BT134" s="516">
        <v>0</v>
      </c>
      <c r="BU134" s="516">
        <v>1214930</v>
      </c>
      <c r="BV134" s="516">
        <v>-470242</v>
      </c>
      <c r="BW134" s="516">
        <v>132684</v>
      </c>
      <c r="BX134" s="516">
        <v>973239</v>
      </c>
      <c r="BY134" s="516">
        <v>0</v>
      </c>
      <c r="BZ134" s="516">
        <v>0</v>
      </c>
      <c r="CA134" s="516">
        <v>7619918</v>
      </c>
      <c r="CB134" s="516">
        <v>0</v>
      </c>
    </row>
    <row r="135" spans="1:80" x14ac:dyDescent="0.25">
      <c r="A135" s="860">
        <v>376</v>
      </c>
      <c r="B135" s="846">
        <v>376</v>
      </c>
      <c r="C135" s="860" t="s">
        <v>115</v>
      </c>
      <c r="D135" s="860" t="s">
        <v>519</v>
      </c>
      <c r="E135" s="516">
        <v>0</v>
      </c>
      <c r="F135" s="516">
        <v>0</v>
      </c>
      <c r="G135" s="516">
        <v>0</v>
      </c>
      <c r="H135" s="516">
        <v>0</v>
      </c>
      <c r="I135" s="516">
        <v>0</v>
      </c>
      <c r="J135" s="516">
        <v>0</v>
      </c>
      <c r="K135" s="516">
        <v>0</v>
      </c>
      <c r="L135" s="516">
        <v>0</v>
      </c>
      <c r="M135" s="516">
        <v>0</v>
      </c>
      <c r="N135" s="516">
        <v>0</v>
      </c>
      <c r="O135" s="516">
        <v>0</v>
      </c>
      <c r="P135" s="516">
        <v>0</v>
      </c>
      <c r="Q135" s="516">
        <v>0</v>
      </c>
      <c r="R135" s="516">
        <v>0</v>
      </c>
      <c r="S135" s="516">
        <v>0</v>
      </c>
      <c r="T135" s="516">
        <v>0</v>
      </c>
      <c r="U135" s="516">
        <v>0</v>
      </c>
      <c r="V135" s="516">
        <v>0</v>
      </c>
      <c r="W135" s="516">
        <v>0</v>
      </c>
      <c r="X135" s="516">
        <v>0</v>
      </c>
      <c r="Y135" s="516">
        <v>868237</v>
      </c>
      <c r="Z135" s="516">
        <v>0</v>
      </c>
      <c r="AA135" s="516">
        <v>14498</v>
      </c>
      <c r="AB135" s="516">
        <v>0</v>
      </c>
      <c r="AC135" s="516">
        <v>0</v>
      </c>
      <c r="AD135" s="516">
        <v>0</v>
      </c>
      <c r="AE135" s="516">
        <v>0</v>
      </c>
      <c r="AF135" s="516">
        <v>0</v>
      </c>
      <c r="AG135" s="516">
        <v>0</v>
      </c>
      <c r="AH135" s="516">
        <v>0</v>
      </c>
      <c r="AI135" s="516">
        <v>0</v>
      </c>
      <c r="AJ135" s="516">
        <v>0</v>
      </c>
      <c r="AK135" s="516">
        <v>0</v>
      </c>
      <c r="AL135" s="516">
        <v>0</v>
      </c>
      <c r="AM135" s="516">
        <v>0</v>
      </c>
      <c r="AN135" s="516">
        <v>-241266</v>
      </c>
      <c r="AO135" s="516">
        <v>0</v>
      </c>
      <c r="AP135" s="516">
        <v>0</v>
      </c>
      <c r="AQ135" s="516">
        <v>0</v>
      </c>
      <c r="AR135" s="516">
        <v>0</v>
      </c>
      <c r="AS135" s="516">
        <v>0</v>
      </c>
      <c r="AT135" s="516">
        <v>0</v>
      </c>
      <c r="AU135" s="516">
        <v>0</v>
      </c>
      <c r="AV135" s="516">
        <v>-1</v>
      </c>
      <c r="AW135" s="516">
        <v>0</v>
      </c>
      <c r="AX135" s="516">
        <v>0</v>
      </c>
      <c r="AY135" s="516">
        <v>-117540</v>
      </c>
      <c r="AZ135" s="516">
        <v>1</v>
      </c>
      <c r="BA135" s="516">
        <v>0</v>
      </c>
      <c r="BB135" s="516">
        <v>0</v>
      </c>
      <c r="BC135" s="516">
        <v>0</v>
      </c>
      <c r="BD135" s="516">
        <v>0</v>
      </c>
      <c r="BE135" s="516">
        <v>0</v>
      </c>
      <c r="BF135" s="516">
        <v>0</v>
      </c>
      <c r="BG135" s="516">
        <v>0</v>
      </c>
      <c r="BH135" s="516">
        <v>1</v>
      </c>
      <c r="BI135" s="516">
        <v>0</v>
      </c>
      <c r="BJ135" s="516">
        <v>0</v>
      </c>
      <c r="BK135" s="516">
        <v>0</v>
      </c>
      <c r="BL135" s="516">
        <v>0</v>
      </c>
      <c r="BM135" s="516">
        <v>0</v>
      </c>
      <c r="BN135" s="516">
        <v>0</v>
      </c>
      <c r="BO135" s="516">
        <v>0</v>
      </c>
      <c r="BP135" s="516">
        <v>0</v>
      </c>
      <c r="BQ135" s="516">
        <v>0</v>
      </c>
      <c r="BR135" s="516">
        <v>-1</v>
      </c>
      <c r="BS135" s="516">
        <v>0</v>
      </c>
      <c r="BT135" s="516">
        <v>0</v>
      </c>
      <c r="BU135" s="516">
        <v>0</v>
      </c>
      <c r="BV135" s="516">
        <v>0</v>
      </c>
      <c r="BW135" s="516">
        <v>0</v>
      </c>
      <c r="BX135" s="516">
        <v>0</v>
      </c>
      <c r="BY135" s="516">
        <v>0</v>
      </c>
      <c r="BZ135" s="516">
        <v>0</v>
      </c>
      <c r="CA135" s="516">
        <v>0</v>
      </c>
      <c r="CB135" s="516">
        <v>1</v>
      </c>
    </row>
    <row r="136" spans="1:80" x14ac:dyDescent="0.25">
      <c r="A136" s="860">
        <v>377</v>
      </c>
      <c r="B136" s="846">
        <v>377</v>
      </c>
      <c r="C136" s="860" t="s">
        <v>116</v>
      </c>
      <c r="D136" s="860" t="s">
        <v>520</v>
      </c>
      <c r="E136" s="516">
        <v>0</v>
      </c>
      <c r="F136" s="516">
        <v>0</v>
      </c>
      <c r="G136" s="516">
        <v>0</v>
      </c>
      <c r="H136" s="516">
        <v>0</v>
      </c>
      <c r="I136" s="516">
        <v>0</v>
      </c>
      <c r="J136" s="516">
        <v>0</v>
      </c>
      <c r="K136" s="516">
        <v>0</v>
      </c>
      <c r="L136" s="516">
        <v>0</v>
      </c>
      <c r="M136" s="516">
        <v>0</v>
      </c>
      <c r="N136" s="516">
        <v>0</v>
      </c>
      <c r="O136" s="516">
        <v>0</v>
      </c>
      <c r="P136" s="516">
        <v>0</v>
      </c>
      <c r="Q136" s="516">
        <v>0</v>
      </c>
      <c r="R136" s="516">
        <v>0</v>
      </c>
      <c r="S136" s="516">
        <v>0</v>
      </c>
      <c r="T136" s="516">
        <v>0</v>
      </c>
      <c r="U136" s="516">
        <v>0</v>
      </c>
      <c r="V136" s="516">
        <v>0</v>
      </c>
      <c r="W136" s="516">
        <v>0</v>
      </c>
      <c r="X136" s="516">
        <v>0</v>
      </c>
      <c r="Y136" s="516">
        <v>0</v>
      </c>
      <c r="Z136" s="516">
        <v>0</v>
      </c>
      <c r="AA136" s="516">
        <v>0</v>
      </c>
      <c r="AB136" s="516">
        <v>0</v>
      </c>
      <c r="AC136" s="516">
        <v>0</v>
      </c>
      <c r="AD136" s="516">
        <v>0</v>
      </c>
      <c r="AE136" s="516">
        <v>0</v>
      </c>
      <c r="AF136" s="516">
        <v>0</v>
      </c>
      <c r="AG136" s="516">
        <v>0</v>
      </c>
      <c r="AH136" s="516">
        <v>0</v>
      </c>
      <c r="AI136" s="516">
        <v>0</v>
      </c>
      <c r="AJ136" s="516">
        <v>0</v>
      </c>
      <c r="AK136" s="516">
        <v>0</v>
      </c>
      <c r="AL136" s="516">
        <v>0</v>
      </c>
      <c r="AM136" s="516">
        <v>0</v>
      </c>
      <c r="AN136" s="516">
        <v>-101104</v>
      </c>
      <c r="AO136" s="516">
        <v>0</v>
      </c>
      <c r="AP136" s="516">
        <v>0</v>
      </c>
      <c r="AQ136" s="516">
        <v>0</v>
      </c>
      <c r="AR136" s="516">
        <v>0</v>
      </c>
      <c r="AS136" s="516">
        <v>0</v>
      </c>
      <c r="AT136" s="516">
        <v>0</v>
      </c>
      <c r="AU136" s="516">
        <v>0</v>
      </c>
      <c r="AV136" s="516">
        <v>0</v>
      </c>
      <c r="AW136" s="516">
        <v>0</v>
      </c>
      <c r="AX136" s="516">
        <v>0</v>
      </c>
      <c r="AY136" s="516">
        <v>-16463</v>
      </c>
      <c r="AZ136" s="516">
        <v>0</v>
      </c>
      <c r="BA136" s="516">
        <v>0</v>
      </c>
      <c r="BB136" s="516">
        <v>0</v>
      </c>
      <c r="BC136" s="516">
        <v>0</v>
      </c>
      <c r="BD136" s="516">
        <v>0</v>
      </c>
      <c r="BE136" s="516">
        <v>0</v>
      </c>
      <c r="BF136" s="516">
        <v>0</v>
      </c>
      <c r="BG136" s="516">
        <v>0</v>
      </c>
      <c r="BH136" s="516">
        <v>0</v>
      </c>
      <c r="BI136" s="516">
        <v>0</v>
      </c>
      <c r="BJ136" s="516">
        <v>0</v>
      </c>
      <c r="BK136" s="516">
        <v>0</v>
      </c>
      <c r="BL136" s="516">
        <v>0</v>
      </c>
      <c r="BM136" s="516">
        <v>0</v>
      </c>
      <c r="BN136" s="516">
        <v>0</v>
      </c>
      <c r="BO136" s="516">
        <v>0</v>
      </c>
      <c r="BP136" s="516">
        <v>0</v>
      </c>
      <c r="BQ136" s="516">
        <v>0</v>
      </c>
      <c r="BR136" s="516">
        <v>1</v>
      </c>
      <c r="BS136" s="516">
        <v>0</v>
      </c>
      <c r="BT136" s="516">
        <v>0</v>
      </c>
      <c r="BU136" s="516">
        <v>0</v>
      </c>
      <c r="BV136" s="516">
        <v>0</v>
      </c>
      <c r="BW136" s="516">
        <v>1</v>
      </c>
      <c r="BX136" s="516">
        <v>0</v>
      </c>
      <c r="BY136" s="516">
        <v>0</v>
      </c>
      <c r="BZ136" s="516">
        <v>0</v>
      </c>
      <c r="CA136" s="516">
        <v>0</v>
      </c>
      <c r="CB136" s="516">
        <v>0</v>
      </c>
    </row>
    <row r="137" spans="1:80" x14ac:dyDescent="0.25">
      <c r="A137" s="860">
        <v>378</v>
      </c>
      <c r="B137" s="846">
        <v>378</v>
      </c>
      <c r="C137" s="860" t="s">
        <v>117</v>
      </c>
      <c r="D137" s="860" t="s">
        <v>521</v>
      </c>
      <c r="E137" s="516">
        <v>0</v>
      </c>
      <c r="F137" s="516">
        <v>0</v>
      </c>
      <c r="G137" s="516">
        <v>0</v>
      </c>
      <c r="H137" s="516">
        <v>0</v>
      </c>
      <c r="I137" s="516">
        <v>0</v>
      </c>
      <c r="J137" s="516">
        <v>0</v>
      </c>
      <c r="K137" s="516">
        <v>0</v>
      </c>
      <c r="L137" s="516">
        <v>0</v>
      </c>
      <c r="M137" s="516">
        <v>0</v>
      </c>
      <c r="N137" s="516">
        <v>0</v>
      </c>
      <c r="O137" s="516">
        <v>0</v>
      </c>
      <c r="P137" s="516">
        <v>0</v>
      </c>
      <c r="Q137" s="516">
        <v>0</v>
      </c>
      <c r="R137" s="516">
        <v>0</v>
      </c>
      <c r="S137" s="516">
        <v>0</v>
      </c>
      <c r="T137" s="516">
        <v>0</v>
      </c>
      <c r="U137" s="516">
        <v>0</v>
      </c>
      <c r="V137" s="516">
        <v>-39384</v>
      </c>
      <c r="W137" s="516">
        <v>0</v>
      </c>
      <c r="X137" s="516">
        <v>0</v>
      </c>
      <c r="Y137" s="516">
        <v>0</v>
      </c>
      <c r="Z137" s="516">
        <v>0</v>
      </c>
      <c r="AA137" s="516">
        <v>0</v>
      </c>
      <c r="AB137" s="516">
        <v>0</v>
      </c>
      <c r="AC137" s="516">
        <v>0</v>
      </c>
      <c r="AD137" s="516">
        <v>0</v>
      </c>
      <c r="AE137" s="516">
        <v>0</v>
      </c>
      <c r="AF137" s="516">
        <v>0</v>
      </c>
      <c r="AG137" s="516">
        <v>0</v>
      </c>
      <c r="AH137" s="516">
        <v>0</v>
      </c>
      <c r="AI137" s="516">
        <v>0</v>
      </c>
      <c r="AJ137" s="516">
        <v>0</v>
      </c>
      <c r="AK137" s="516">
        <v>0</v>
      </c>
      <c r="AL137" s="516">
        <v>0</v>
      </c>
      <c r="AM137" s="516">
        <v>0</v>
      </c>
      <c r="AN137" s="516">
        <v>0</v>
      </c>
      <c r="AO137" s="516">
        <v>0</v>
      </c>
      <c r="AP137" s="516">
        <v>0</v>
      </c>
      <c r="AQ137" s="516">
        <v>0</v>
      </c>
      <c r="AR137" s="516">
        <v>0</v>
      </c>
      <c r="AS137" s="516">
        <v>0</v>
      </c>
      <c r="AT137" s="516">
        <v>0</v>
      </c>
      <c r="AU137" s="516">
        <v>0</v>
      </c>
      <c r="AV137" s="516">
        <v>0</v>
      </c>
      <c r="AW137" s="516">
        <v>0</v>
      </c>
      <c r="AX137" s="516">
        <v>0</v>
      </c>
      <c r="AY137" s="516">
        <v>0</v>
      </c>
      <c r="AZ137" s="516">
        <v>0</v>
      </c>
      <c r="BA137" s="516">
        <v>0</v>
      </c>
      <c r="BB137" s="516">
        <v>0</v>
      </c>
      <c r="BC137" s="516">
        <v>0</v>
      </c>
      <c r="BD137" s="516">
        <v>0</v>
      </c>
      <c r="BE137" s="516">
        <v>0</v>
      </c>
      <c r="BF137" s="516">
        <v>0</v>
      </c>
      <c r="BG137" s="516">
        <v>0</v>
      </c>
      <c r="BH137" s="516">
        <v>0</v>
      </c>
      <c r="BI137" s="516">
        <v>0</v>
      </c>
      <c r="BJ137" s="516">
        <v>0</v>
      </c>
      <c r="BK137" s="516">
        <v>0</v>
      </c>
      <c r="BL137" s="516">
        <v>0</v>
      </c>
      <c r="BM137" s="516">
        <v>0</v>
      </c>
      <c r="BN137" s="516">
        <v>0</v>
      </c>
      <c r="BO137" s="516">
        <v>0</v>
      </c>
      <c r="BP137" s="516">
        <v>0</v>
      </c>
      <c r="BQ137" s="516">
        <v>0</v>
      </c>
      <c r="BR137" s="516">
        <v>0</v>
      </c>
      <c r="BS137" s="516">
        <v>0</v>
      </c>
      <c r="BT137" s="516">
        <v>0</v>
      </c>
      <c r="BU137" s="516">
        <v>0</v>
      </c>
      <c r="BV137" s="516">
        <v>0</v>
      </c>
      <c r="BW137" s="516">
        <v>0</v>
      </c>
      <c r="BX137" s="516">
        <v>0</v>
      </c>
      <c r="BY137" s="516">
        <v>0</v>
      </c>
      <c r="BZ137" s="516">
        <v>0</v>
      </c>
      <c r="CA137" s="516">
        <v>0</v>
      </c>
      <c r="CB137" s="516">
        <v>0</v>
      </c>
    </row>
    <row r="138" spans="1:80" x14ac:dyDescent="0.25">
      <c r="A138" s="860">
        <v>379</v>
      </c>
      <c r="B138" s="846">
        <v>379</v>
      </c>
      <c r="C138" s="860" t="s">
        <v>125</v>
      </c>
      <c r="D138" s="860" t="s">
        <v>522</v>
      </c>
      <c r="E138" s="516">
        <v>475410</v>
      </c>
      <c r="F138" s="516">
        <v>22088795</v>
      </c>
      <c r="G138" s="516">
        <v>0</v>
      </c>
      <c r="H138" s="516">
        <v>38064351</v>
      </c>
      <c r="I138" s="516">
        <v>4779642</v>
      </c>
      <c r="J138" s="516">
        <v>593782</v>
      </c>
      <c r="K138" s="516">
        <v>2831858</v>
      </c>
      <c r="L138" s="516">
        <v>1506847</v>
      </c>
      <c r="M138" s="516">
        <v>26099754</v>
      </c>
      <c r="N138" s="516">
        <v>249356</v>
      </c>
      <c r="O138" s="516">
        <v>749307</v>
      </c>
      <c r="P138" s="516">
        <v>726033</v>
      </c>
      <c r="Q138" s="516">
        <v>18572533</v>
      </c>
      <c r="R138" s="516">
        <v>19587703</v>
      </c>
      <c r="S138" s="516">
        <v>3381693</v>
      </c>
      <c r="T138" s="516">
        <v>9461944</v>
      </c>
      <c r="U138" s="516">
        <v>0</v>
      </c>
      <c r="V138" s="516">
        <v>8915453</v>
      </c>
      <c r="W138" s="516">
        <v>273950</v>
      </c>
      <c r="X138" s="516">
        <v>12336655</v>
      </c>
      <c r="Y138" s="516">
        <v>9237090</v>
      </c>
      <c r="Z138" s="516">
        <v>4842117</v>
      </c>
      <c r="AA138" s="516">
        <v>2180694</v>
      </c>
      <c r="AB138" s="516">
        <v>3872003</v>
      </c>
      <c r="AC138" s="516">
        <v>1268540</v>
      </c>
      <c r="AD138" s="516">
        <v>303404</v>
      </c>
      <c r="AE138" s="516">
        <v>1434187</v>
      </c>
      <c r="AF138" s="516">
        <v>1893129</v>
      </c>
      <c r="AG138" s="516">
        <v>160616</v>
      </c>
      <c r="AH138" s="516">
        <v>88514</v>
      </c>
      <c r="AI138" s="516">
        <v>307010</v>
      </c>
      <c r="AJ138" s="516">
        <v>1898265</v>
      </c>
      <c r="AK138" s="516">
        <v>3599903</v>
      </c>
      <c r="AL138" s="516">
        <v>269420</v>
      </c>
      <c r="AM138" s="516">
        <v>116052</v>
      </c>
      <c r="AN138" s="516">
        <v>15107704</v>
      </c>
      <c r="AO138" s="516">
        <v>12070346</v>
      </c>
      <c r="AP138" s="516">
        <v>611461</v>
      </c>
      <c r="AQ138" s="516">
        <v>7813796</v>
      </c>
      <c r="AR138" s="516">
        <v>13833614</v>
      </c>
      <c r="AS138" s="516">
        <v>3025386</v>
      </c>
      <c r="AT138" s="516">
        <v>454793</v>
      </c>
      <c r="AU138" s="516">
        <v>3170427</v>
      </c>
      <c r="AV138" s="516">
        <v>6707017</v>
      </c>
      <c r="AW138" s="516">
        <v>159013</v>
      </c>
      <c r="AX138" s="516">
        <v>434467</v>
      </c>
      <c r="AY138" s="516">
        <v>3578766</v>
      </c>
      <c r="AZ138" s="516">
        <v>2837794</v>
      </c>
      <c r="BA138" s="516">
        <v>2628049</v>
      </c>
      <c r="BB138" s="516">
        <v>101926</v>
      </c>
      <c r="BC138" s="516">
        <v>0</v>
      </c>
      <c r="BD138" s="516">
        <v>0</v>
      </c>
      <c r="BE138" s="516">
        <v>388894</v>
      </c>
      <c r="BF138" s="516">
        <v>0</v>
      </c>
      <c r="BG138" s="516">
        <v>546144</v>
      </c>
      <c r="BH138" s="516">
        <v>162468</v>
      </c>
      <c r="BI138" s="516">
        <v>2838478</v>
      </c>
      <c r="BJ138" s="516">
        <v>3375737</v>
      </c>
      <c r="BK138" s="516">
        <v>0</v>
      </c>
      <c r="BL138" s="516">
        <v>2993019</v>
      </c>
      <c r="BM138" s="516">
        <v>6060652</v>
      </c>
      <c r="BN138" s="516">
        <v>131566</v>
      </c>
      <c r="BO138" s="516">
        <v>4270673</v>
      </c>
      <c r="BP138" s="516">
        <v>3339930</v>
      </c>
      <c r="BQ138" s="516">
        <v>1711352</v>
      </c>
      <c r="BR138" s="516">
        <v>1581816</v>
      </c>
      <c r="BS138" s="516">
        <v>1682716</v>
      </c>
      <c r="BT138" s="516">
        <v>13364839</v>
      </c>
      <c r="BU138" s="516">
        <v>2950863</v>
      </c>
      <c r="BV138" s="516">
        <v>1840948</v>
      </c>
      <c r="BW138" s="516">
        <v>1090685</v>
      </c>
      <c r="BX138" s="516">
        <v>1295166</v>
      </c>
      <c r="BY138" s="516">
        <v>177930</v>
      </c>
      <c r="BZ138" s="516">
        <v>210037</v>
      </c>
      <c r="CA138" s="516">
        <v>14948965</v>
      </c>
      <c r="CB138" s="516">
        <v>185910</v>
      </c>
    </row>
    <row r="139" spans="1:80" x14ac:dyDescent="0.25">
      <c r="A139" s="860">
        <v>380</v>
      </c>
      <c r="B139" s="846">
        <v>380</v>
      </c>
      <c r="C139" s="860" t="s">
        <v>128</v>
      </c>
      <c r="D139" s="860" t="s">
        <v>523</v>
      </c>
      <c r="E139" s="516">
        <v>7349</v>
      </c>
      <c r="F139" s="516">
        <v>77116</v>
      </c>
      <c r="G139" s="516">
        <v>0</v>
      </c>
      <c r="H139" s="516">
        <v>271685</v>
      </c>
      <c r="I139" s="516">
        <v>15194</v>
      </c>
      <c r="J139" s="516">
        <v>25640</v>
      </c>
      <c r="K139" s="516">
        <v>74905</v>
      </c>
      <c r="L139" s="516">
        <v>48145</v>
      </c>
      <c r="M139" s="516">
        <v>687287</v>
      </c>
      <c r="N139" s="516">
        <v>3322</v>
      </c>
      <c r="O139" s="516">
        <v>51273</v>
      </c>
      <c r="P139" s="516">
        <v>11078</v>
      </c>
      <c r="Q139" s="516">
        <v>227256</v>
      </c>
      <c r="R139" s="516">
        <v>93080</v>
      </c>
      <c r="S139" s="516">
        <v>83022</v>
      </c>
      <c r="T139" s="516">
        <v>62575</v>
      </c>
      <c r="U139" s="516">
        <v>0</v>
      </c>
      <c r="V139" s="516">
        <v>611898</v>
      </c>
      <c r="W139" s="516">
        <v>1010</v>
      </c>
      <c r="X139" s="516">
        <v>58383</v>
      </c>
      <c r="Y139" s="516">
        <v>138109</v>
      </c>
      <c r="Z139" s="516">
        <v>20188</v>
      </c>
      <c r="AA139" s="516">
        <v>72919</v>
      </c>
      <c r="AB139" s="516">
        <v>122777</v>
      </c>
      <c r="AC139" s="516">
        <v>6167</v>
      </c>
      <c r="AD139" s="516">
        <v>0</v>
      </c>
      <c r="AE139" s="516">
        <v>5436</v>
      </c>
      <c r="AF139" s="516">
        <v>97004</v>
      </c>
      <c r="AG139" s="516">
        <v>4429</v>
      </c>
      <c r="AH139" s="516">
        <v>1715</v>
      </c>
      <c r="AI139" s="516">
        <v>1157</v>
      </c>
      <c r="AJ139" s="516">
        <v>13247</v>
      </c>
      <c r="AK139" s="516">
        <v>566828</v>
      </c>
      <c r="AL139" s="516">
        <v>2816</v>
      </c>
      <c r="AM139" s="516">
        <v>781</v>
      </c>
      <c r="AN139" s="516">
        <v>70732</v>
      </c>
      <c r="AO139" s="516">
        <v>236526</v>
      </c>
      <c r="AP139" s="516">
        <v>10907</v>
      </c>
      <c r="AQ139" s="516">
        <v>29337</v>
      </c>
      <c r="AR139" s="516">
        <v>538333</v>
      </c>
      <c r="AS139" s="516">
        <v>28019</v>
      </c>
      <c r="AT139" s="516">
        <v>17762</v>
      </c>
      <c r="AU139" s="516">
        <v>9047</v>
      </c>
      <c r="AV139" s="516">
        <v>114021</v>
      </c>
      <c r="AW139" s="516">
        <v>866</v>
      </c>
      <c r="AX139" s="516">
        <v>35999</v>
      </c>
      <c r="AY139" s="516">
        <v>42435</v>
      </c>
      <c r="AZ139" s="516">
        <v>63778</v>
      </c>
      <c r="BA139" s="516">
        <v>36498</v>
      </c>
      <c r="BB139" s="516">
        <v>9464</v>
      </c>
      <c r="BC139" s="516">
        <v>0</v>
      </c>
      <c r="BD139" s="516">
        <v>0</v>
      </c>
      <c r="BE139" s="516">
        <v>4976</v>
      </c>
      <c r="BF139" s="516">
        <v>0</v>
      </c>
      <c r="BG139" s="516">
        <v>36314</v>
      </c>
      <c r="BH139" s="516">
        <v>881</v>
      </c>
      <c r="BI139" s="516">
        <v>43337</v>
      </c>
      <c r="BJ139" s="516">
        <v>78889</v>
      </c>
      <c r="BK139" s="516">
        <v>0</v>
      </c>
      <c r="BL139" s="516">
        <v>16913</v>
      </c>
      <c r="BM139" s="516">
        <v>28582</v>
      </c>
      <c r="BN139" s="516">
        <v>0</v>
      </c>
      <c r="BO139" s="516">
        <v>101290</v>
      </c>
      <c r="BP139" s="516">
        <v>31676</v>
      </c>
      <c r="BQ139" s="516">
        <v>25341</v>
      </c>
      <c r="BR139" s="516">
        <v>56801</v>
      </c>
      <c r="BS139" s="516">
        <v>1670</v>
      </c>
      <c r="BT139" s="516">
        <v>270471</v>
      </c>
      <c r="BU139" s="516">
        <v>480576</v>
      </c>
      <c r="BV139" s="516">
        <v>30659</v>
      </c>
      <c r="BW139" s="516">
        <v>24650</v>
      </c>
      <c r="BX139" s="516">
        <v>5223</v>
      </c>
      <c r="BY139" s="516">
        <v>441</v>
      </c>
      <c r="BZ139" s="516">
        <v>685</v>
      </c>
      <c r="CA139" s="516">
        <v>100614</v>
      </c>
      <c r="CB139" s="516">
        <v>21074</v>
      </c>
    </row>
    <row r="140" spans="1:80" x14ac:dyDescent="0.25">
      <c r="A140" s="860">
        <v>381</v>
      </c>
      <c r="B140" s="846">
        <v>381</v>
      </c>
      <c r="C140" s="860" t="s">
        <v>120</v>
      </c>
      <c r="D140" s="860" t="s">
        <v>524</v>
      </c>
      <c r="E140" s="516">
        <v>0</v>
      </c>
      <c r="F140" s="516">
        <v>0</v>
      </c>
      <c r="G140" s="516">
        <v>0</v>
      </c>
      <c r="H140" s="516">
        <v>137575743</v>
      </c>
      <c r="I140" s="516">
        <v>24544350</v>
      </c>
      <c r="J140" s="516">
        <v>635415</v>
      </c>
      <c r="K140" s="516">
        <v>11084392</v>
      </c>
      <c r="L140" s="516">
        <v>6737551</v>
      </c>
      <c r="M140" s="516">
        <v>131037411</v>
      </c>
      <c r="N140" s="516">
        <v>0</v>
      </c>
      <c r="O140" s="516">
        <v>3914694</v>
      </c>
      <c r="P140" s="516">
        <v>5500035</v>
      </c>
      <c r="Q140" s="516">
        <v>0</v>
      </c>
      <c r="R140" s="516">
        <v>23223019</v>
      </c>
      <c r="S140" s="516">
        <v>36542496</v>
      </c>
      <c r="T140" s="516">
        <v>63514882</v>
      </c>
      <c r="U140" s="516">
        <v>0</v>
      </c>
      <c r="V140" s="516">
        <v>86395919</v>
      </c>
      <c r="W140" s="516">
        <v>0</v>
      </c>
      <c r="X140" s="516">
        <v>0</v>
      </c>
      <c r="Y140" s="516">
        <v>516257</v>
      </c>
      <c r="Z140" s="516">
        <v>9217029</v>
      </c>
      <c r="AA140" s="516">
        <v>8768007</v>
      </c>
      <c r="AB140" s="516">
        <v>7373988</v>
      </c>
      <c r="AC140" s="516">
        <v>0</v>
      </c>
      <c r="AD140" s="516">
        <v>163877</v>
      </c>
      <c r="AE140" s="516">
        <v>10018697</v>
      </c>
      <c r="AF140" s="516">
        <v>12895067</v>
      </c>
      <c r="AG140" s="516">
        <v>719872</v>
      </c>
      <c r="AH140" s="516">
        <v>0</v>
      </c>
      <c r="AI140" s="516">
        <v>0</v>
      </c>
      <c r="AJ140" s="516">
        <v>2600011</v>
      </c>
      <c r="AK140" s="516">
        <v>41817420</v>
      </c>
      <c r="AL140" s="516">
        <v>1922895</v>
      </c>
      <c r="AM140" s="516">
        <v>0</v>
      </c>
      <c r="AN140" s="516">
        <v>56515577</v>
      </c>
      <c r="AO140" s="516">
        <v>76882591</v>
      </c>
      <c r="AP140" s="516">
        <v>375755</v>
      </c>
      <c r="AQ140" s="516">
        <v>0</v>
      </c>
      <c r="AR140" s="516">
        <v>48554834</v>
      </c>
      <c r="AS140" s="516">
        <v>5839408</v>
      </c>
      <c r="AT140" s="516">
        <v>4815372</v>
      </c>
      <c r="AU140" s="516">
        <v>5788753</v>
      </c>
      <c r="AV140" s="516">
        <v>38940624</v>
      </c>
      <c r="AW140" s="516">
        <v>1804535</v>
      </c>
      <c r="AX140" s="516">
        <v>5071026</v>
      </c>
      <c r="AY140" s="516">
        <v>11118019</v>
      </c>
      <c r="AZ140" s="516">
        <v>9493166</v>
      </c>
      <c r="BA140" s="516">
        <v>17339713</v>
      </c>
      <c r="BB140" s="516">
        <v>0</v>
      </c>
      <c r="BC140" s="516">
        <v>0</v>
      </c>
      <c r="BD140" s="516">
        <v>0</v>
      </c>
      <c r="BE140" s="516">
        <v>0</v>
      </c>
      <c r="BF140" s="516">
        <v>0</v>
      </c>
      <c r="BG140" s="516">
        <v>2808212</v>
      </c>
      <c r="BH140" s="516">
        <v>0</v>
      </c>
      <c r="BI140" s="516">
        <v>7821917</v>
      </c>
      <c r="BJ140" s="516">
        <v>7656845</v>
      </c>
      <c r="BK140" s="516">
        <v>0</v>
      </c>
      <c r="BL140" s="516">
        <v>13838658</v>
      </c>
      <c r="BM140" s="516">
        <v>8236522</v>
      </c>
      <c r="BN140" s="516">
        <v>0</v>
      </c>
      <c r="BO140" s="516">
        <v>22046202</v>
      </c>
      <c r="BP140" s="516">
        <v>12551134</v>
      </c>
      <c r="BQ140" s="516">
        <v>9090414</v>
      </c>
      <c r="BR140" s="516">
        <v>8226367</v>
      </c>
      <c r="BS140" s="516">
        <v>0</v>
      </c>
      <c r="BT140" s="516">
        <v>0</v>
      </c>
      <c r="BU140" s="516">
        <v>7228605</v>
      </c>
      <c r="BV140" s="516">
        <v>18148576</v>
      </c>
      <c r="BW140" s="516">
        <v>4217993</v>
      </c>
      <c r="BX140" s="516">
        <v>4111516</v>
      </c>
      <c r="BY140" s="516">
        <v>0</v>
      </c>
      <c r="BZ140" s="516">
        <v>0</v>
      </c>
      <c r="CA140" s="516">
        <v>57784499</v>
      </c>
      <c r="CB140" s="516">
        <v>0</v>
      </c>
    </row>
    <row r="141" spans="1:80" x14ac:dyDescent="0.25">
      <c r="A141" s="860">
        <v>382</v>
      </c>
      <c r="B141" s="846">
        <v>382</v>
      </c>
      <c r="C141" s="860" t="s">
        <v>121</v>
      </c>
      <c r="D141" s="860" t="s">
        <v>525</v>
      </c>
      <c r="E141" s="516">
        <v>0</v>
      </c>
      <c r="F141" s="516">
        <v>0</v>
      </c>
      <c r="G141" s="516">
        <v>0</v>
      </c>
      <c r="H141" s="516">
        <v>0</v>
      </c>
      <c r="I141" s="516">
        <v>0</v>
      </c>
      <c r="J141" s="516">
        <v>0</v>
      </c>
      <c r="K141" s="516">
        <v>0</v>
      </c>
      <c r="L141" s="516">
        <v>0</v>
      </c>
      <c r="M141" s="516">
        <v>0</v>
      </c>
      <c r="N141" s="516">
        <v>0</v>
      </c>
      <c r="O141" s="516">
        <v>0</v>
      </c>
      <c r="P141" s="516">
        <v>0</v>
      </c>
      <c r="Q141" s="516">
        <v>0</v>
      </c>
      <c r="R141" s="516">
        <v>0</v>
      </c>
      <c r="S141" s="516">
        <v>0</v>
      </c>
      <c r="T141" s="516">
        <v>11951436</v>
      </c>
      <c r="U141" s="516">
        <v>0</v>
      </c>
      <c r="V141" s="516">
        <v>57726374</v>
      </c>
      <c r="W141" s="516">
        <v>0</v>
      </c>
      <c r="X141" s="516">
        <v>0</v>
      </c>
      <c r="Y141" s="516">
        <v>0</v>
      </c>
      <c r="Z141" s="516">
        <v>0</v>
      </c>
      <c r="AA141" s="516">
        <v>2484058</v>
      </c>
      <c r="AB141" s="516">
        <v>2051211</v>
      </c>
      <c r="AC141" s="516">
        <v>0</v>
      </c>
      <c r="AD141" s="516">
        <v>0</v>
      </c>
      <c r="AE141" s="516">
        <v>0</v>
      </c>
      <c r="AF141" s="516">
        <v>4050181</v>
      </c>
      <c r="AG141" s="516">
        <v>0</v>
      </c>
      <c r="AH141" s="516">
        <v>0</v>
      </c>
      <c r="AI141" s="516">
        <v>0</v>
      </c>
      <c r="AJ141" s="516">
        <v>0</v>
      </c>
      <c r="AK141" s="516">
        <v>13257565</v>
      </c>
      <c r="AL141" s="516">
        <v>0</v>
      </c>
      <c r="AM141" s="516">
        <v>0</v>
      </c>
      <c r="AN141" s="516">
        <v>0</v>
      </c>
      <c r="AO141" s="516">
        <v>0</v>
      </c>
      <c r="AP141" s="516">
        <v>0</v>
      </c>
      <c r="AQ141" s="516">
        <v>0</v>
      </c>
      <c r="AR141" s="516">
        <v>59995607</v>
      </c>
      <c r="AS141" s="516">
        <v>0</v>
      </c>
      <c r="AT141" s="516">
        <v>0</v>
      </c>
      <c r="AU141" s="516">
        <v>0</v>
      </c>
      <c r="AV141" s="516">
        <v>7411590</v>
      </c>
      <c r="AW141" s="516">
        <v>0</v>
      </c>
      <c r="AX141" s="516">
        <v>0</v>
      </c>
      <c r="AY141" s="516">
        <v>0</v>
      </c>
      <c r="AZ141" s="516">
        <v>0</v>
      </c>
      <c r="BA141" s="516">
        <v>6953638</v>
      </c>
      <c r="BB141" s="516">
        <v>0</v>
      </c>
      <c r="BC141" s="516">
        <v>0</v>
      </c>
      <c r="BD141" s="516">
        <v>0</v>
      </c>
      <c r="BE141" s="516">
        <v>0</v>
      </c>
      <c r="BF141" s="516">
        <v>0</v>
      </c>
      <c r="BG141" s="516">
        <v>494353</v>
      </c>
      <c r="BH141" s="516">
        <v>0</v>
      </c>
      <c r="BI141" s="516">
        <v>0</v>
      </c>
      <c r="BJ141" s="516">
        <v>0</v>
      </c>
      <c r="BK141" s="516">
        <v>0</v>
      </c>
      <c r="BL141" s="516">
        <v>4919131</v>
      </c>
      <c r="BM141" s="516">
        <v>0</v>
      </c>
      <c r="BN141" s="516">
        <v>0</v>
      </c>
      <c r="BO141" s="516">
        <v>0</v>
      </c>
      <c r="BP141" s="516">
        <v>0</v>
      </c>
      <c r="BQ141" s="516">
        <v>0</v>
      </c>
      <c r="BR141" s="516">
        <v>0</v>
      </c>
      <c r="BS141" s="516">
        <v>0</v>
      </c>
      <c r="BT141" s="516">
        <v>0</v>
      </c>
      <c r="BU141" s="516">
        <v>0</v>
      </c>
      <c r="BV141" s="516">
        <v>0</v>
      </c>
      <c r="BW141" s="516">
        <v>0</v>
      </c>
      <c r="BX141" s="516">
        <v>0</v>
      </c>
      <c r="BY141" s="516">
        <v>0</v>
      </c>
      <c r="BZ141" s="516">
        <v>0</v>
      </c>
      <c r="CA141" s="516">
        <v>0</v>
      </c>
      <c r="CB141" s="516">
        <v>0</v>
      </c>
    </row>
    <row r="142" spans="1:80" x14ac:dyDescent="0.25">
      <c r="A142" s="860">
        <v>383</v>
      </c>
      <c r="B142" s="846">
        <v>383</v>
      </c>
      <c r="C142" s="860" t="s">
        <v>288</v>
      </c>
      <c r="D142" s="860" t="s">
        <v>526</v>
      </c>
      <c r="E142" s="516">
        <v>0</v>
      </c>
      <c r="F142" s="516">
        <v>0</v>
      </c>
      <c r="G142" s="516">
        <v>0</v>
      </c>
      <c r="H142" s="516">
        <v>0</v>
      </c>
      <c r="I142" s="516">
        <v>0</v>
      </c>
      <c r="J142" s="516">
        <v>0</v>
      </c>
      <c r="K142" s="516">
        <v>0</v>
      </c>
      <c r="L142" s="516">
        <v>0</v>
      </c>
      <c r="M142" s="516">
        <v>0</v>
      </c>
      <c r="N142" s="516">
        <v>0</v>
      </c>
      <c r="O142" s="516">
        <v>3619</v>
      </c>
      <c r="P142" s="516">
        <v>0</v>
      </c>
      <c r="Q142" s="516">
        <v>0</v>
      </c>
      <c r="R142" s="516">
        <v>0</v>
      </c>
      <c r="S142" s="516">
        <v>0</v>
      </c>
      <c r="T142" s="516">
        <v>0</v>
      </c>
      <c r="U142" s="516">
        <v>0</v>
      </c>
      <c r="V142" s="516">
        <v>0</v>
      </c>
      <c r="W142" s="516">
        <v>0</v>
      </c>
      <c r="X142" s="516">
        <v>0</v>
      </c>
      <c r="Y142" s="516">
        <v>0</v>
      </c>
      <c r="Z142" s="516">
        <v>0</v>
      </c>
      <c r="AA142" s="516">
        <v>0</v>
      </c>
      <c r="AB142" s="516">
        <v>0</v>
      </c>
      <c r="AC142" s="516">
        <v>0</v>
      </c>
      <c r="AD142" s="516">
        <v>0</v>
      </c>
      <c r="AE142" s="516">
        <v>0</v>
      </c>
      <c r="AF142" s="516">
        <v>0</v>
      </c>
      <c r="AG142" s="516">
        <v>0</v>
      </c>
      <c r="AH142" s="516">
        <v>0</v>
      </c>
      <c r="AI142" s="516">
        <v>0</v>
      </c>
      <c r="AJ142" s="516">
        <v>0</v>
      </c>
      <c r="AK142" s="516">
        <v>0</v>
      </c>
      <c r="AL142" s="516">
        <v>0</v>
      </c>
      <c r="AM142" s="516">
        <v>0</v>
      </c>
      <c r="AN142" s="516">
        <v>0</v>
      </c>
      <c r="AO142" s="516">
        <v>0</v>
      </c>
      <c r="AP142" s="516">
        <v>0</v>
      </c>
      <c r="AQ142" s="516">
        <v>0</v>
      </c>
      <c r="AR142" s="516">
        <v>0</v>
      </c>
      <c r="AS142" s="516">
        <v>2000</v>
      </c>
      <c r="AT142" s="516">
        <v>0</v>
      </c>
      <c r="AU142" s="516">
        <v>0</v>
      </c>
      <c r="AV142" s="516">
        <v>0</v>
      </c>
      <c r="AW142" s="516">
        <v>0</v>
      </c>
      <c r="AX142" s="516">
        <v>0</v>
      </c>
      <c r="AY142" s="516">
        <v>0</v>
      </c>
      <c r="AZ142" s="516">
        <v>0</v>
      </c>
      <c r="BA142" s="516">
        <v>0</v>
      </c>
      <c r="BB142" s="516">
        <v>0</v>
      </c>
      <c r="BC142" s="516">
        <v>0</v>
      </c>
      <c r="BD142" s="516">
        <v>0</v>
      </c>
      <c r="BE142" s="516">
        <v>0</v>
      </c>
      <c r="BF142" s="516">
        <v>0</v>
      </c>
      <c r="BG142" s="516">
        <v>0</v>
      </c>
      <c r="BH142" s="516">
        <v>0</v>
      </c>
      <c r="BI142" s="516">
        <v>0</v>
      </c>
      <c r="BJ142" s="516">
        <v>0</v>
      </c>
      <c r="BK142" s="516">
        <v>0</v>
      </c>
      <c r="BL142" s="516">
        <v>0</v>
      </c>
      <c r="BM142" s="516">
        <v>0</v>
      </c>
      <c r="BN142" s="516">
        <v>0</v>
      </c>
      <c r="BO142" s="516">
        <v>0</v>
      </c>
      <c r="BP142" s="516">
        <v>0</v>
      </c>
      <c r="BQ142" s="516">
        <v>0</v>
      </c>
      <c r="BR142" s="516">
        <v>0</v>
      </c>
      <c r="BS142" s="516">
        <v>0</v>
      </c>
      <c r="BT142" s="516">
        <v>0</v>
      </c>
      <c r="BU142" s="516">
        <v>0</v>
      </c>
      <c r="BV142" s="516">
        <v>0</v>
      </c>
      <c r="BW142" s="516">
        <v>25000</v>
      </c>
      <c r="BX142" s="516">
        <v>0</v>
      </c>
      <c r="BY142" s="516">
        <v>0</v>
      </c>
      <c r="BZ142" s="516">
        <v>0</v>
      </c>
      <c r="CA142" s="516">
        <v>0</v>
      </c>
      <c r="CB142" s="516">
        <v>0</v>
      </c>
    </row>
    <row r="143" spans="1:80" x14ac:dyDescent="0.25">
      <c r="A143" s="860">
        <v>384</v>
      </c>
      <c r="B143" s="846">
        <v>384</v>
      </c>
      <c r="C143" s="860" t="s">
        <v>131</v>
      </c>
      <c r="D143" s="860" t="s">
        <v>527</v>
      </c>
      <c r="E143" s="516">
        <v>0</v>
      </c>
      <c r="F143" s="516">
        <v>0</v>
      </c>
      <c r="G143" s="516">
        <v>0</v>
      </c>
      <c r="H143" s="516">
        <v>0</v>
      </c>
      <c r="I143" s="516">
        <v>0</v>
      </c>
      <c r="J143" s="516">
        <v>0</v>
      </c>
      <c r="K143" s="516">
        <v>0</v>
      </c>
      <c r="L143" s="516">
        <v>0</v>
      </c>
      <c r="M143" s="516">
        <v>0</v>
      </c>
      <c r="N143" s="516">
        <v>0</v>
      </c>
      <c r="O143" s="516">
        <v>0</v>
      </c>
      <c r="P143" s="516">
        <v>0</v>
      </c>
      <c r="Q143" s="516">
        <v>0</v>
      </c>
      <c r="R143" s="516">
        <v>0</v>
      </c>
      <c r="S143" s="516">
        <v>0</v>
      </c>
      <c r="T143" s="516">
        <v>0</v>
      </c>
      <c r="U143" s="516">
        <v>0</v>
      </c>
      <c r="V143" s="516">
        <v>0</v>
      </c>
      <c r="W143" s="516">
        <v>0</v>
      </c>
      <c r="X143" s="516">
        <v>0</v>
      </c>
      <c r="Y143" s="516">
        <v>0</v>
      </c>
      <c r="Z143" s="516">
        <v>0</v>
      </c>
      <c r="AA143" s="516">
        <v>0</v>
      </c>
      <c r="AB143" s="516">
        <v>0</v>
      </c>
      <c r="AC143" s="516">
        <v>0</v>
      </c>
      <c r="AD143" s="516">
        <v>0</v>
      </c>
      <c r="AE143" s="516">
        <v>0</v>
      </c>
      <c r="AF143" s="516">
        <v>0</v>
      </c>
      <c r="AG143" s="516">
        <v>0</v>
      </c>
      <c r="AH143" s="516">
        <v>0</v>
      </c>
      <c r="AI143" s="516">
        <v>0</v>
      </c>
      <c r="AJ143" s="516">
        <v>0</v>
      </c>
      <c r="AK143" s="516">
        <v>0</v>
      </c>
      <c r="AL143" s="516">
        <v>0</v>
      </c>
      <c r="AM143" s="516">
        <v>0</v>
      </c>
      <c r="AN143" s="516">
        <v>0</v>
      </c>
      <c r="AO143" s="516">
        <v>0</v>
      </c>
      <c r="AP143" s="516">
        <v>0</v>
      </c>
      <c r="AQ143" s="516">
        <v>0</v>
      </c>
      <c r="AR143" s="516">
        <v>0</v>
      </c>
      <c r="AS143" s="516">
        <v>0</v>
      </c>
      <c r="AT143" s="516">
        <v>0</v>
      </c>
      <c r="AU143" s="516">
        <v>0</v>
      </c>
      <c r="AV143" s="516">
        <v>0</v>
      </c>
      <c r="AW143" s="516">
        <v>0</v>
      </c>
      <c r="AX143" s="516">
        <v>0</v>
      </c>
      <c r="AY143" s="516">
        <v>0</v>
      </c>
      <c r="AZ143" s="516">
        <v>0</v>
      </c>
      <c r="BA143" s="516">
        <v>0</v>
      </c>
      <c r="BB143" s="516">
        <v>0</v>
      </c>
      <c r="BC143" s="516">
        <v>0</v>
      </c>
      <c r="BD143" s="516">
        <v>0</v>
      </c>
      <c r="BE143" s="516">
        <v>0</v>
      </c>
      <c r="BF143" s="516">
        <v>0</v>
      </c>
      <c r="BG143" s="516">
        <v>0</v>
      </c>
      <c r="BH143" s="516">
        <v>0</v>
      </c>
      <c r="BI143" s="516">
        <v>0</v>
      </c>
      <c r="BJ143" s="516">
        <v>0</v>
      </c>
      <c r="BK143" s="516">
        <v>0</v>
      </c>
      <c r="BL143" s="516">
        <v>0</v>
      </c>
      <c r="BM143" s="516">
        <v>0</v>
      </c>
      <c r="BN143" s="516">
        <v>0</v>
      </c>
      <c r="BO143" s="516">
        <v>0</v>
      </c>
      <c r="BP143" s="516">
        <v>0</v>
      </c>
      <c r="BQ143" s="516">
        <v>0</v>
      </c>
      <c r="BR143" s="516">
        <v>0</v>
      </c>
      <c r="BS143" s="516">
        <v>0</v>
      </c>
      <c r="BT143" s="516">
        <v>0</v>
      </c>
      <c r="BU143" s="516">
        <v>0</v>
      </c>
      <c r="BV143" s="516">
        <v>0</v>
      </c>
      <c r="BW143" s="516">
        <v>0</v>
      </c>
      <c r="BX143" s="516">
        <v>0</v>
      </c>
      <c r="BY143" s="516">
        <v>0</v>
      </c>
      <c r="BZ143" s="516">
        <v>0</v>
      </c>
      <c r="CA143" s="516">
        <v>0</v>
      </c>
      <c r="CB143" s="516">
        <v>0</v>
      </c>
    </row>
    <row r="144" spans="1:80" x14ac:dyDescent="0.25">
      <c r="A144" s="860">
        <v>385</v>
      </c>
      <c r="B144" s="846">
        <v>385</v>
      </c>
      <c r="C144" s="860" t="s">
        <v>122</v>
      </c>
      <c r="D144" s="860" t="s">
        <v>528</v>
      </c>
      <c r="E144" s="516">
        <v>3343706</v>
      </c>
      <c r="F144" s="516">
        <v>77821209</v>
      </c>
      <c r="G144" s="516">
        <v>0</v>
      </c>
      <c r="H144" s="516">
        <v>156013067</v>
      </c>
      <c r="I144" s="516">
        <v>12345656</v>
      </c>
      <c r="J144" s="516">
        <v>706215</v>
      </c>
      <c r="K144" s="516">
        <v>3709245</v>
      </c>
      <c r="L144" s="516">
        <v>4967299</v>
      </c>
      <c r="M144" s="516">
        <v>217689552</v>
      </c>
      <c r="N144" s="516">
        <v>326905</v>
      </c>
      <c r="O144" s="516">
        <v>2127940</v>
      </c>
      <c r="P144" s="516">
        <v>2751189</v>
      </c>
      <c r="Q144" s="516">
        <v>179526627</v>
      </c>
      <c r="R144" s="516">
        <v>58418850</v>
      </c>
      <c r="S144" s="516">
        <v>15455840</v>
      </c>
      <c r="T144" s="516">
        <v>24415719</v>
      </c>
      <c r="U144" s="516">
        <v>0</v>
      </c>
      <c r="V144" s="516">
        <v>49817284</v>
      </c>
      <c r="W144" s="516">
        <v>274111</v>
      </c>
      <c r="X144" s="516">
        <v>34334469</v>
      </c>
      <c r="Y144" s="516">
        <v>111132481</v>
      </c>
      <c r="Z144" s="516">
        <v>17974126</v>
      </c>
      <c r="AA144" s="516">
        <v>4672184</v>
      </c>
      <c r="AB144" s="516">
        <v>12640437</v>
      </c>
      <c r="AC144" s="516">
        <v>1584794</v>
      </c>
      <c r="AD144" s="516">
        <v>589296</v>
      </c>
      <c r="AE144" s="516">
        <v>3660767</v>
      </c>
      <c r="AF144" s="516">
        <v>6693813</v>
      </c>
      <c r="AG144" s="516">
        <v>1355807</v>
      </c>
      <c r="AH144" s="516">
        <v>170332</v>
      </c>
      <c r="AI144" s="516">
        <v>1420903</v>
      </c>
      <c r="AJ144" s="516">
        <v>3831333</v>
      </c>
      <c r="AK144" s="516">
        <v>18660268</v>
      </c>
      <c r="AL144" s="516">
        <v>877364</v>
      </c>
      <c r="AM144" s="516">
        <v>138255</v>
      </c>
      <c r="AN144" s="516">
        <v>81706439</v>
      </c>
      <c r="AO144" s="516">
        <v>39183185</v>
      </c>
      <c r="AP144" s="516">
        <v>846770</v>
      </c>
      <c r="AQ144" s="516">
        <v>19813810</v>
      </c>
      <c r="AR144" s="516">
        <v>75368301</v>
      </c>
      <c r="AS144" s="516">
        <v>5283714</v>
      </c>
      <c r="AT144" s="516">
        <v>2018406</v>
      </c>
      <c r="AU144" s="516">
        <v>10215713</v>
      </c>
      <c r="AV144" s="516">
        <v>27321011</v>
      </c>
      <c r="AW144" s="516">
        <v>1011174</v>
      </c>
      <c r="AX144" s="516">
        <v>1463828</v>
      </c>
      <c r="AY144" s="516">
        <v>14259657</v>
      </c>
      <c r="AZ144" s="516">
        <v>6060694</v>
      </c>
      <c r="BA144" s="516">
        <v>9355521</v>
      </c>
      <c r="BB144" s="516">
        <v>127329</v>
      </c>
      <c r="BC144" s="516">
        <v>0</v>
      </c>
      <c r="BD144" s="516">
        <v>0</v>
      </c>
      <c r="BE144" s="516">
        <v>408957</v>
      </c>
      <c r="BF144" s="516">
        <v>0</v>
      </c>
      <c r="BG144" s="516">
        <v>821886</v>
      </c>
      <c r="BH144" s="516">
        <v>220345</v>
      </c>
      <c r="BI144" s="516">
        <v>5546458</v>
      </c>
      <c r="BJ144" s="516">
        <v>11267383</v>
      </c>
      <c r="BK144" s="516">
        <v>0</v>
      </c>
      <c r="BL144" s="516">
        <v>15001182</v>
      </c>
      <c r="BM144" s="516">
        <v>14478241</v>
      </c>
      <c r="BN144" s="516">
        <v>183042</v>
      </c>
      <c r="BO144" s="516">
        <v>15803930</v>
      </c>
      <c r="BP144" s="516">
        <v>8419515</v>
      </c>
      <c r="BQ144" s="516">
        <v>2442597</v>
      </c>
      <c r="BR144" s="516">
        <v>3297402</v>
      </c>
      <c r="BS144" s="516">
        <v>6617247</v>
      </c>
      <c r="BT144" s="516">
        <v>276251672</v>
      </c>
      <c r="BU144" s="516">
        <v>5635008</v>
      </c>
      <c r="BV144" s="516">
        <v>5124515</v>
      </c>
      <c r="BW144" s="516">
        <v>2566500</v>
      </c>
      <c r="BX144" s="516">
        <v>4428989</v>
      </c>
      <c r="BY144" s="516">
        <v>186588</v>
      </c>
      <c r="BZ144" s="516">
        <v>216718</v>
      </c>
      <c r="CA144" s="516">
        <v>74539349</v>
      </c>
      <c r="CB144" s="516">
        <v>358980</v>
      </c>
    </row>
    <row r="145" spans="1:80" x14ac:dyDescent="0.25">
      <c r="A145" s="860">
        <v>386</v>
      </c>
      <c r="B145" s="846">
        <v>386</v>
      </c>
      <c r="C145" s="860" t="s">
        <v>261</v>
      </c>
      <c r="D145" s="860" t="s">
        <v>529</v>
      </c>
      <c r="E145" s="516">
        <v>0</v>
      </c>
      <c r="F145" s="516">
        <v>0</v>
      </c>
      <c r="G145" s="516">
        <v>0</v>
      </c>
      <c r="H145" s="516">
        <v>0</v>
      </c>
      <c r="I145" s="516">
        <v>0</v>
      </c>
      <c r="J145" s="516">
        <v>0</v>
      </c>
      <c r="K145" s="516">
        <v>0</v>
      </c>
      <c r="L145" s="516">
        <v>0</v>
      </c>
      <c r="M145" s="516">
        <v>0</v>
      </c>
      <c r="N145" s="516">
        <v>0</v>
      </c>
      <c r="O145" s="516">
        <v>0</v>
      </c>
      <c r="P145" s="516">
        <v>0</v>
      </c>
      <c r="Q145" s="516">
        <v>0</v>
      </c>
      <c r="R145" s="516">
        <v>0</v>
      </c>
      <c r="S145" s="516">
        <v>0</v>
      </c>
      <c r="T145" s="516">
        <v>2279757</v>
      </c>
      <c r="U145" s="516">
        <v>0</v>
      </c>
      <c r="V145" s="516">
        <v>7393251</v>
      </c>
      <c r="W145" s="516">
        <v>0</v>
      </c>
      <c r="X145" s="516">
        <v>0</v>
      </c>
      <c r="Y145" s="516">
        <v>0</v>
      </c>
      <c r="Z145" s="516">
        <v>0</v>
      </c>
      <c r="AA145" s="516">
        <v>232331</v>
      </c>
      <c r="AB145" s="516">
        <v>0</v>
      </c>
      <c r="AC145" s="516">
        <v>0</v>
      </c>
      <c r="AD145" s="516">
        <v>0</v>
      </c>
      <c r="AE145" s="516">
        <v>0</v>
      </c>
      <c r="AF145" s="516">
        <v>0</v>
      </c>
      <c r="AG145" s="516">
        <v>0</v>
      </c>
      <c r="AH145" s="516">
        <v>0</v>
      </c>
      <c r="AI145" s="516">
        <v>0</v>
      </c>
      <c r="AJ145" s="516">
        <v>0</v>
      </c>
      <c r="AK145" s="516">
        <v>63332</v>
      </c>
      <c r="AL145" s="516">
        <v>0</v>
      </c>
      <c r="AM145" s="516">
        <v>0</v>
      </c>
      <c r="AN145" s="516">
        <v>0</v>
      </c>
      <c r="AO145" s="516">
        <v>0</v>
      </c>
      <c r="AP145" s="516">
        <v>0</v>
      </c>
      <c r="AQ145" s="516">
        <v>0</v>
      </c>
      <c r="AR145" s="516">
        <v>3618381</v>
      </c>
      <c r="AS145" s="516">
        <v>4585</v>
      </c>
      <c r="AT145" s="516">
        <v>12992</v>
      </c>
      <c r="AU145" s="516">
        <v>0</v>
      </c>
      <c r="AV145" s="516">
        <v>405071</v>
      </c>
      <c r="AW145" s="516">
        <v>0</v>
      </c>
      <c r="AX145" s="516">
        <v>0</v>
      </c>
      <c r="AY145" s="516">
        <v>0</v>
      </c>
      <c r="AZ145" s="516">
        <v>0</v>
      </c>
      <c r="BA145" s="516">
        <v>367305</v>
      </c>
      <c r="BB145" s="516">
        <v>0</v>
      </c>
      <c r="BC145" s="516">
        <v>0</v>
      </c>
      <c r="BD145" s="516">
        <v>0</v>
      </c>
      <c r="BE145" s="516">
        <v>0</v>
      </c>
      <c r="BF145" s="516">
        <v>0</v>
      </c>
      <c r="BG145" s="516">
        <v>0</v>
      </c>
      <c r="BH145" s="516">
        <v>0</v>
      </c>
      <c r="BI145" s="516">
        <v>0</v>
      </c>
      <c r="BJ145" s="516">
        <v>0</v>
      </c>
      <c r="BK145" s="516">
        <v>0</v>
      </c>
      <c r="BL145" s="516">
        <v>0</v>
      </c>
      <c r="BM145" s="516">
        <v>0</v>
      </c>
      <c r="BN145" s="516">
        <v>0</v>
      </c>
      <c r="BO145" s="516">
        <v>173000</v>
      </c>
      <c r="BP145" s="516">
        <v>0</v>
      </c>
      <c r="BQ145" s="516">
        <v>0</v>
      </c>
      <c r="BR145" s="516">
        <v>0</v>
      </c>
      <c r="BS145" s="516">
        <v>0</v>
      </c>
      <c r="BT145" s="516">
        <v>0</v>
      </c>
      <c r="BU145" s="516">
        <v>1780</v>
      </c>
      <c r="BV145" s="516">
        <v>0</v>
      </c>
      <c r="BW145" s="516">
        <v>0</v>
      </c>
      <c r="BX145" s="516">
        <v>0</v>
      </c>
      <c r="BY145" s="516">
        <v>0</v>
      </c>
      <c r="BZ145" s="516">
        <v>0</v>
      </c>
      <c r="CA145" s="516">
        <v>0</v>
      </c>
      <c r="CB145" s="516">
        <v>0</v>
      </c>
    </row>
    <row r="146" spans="1:80" x14ac:dyDescent="0.25">
      <c r="A146" s="860">
        <v>387</v>
      </c>
      <c r="B146" s="846">
        <v>387</v>
      </c>
      <c r="C146" s="860" t="s">
        <v>262</v>
      </c>
      <c r="D146" s="860" t="s">
        <v>530</v>
      </c>
      <c r="E146" s="516">
        <v>0</v>
      </c>
      <c r="F146" s="516">
        <v>0</v>
      </c>
      <c r="G146" s="516">
        <v>0</v>
      </c>
      <c r="H146" s="516">
        <v>1008548</v>
      </c>
      <c r="I146" s="516">
        <v>0</v>
      </c>
      <c r="J146" s="516">
        <v>0</v>
      </c>
      <c r="K146" s="516">
        <v>244595</v>
      </c>
      <c r="L146" s="516">
        <v>0</v>
      </c>
      <c r="M146" s="516">
        <v>5052900</v>
      </c>
      <c r="N146" s="516">
        <v>0</v>
      </c>
      <c r="O146" s="516">
        <v>0</v>
      </c>
      <c r="P146" s="516">
        <v>0</v>
      </c>
      <c r="Q146" s="516">
        <v>220579</v>
      </c>
      <c r="R146" s="516">
        <v>0</v>
      </c>
      <c r="S146" s="516">
        <v>0</v>
      </c>
      <c r="T146" s="516">
        <v>0</v>
      </c>
      <c r="U146" s="516">
        <v>0</v>
      </c>
      <c r="V146" s="516">
        <v>0</v>
      </c>
      <c r="W146" s="516">
        <v>0</v>
      </c>
      <c r="X146" s="516">
        <v>0</v>
      </c>
      <c r="Y146" s="516">
        <v>0</v>
      </c>
      <c r="Z146" s="516">
        <v>0</v>
      </c>
      <c r="AA146" s="516">
        <v>0</v>
      </c>
      <c r="AB146" s="516">
        <v>0</v>
      </c>
      <c r="AC146" s="516">
        <v>0</v>
      </c>
      <c r="AD146" s="516">
        <v>0</v>
      </c>
      <c r="AE146" s="516">
        <v>0</v>
      </c>
      <c r="AF146" s="516">
        <v>0</v>
      </c>
      <c r="AG146" s="516">
        <v>0</v>
      </c>
      <c r="AH146" s="516">
        <v>0</v>
      </c>
      <c r="AI146" s="516">
        <v>0</v>
      </c>
      <c r="AJ146" s="516">
        <v>0</v>
      </c>
      <c r="AK146" s="516">
        <v>0</v>
      </c>
      <c r="AL146" s="516">
        <v>0</v>
      </c>
      <c r="AM146" s="516">
        <v>0</v>
      </c>
      <c r="AN146" s="516">
        <v>205566</v>
      </c>
      <c r="AO146" s="516">
        <v>0</v>
      </c>
      <c r="AP146" s="516">
        <v>0</v>
      </c>
      <c r="AQ146" s="516">
        <v>0</v>
      </c>
      <c r="AR146" s="516">
        <v>420692</v>
      </c>
      <c r="AS146" s="516">
        <v>0</v>
      </c>
      <c r="AT146" s="516">
        <v>10875</v>
      </c>
      <c r="AU146" s="516">
        <v>0</v>
      </c>
      <c r="AV146" s="516">
        <v>0</v>
      </c>
      <c r="AW146" s="516">
        <v>0</v>
      </c>
      <c r="AX146" s="516">
        <v>0</v>
      </c>
      <c r="AY146" s="516">
        <v>0</v>
      </c>
      <c r="AZ146" s="516">
        <v>0</v>
      </c>
      <c r="BA146" s="516">
        <v>0</v>
      </c>
      <c r="BB146" s="516">
        <v>0</v>
      </c>
      <c r="BC146" s="516">
        <v>0</v>
      </c>
      <c r="BD146" s="516">
        <v>0</v>
      </c>
      <c r="BE146" s="516">
        <v>0</v>
      </c>
      <c r="BF146" s="516">
        <v>0</v>
      </c>
      <c r="BG146" s="516">
        <v>0</v>
      </c>
      <c r="BH146" s="516">
        <v>0</v>
      </c>
      <c r="BI146" s="516">
        <v>0</v>
      </c>
      <c r="BJ146" s="516">
        <v>0</v>
      </c>
      <c r="BK146" s="516">
        <v>0</v>
      </c>
      <c r="BL146" s="516">
        <v>0</v>
      </c>
      <c r="BM146" s="516">
        <v>0</v>
      </c>
      <c r="BN146" s="516">
        <v>0</v>
      </c>
      <c r="BO146" s="516">
        <v>0</v>
      </c>
      <c r="BP146" s="516">
        <v>0</v>
      </c>
      <c r="BQ146" s="516">
        <v>0</v>
      </c>
      <c r="BR146" s="516">
        <v>0</v>
      </c>
      <c r="BS146" s="516">
        <v>0</v>
      </c>
      <c r="BT146" s="516">
        <v>0</v>
      </c>
      <c r="BU146" s="516">
        <v>0</v>
      </c>
      <c r="BV146" s="516">
        <v>17560</v>
      </c>
      <c r="BW146" s="516">
        <v>0</v>
      </c>
      <c r="BX146" s="516">
        <v>0</v>
      </c>
      <c r="BY146" s="516">
        <v>0</v>
      </c>
      <c r="BZ146" s="516">
        <v>0</v>
      </c>
      <c r="CA146" s="516">
        <v>57302</v>
      </c>
      <c r="CB146" s="516">
        <v>0</v>
      </c>
    </row>
    <row r="147" spans="1:80" x14ac:dyDescent="0.25">
      <c r="A147" s="860">
        <v>388</v>
      </c>
      <c r="B147" s="846">
        <v>388</v>
      </c>
      <c r="C147" s="860" t="s">
        <v>256</v>
      </c>
      <c r="D147" s="860" t="s">
        <v>531</v>
      </c>
      <c r="E147" s="516">
        <v>9576006</v>
      </c>
      <c r="F147" s="516">
        <v>12535554</v>
      </c>
      <c r="G147" s="516">
        <v>0</v>
      </c>
      <c r="H147" s="516">
        <v>53491428</v>
      </c>
      <c r="I147" s="516">
        <v>4196012</v>
      </c>
      <c r="J147" s="516">
        <v>257952</v>
      </c>
      <c r="K147" s="516">
        <v>1079526</v>
      </c>
      <c r="L147" s="516">
        <v>1895917</v>
      </c>
      <c r="M147" s="516">
        <v>42064152</v>
      </c>
      <c r="N147" s="516">
        <v>88227</v>
      </c>
      <c r="O147" s="516">
        <v>866202</v>
      </c>
      <c r="P147" s="516">
        <v>1607489</v>
      </c>
      <c r="Q147" s="516">
        <v>32797721</v>
      </c>
      <c r="R147" s="516">
        <v>17041488</v>
      </c>
      <c r="S147" s="516">
        <v>6788317</v>
      </c>
      <c r="T147" s="516">
        <v>14599537</v>
      </c>
      <c r="U147" s="516">
        <v>0</v>
      </c>
      <c r="V147" s="516">
        <v>24884877</v>
      </c>
      <c r="W147" s="516">
        <v>25435</v>
      </c>
      <c r="X147" s="516">
        <v>10998256</v>
      </c>
      <c r="Y147" s="516">
        <v>15926396</v>
      </c>
      <c r="Z147" s="516">
        <v>5408057</v>
      </c>
      <c r="AA147" s="516">
        <v>1818096</v>
      </c>
      <c r="AB147" s="516">
        <v>4705151</v>
      </c>
      <c r="AC147" s="516">
        <v>1334182</v>
      </c>
      <c r="AD147" s="516">
        <v>355111</v>
      </c>
      <c r="AE147" s="516">
        <v>990975</v>
      </c>
      <c r="AF147" s="516">
        <v>3455350</v>
      </c>
      <c r="AG147" s="516">
        <v>111741</v>
      </c>
      <c r="AH147" s="516">
        <v>38136</v>
      </c>
      <c r="AI147" s="516">
        <v>141416</v>
      </c>
      <c r="AJ147" s="516">
        <v>2614349</v>
      </c>
      <c r="AK147" s="516">
        <v>7682893</v>
      </c>
      <c r="AL147" s="516">
        <v>233264</v>
      </c>
      <c r="AM147" s="516">
        <v>24175</v>
      </c>
      <c r="AN147" s="516">
        <v>22171446</v>
      </c>
      <c r="AO147" s="516">
        <v>18335638</v>
      </c>
      <c r="AP147" s="516">
        <v>334486</v>
      </c>
      <c r="AQ147" s="516">
        <v>4123655</v>
      </c>
      <c r="AR147" s="516">
        <v>23672140</v>
      </c>
      <c r="AS147" s="516">
        <v>2760789</v>
      </c>
      <c r="AT147" s="516">
        <v>570308</v>
      </c>
      <c r="AU147" s="516">
        <v>4466316</v>
      </c>
      <c r="AV147" s="516">
        <v>11251446</v>
      </c>
      <c r="AW147" s="516">
        <v>115766</v>
      </c>
      <c r="AX147" s="516">
        <v>535646</v>
      </c>
      <c r="AY147" s="516">
        <v>3204547</v>
      </c>
      <c r="AZ147" s="516">
        <v>3699419</v>
      </c>
      <c r="BA147" s="516">
        <v>3825011</v>
      </c>
      <c r="BB147" s="516">
        <v>127625</v>
      </c>
      <c r="BC147" s="516">
        <v>0</v>
      </c>
      <c r="BD147" s="516">
        <v>0</v>
      </c>
      <c r="BE147" s="516">
        <v>77647</v>
      </c>
      <c r="BF147" s="516">
        <v>0</v>
      </c>
      <c r="BG147" s="516">
        <v>346369</v>
      </c>
      <c r="BH147" s="516">
        <v>53898</v>
      </c>
      <c r="BI147" s="516">
        <v>3261936</v>
      </c>
      <c r="BJ147" s="516">
        <v>2424476</v>
      </c>
      <c r="BK147" s="516">
        <v>0</v>
      </c>
      <c r="BL147" s="516">
        <v>8715469</v>
      </c>
      <c r="BM147" s="516">
        <v>4509230</v>
      </c>
      <c r="BN147" s="516">
        <v>35761</v>
      </c>
      <c r="BO147" s="516">
        <v>6998291</v>
      </c>
      <c r="BP147" s="516">
        <v>1764782</v>
      </c>
      <c r="BQ147" s="516">
        <v>891257</v>
      </c>
      <c r="BR147" s="516">
        <v>1828496</v>
      </c>
      <c r="BS147" s="516">
        <v>1375978</v>
      </c>
      <c r="BT147" s="516">
        <v>23872284</v>
      </c>
      <c r="BU147" s="516">
        <v>1980820</v>
      </c>
      <c r="BV147" s="516">
        <v>2683271</v>
      </c>
      <c r="BW147" s="516">
        <v>1002690</v>
      </c>
      <c r="BX147" s="516">
        <v>807183</v>
      </c>
      <c r="BY147" s="516">
        <v>27869</v>
      </c>
      <c r="BZ147" s="516">
        <v>45207</v>
      </c>
      <c r="CA147" s="516">
        <v>16588605</v>
      </c>
      <c r="CB147" s="516">
        <v>65553</v>
      </c>
    </row>
    <row r="148" spans="1:80" x14ac:dyDescent="0.25">
      <c r="A148" s="860">
        <v>389</v>
      </c>
      <c r="B148" s="846">
        <v>389</v>
      </c>
      <c r="C148" s="860" t="s">
        <v>263</v>
      </c>
      <c r="D148" s="860" t="s">
        <v>532</v>
      </c>
      <c r="E148" s="516">
        <v>0</v>
      </c>
      <c r="F148" s="516">
        <v>0</v>
      </c>
      <c r="G148" s="516">
        <v>0</v>
      </c>
      <c r="H148" s="516">
        <v>0</v>
      </c>
      <c r="I148" s="516">
        <v>25000</v>
      </c>
      <c r="J148" s="516">
        <v>0</v>
      </c>
      <c r="K148" s="516">
        <v>0</v>
      </c>
      <c r="L148" s="516">
        <v>0</v>
      </c>
      <c r="M148" s="516">
        <v>0</v>
      </c>
      <c r="N148" s="516">
        <v>0</v>
      </c>
      <c r="O148" s="516">
        <v>0</v>
      </c>
      <c r="P148" s="516">
        <v>0</v>
      </c>
      <c r="Q148" s="516">
        <v>0</v>
      </c>
      <c r="R148" s="516">
        <v>0</v>
      </c>
      <c r="S148" s="516">
        <v>0</v>
      </c>
      <c r="T148" s="516">
        <v>0</v>
      </c>
      <c r="U148" s="516">
        <v>0</v>
      </c>
      <c r="V148" s="516">
        <v>0</v>
      </c>
      <c r="W148" s="516">
        <v>0</v>
      </c>
      <c r="X148" s="516">
        <v>0</v>
      </c>
      <c r="Y148" s="516">
        <v>0</v>
      </c>
      <c r="Z148" s="516">
        <v>0</v>
      </c>
      <c r="AA148" s="516">
        <v>0</v>
      </c>
      <c r="AB148" s="516">
        <v>0</v>
      </c>
      <c r="AC148" s="516">
        <v>0</v>
      </c>
      <c r="AD148" s="516">
        <v>0</v>
      </c>
      <c r="AE148" s="516">
        <v>0</v>
      </c>
      <c r="AF148" s="516">
        <v>0</v>
      </c>
      <c r="AG148" s="516">
        <v>0</v>
      </c>
      <c r="AH148" s="516">
        <v>0</v>
      </c>
      <c r="AI148" s="516">
        <v>0</v>
      </c>
      <c r="AJ148" s="516">
        <v>0</v>
      </c>
      <c r="AK148" s="516">
        <v>-36798</v>
      </c>
      <c r="AL148" s="516">
        <v>0</v>
      </c>
      <c r="AM148" s="516">
        <v>0</v>
      </c>
      <c r="AN148" s="516">
        <v>0</v>
      </c>
      <c r="AO148" s="516">
        <v>0</v>
      </c>
      <c r="AP148" s="516">
        <v>0</v>
      </c>
      <c r="AQ148" s="516">
        <v>0</v>
      </c>
      <c r="AR148" s="516">
        <v>0</v>
      </c>
      <c r="AS148" s="516">
        <v>0</v>
      </c>
      <c r="AT148" s="516">
        <v>0</v>
      </c>
      <c r="AU148" s="516">
        <v>0</v>
      </c>
      <c r="AV148" s="516">
        <v>0</v>
      </c>
      <c r="AW148" s="516">
        <v>0</v>
      </c>
      <c r="AX148" s="516">
        <v>0</v>
      </c>
      <c r="AY148" s="516">
        <v>0</v>
      </c>
      <c r="AZ148" s="516">
        <v>0</v>
      </c>
      <c r="BA148" s="516">
        <v>0</v>
      </c>
      <c r="BB148" s="516">
        <v>0</v>
      </c>
      <c r="BC148" s="516">
        <v>0</v>
      </c>
      <c r="BD148" s="516">
        <v>0</v>
      </c>
      <c r="BE148" s="516">
        <v>0</v>
      </c>
      <c r="BF148" s="516">
        <v>0</v>
      </c>
      <c r="BG148" s="516">
        <v>178200</v>
      </c>
      <c r="BH148" s="516">
        <v>0</v>
      </c>
      <c r="BI148" s="516">
        <v>0</v>
      </c>
      <c r="BJ148" s="516">
        <v>0</v>
      </c>
      <c r="BK148" s="516">
        <v>0</v>
      </c>
      <c r="BL148" s="516">
        <v>0</v>
      </c>
      <c r="BM148" s="516">
        <v>0</v>
      </c>
      <c r="BN148" s="516">
        <v>0</v>
      </c>
      <c r="BO148" s="516">
        <v>0</v>
      </c>
      <c r="BP148" s="516">
        <v>0</v>
      </c>
      <c r="BQ148" s="516">
        <v>0</v>
      </c>
      <c r="BR148" s="516">
        <v>0</v>
      </c>
      <c r="BS148" s="516">
        <v>0</v>
      </c>
      <c r="BT148" s="516">
        <v>0</v>
      </c>
      <c r="BU148" s="516">
        <v>0</v>
      </c>
      <c r="BV148" s="516">
        <v>0</v>
      </c>
      <c r="BW148" s="516">
        <v>39631</v>
      </c>
      <c r="BX148" s="516">
        <v>0</v>
      </c>
      <c r="BY148" s="516">
        <v>0</v>
      </c>
      <c r="BZ148" s="516">
        <v>0</v>
      </c>
      <c r="CA148" s="516">
        <v>0</v>
      </c>
      <c r="CB148" s="516">
        <v>0</v>
      </c>
    </row>
    <row r="149" spans="1:80" x14ac:dyDescent="0.25">
      <c r="A149" s="860">
        <v>391</v>
      </c>
      <c r="B149" s="846">
        <v>391</v>
      </c>
      <c r="C149" s="860" t="s">
        <v>268</v>
      </c>
      <c r="D149" s="860" t="s">
        <v>533</v>
      </c>
      <c r="E149" s="516">
        <v>257816</v>
      </c>
      <c r="F149" s="516">
        <v>1862750</v>
      </c>
      <c r="G149" s="516">
        <v>0</v>
      </c>
      <c r="H149" s="516">
        <v>4478336</v>
      </c>
      <c r="I149" s="516">
        <v>358790</v>
      </c>
      <c r="J149" s="516">
        <v>54243</v>
      </c>
      <c r="K149" s="516">
        <v>129522</v>
      </c>
      <c r="L149" s="516">
        <v>601707</v>
      </c>
      <c r="M149" s="516">
        <v>3817310</v>
      </c>
      <c r="N149" s="516">
        <v>10010</v>
      </c>
      <c r="O149" s="516">
        <v>90928</v>
      </c>
      <c r="P149" s="516">
        <v>122924</v>
      </c>
      <c r="Q149" s="516">
        <v>3091734</v>
      </c>
      <c r="R149" s="516">
        <v>1960686</v>
      </c>
      <c r="S149" s="516">
        <v>438201</v>
      </c>
      <c r="T149" s="516">
        <v>1044968</v>
      </c>
      <c r="U149" s="516">
        <v>0</v>
      </c>
      <c r="V149" s="516">
        <v>1627756</v>
      </c>
      <c r="W149" s="516">
        <v>2873</v>
      </c>
      <c r="X149" s="516">
        <v>1033202</v>
      </c>
      <c r="Y149" s="516">
        <v>1204758</v>
      </c>
      <c r="Z149" s="516">
        <v>490333</v>
      </c>
      <c r="AA149" s="516">
        <v>199760</v>
      </c>
      <c r="AB149" s="516">
        <v>1126540</v>
      </c>
      <c r="AC149" s="516">
        <v>88460</v>
      </c>
      <c r="AD149" s="516">
        <v>1246</v>
      </c>
      <c r="AE149" s="516">
        <v>128830</v>
      </c>
      <c r="AF149" s="516">
        <v>581892</v>
      </c>
      <c r="AG149" s="516">
        <v>10652</v>
      </c>
      <c r="AH149" s="516">
        <v>5739</v>
      </c>
      <c r="AI149" s="516">
        <v>7095</v>
      </c>
      <c r="AJ149" s="516">
        <v>231208</v>
      </c>
      <c r="AK149" s="516">
        <v>520059</v>
      </c>
      <c r="AL149" s="516">
        <v>14002</v>
      </c>
      <c r="AM149" s="516">
        <v>3206</v>
      </c>
      <c r="AN149" s="516">
        <v>4281501</v>
      </c>
      <c r="AO149" s="516">
        <v>1399198</v>
      </c>
      <c r="AP149" s="516">
        <v>25199</v>
      </c>
      <c r="AQ149" s="516">
        <v>375005</v>
      </c>
      <c r="AR149" s="516">
        <v>4678408</v>
      </c>
      <c r="AS149" s="516">
        <v>302701</v>
      </c>
      <c r="AT149" s="516">
        <v>45139</v>
      </c>
      <c r="AU149" s="516">
        <v>675456</v>
      </c>
      <c r="AV149" s="516">
        <v>1006402</v>
      </c>
      <c r="AW149" s="516">
        <v>3373</v>
      </c>
      <c r="AX149" s="516">
        <v>29881</v>
      </c>
      <c r="AY149" s="516">
        <v>216813</v>
      </c>
      <c r="AZ149" s="516">
        <v>313889</v>
      </c>
      <c r="BA149" s="516">
        <v>1016461</v>
      </c>
      <c r="BB149" s="516">
        <v>6022</v>
      </c>
      <c r="BC149" s="516">
        <v>0</v>
      </c>
      <c r="BD149" s="516">
        <v>0</v>
      </c>
      <c r="BE149" s="516">
        <v>7516</v>
      </c>
      <c r="BF149" s="516">
        <v>0</v>
      </c>
      <c r="BG149" s="516">
        <v>20790</v>
      </c>
      <c r="BH149" s="516">
        <v>5810</v>
      </c>
      <c r="BI149" s="516">
        <v>259019</v>
      </c>
      <c r="BJ149" s="516">
        <v>139088</v>
      </c>
      <c r="BK149" s="516">
        <v>0</v>
      </c>
      <c r="BL149" s="516">
        <v>595729</v>
      </c>
      <c r="BM149" s="516">
        <v>476432</v>
      </c>
      <c r="BN149" s="516">
        <v>5800</v>
      </c>
      <c r="BO149" s="516">
        <v>1277195</v>
      </c>
      <c r="BP149" s="516">
        <v>149627</v>
      </c>
      <c r="BQ149" s="516">
        <v>82474</v>
      </c>
      <c r="BR149" s="516">
        <v>169605</v>
      </c>
      <c r="BS149" s="516">
        <v>49327</v>
      </c>
      <c r="BT149" s="516">
        <v>1522715</v>
      </c>
      <c r="BU149" s="516">
        <v>546729</v>
      </c>
      <c r="BV149" s="516">
        <v>235969</v>
      </c>
      <c r="BW149" s="516">
        <v>190792</v>
      </c>
      <c r="BX149" s="516">
        <v>568460</v>
      </c>
      <c r="BY149" s="516">
        <v>1055</v>
      </c>
      <c r="BZ149" s="516">
        <v>5238</v>
      </c>
      <c r="CA149" s="516">
        <v>2746286</v>
      </c>
      <c r="CB149" s="516">
        <v>3886</v>
      </c>
    </row>
    <row r="150" spans="1:80" x14ac:dyDescent="0.25">
      <c r="A150" s="860">
        <v>500</v>
      </c>
      <c r="B150" s="846">
        <v>500</v>
      </c>
      <c r="C150" s="860" t="s">
        <v>250</v>
      </c>
      <c r="D150" s="860" t="s">
        <v>534</v>
      </c>
      <c r="E150" s="516">
        <v>357372</v>
      </c>
      <c r="F150" s="516">
        <v>4156898</v>
      </c>
      <c r="G150" s="516">
        <v>0</v>
      </c>
      <c r="H150" s="516">
        <v>10668431</v>
      </c>
      <c r="I150" s="516">
        <v>553334</v>
      </c>
      <c r="J150" s="516">
        <v>111447</v>
      </c>
      <c r="K150" s="516">
        <v>73258</v>
      </c>
      <c r="L150" s="516">
        <v>54751</v>
      </c>
      <c r="M150" s="516">
        <v>11289520</v>
      </c>
      <c r="N150" s="516">
        <v>32537</v>
      </c>
      <c r="O150" s="516">
        <v>151344</v>
      </c>
      <c r="P150" s="516">
        <v>145741</v>
      </c>
      <c r="Q150" s="516">
        <v>2162739</v>
      </c>
      <c r="R150" s="516">
        <v>8267864</v>
      </c>
      <c r="S150" s="516">
        <v>17602</v>
      </c>
      <c r="T150" s="516">
        <v>356189</v>
      </c>
      <c r="U150" s="516">
        <v>0</v>
      </c>
      <c r="V150" s="516">
        <v>0</v>
      </c>
      <c r="W150" s="516">
        <v>102379</v>
      </c>
      <c r="X150" s="516">
        <v>2961035</v>
      </c>
      <c r="Y150" s="516">
        <v>1608373</v>
      </c>
      <c r="Z150" s="516">
        <v>337927</v>
      </c>
      <c r="AA150" s="516">
        <v>479689</v>
      </c>
      <c r="AB150" s="516">
        <v>133527</v>
      </c>
      <c r="AC150" s="516">
        <v>150429</v>
      </c>
      <c r="AD150" s="516">
        <v>71311</v>
      </c>
      <c r="AE150" s="516">
        <v>297721</v>
      </c>
      <c r="AF150" s="516">
        <v>814064</v>
      </c>
      <c r="AG150" s="516">
        <v>14029</v>
      </c>
      <c r="AH150" s="516">
        <v>18433</v>
      </c>
      <c r="AI150" s="516">
        <v>157407</v>
      </c>
      <c r="AJ150" s="516">
        <v>0</v>
      </c>
      <c r="AK150" s="516">
        <v>693815</v>
      </c>
      <c r="AL150" s="516">
        <v>25590</v>
      </c>
      <c r="AM150" s="516">
        <v>0</v>
      </c>
      <c r="AN150" s="516">
        <v>1492839</v>
      </c>
      <c r="AO150" s="516">
        <v>283982</v>
      </c>
      <c r="AP150" s="516">
        <v>71299</v>
      </c>
      <c r="AQ150" s="516">
        <v>731863</v>
      </c>
      <c r="AR150" s="516">
        <v>537121</v>
      </c>
      <c r="AS150" s="516">
        <v>716720</v>
      </c>
      <c r="AT150" s="516">
        <v>22368</v>
      </c>
      <c r="AU150" s="516">
        <v>118705</v>
      </c>
      <c r="AV150" s="516">
        <v>439672</v>
      </c>
      <c r="AW150" s="516">
        <v>1418</v>
      </c>
      <c r="AX150" s="516">
        <v>173934</v>
      </c>
      <c r="AY150" s="516">
        <v>585367</v>
      </c>
      <c r="AZ150" s="516">
        <v>737829</v>
      </c>
      <c r="BA150" s="516">
        <v>265941</v>
      </c>
      <c r="BB150" s="516">
        <v>28903</v>
      </c>
      <c r="BC150" s="516">
        <v>0</v>
      </c>
      <c r="BD150" s="516">
        <v>0</v>
      </c>
      <c r="BE150" s="516">
        <v>12833</v>
      </c>
      <c r="BF150" s="516">
        <v>0</v>
      </c>
      <c r="BG150" s="516">
        <v>73618</v>
      </c>
      <c r="BH150" s="516">
        <v>18670</v>
      </c>
      <c r="BI150" s="516">
        <v>0</v>
      </c>
      <c r="BJ150" s="516">
        <v>143197</v>
      </c>
      <c r="BK150" s="516">
        <v>0</v>
      </c>
      <c r="BL150" s="516">
        <v>239721</v>
      </c>
      <c r="BM150" s="516">
        <v>32700</v>
      </c>
      <c r="BN150" s="516">
        <v>0</v>
      </c>
      <c r="BO150" s="516">
        <v>354827</v>
      </c>
      <c r="BP150" s="516">
        <v>111153</v>
      </c>
      <c r="BQ150" s="516">
        <v>126546</v>
      </c>
      <c r="BR150" s="516">
        <v>172763</v>
      </c>
      <c r="BS150" s="516">
        <v>33020</v>
      </c>
      <c r="BT150" s="516">
        <v>4968259</v>
      </c>
      <c r="BU150" s="516">
        <v>92639</v>
      </c>
      <c r="BV150" s="516">
        <v>188283</v>
      </c>
      <c r="BW150" s="516">
        <v>34257</v>
      </c>
      <c r="BX150" s="516">
        <v>56018</v>
      </c>
      <c r="BY150" s="516">
        <v>19797</v>
      </c>
      <c r="BZ150" s="516">
        <v>14754</v>
      </c>
      <c r="CA150" s="516">
        <v>867753</v>
      </c>
      <c r="CB150" s="516">
        <v>35194</v>
      </c>
    </row>
    <row r="151" spans="1:80" x14ac:dyDescent="0.25">
      <c r="A151" s="860"/>
      <c r="B151" s="846">
        <v>501</v>
      </c>
      <c r="C151" s="860" t="s">
        <v>252</v>
      </c>
      <c r="D151" s="860" t="s">
        <v>535</v>
      </c>
      <c r="E151" s="516">
        <v>0</v>
      </c>
      <c r="F151" s="516">
        <v>0</v>
      </c>
      <c r="G151" s="516">
        <v>0</v>
      </c>
      <c r="H151" s="516">
        <v>0</v>
      </c>
      <c r="I151" s="516">
        <v>0</v>
      </c>
      <c r="J151" s="516">
        <v>0</v>
      </c>
      <c r="K151" s="516">
        <v>0</v>
      </c>
      <c r="L151" s="516">
        <v>0</v>
      </c>
      <c r="M151" s="516">
        <v>0</v>
      </c>
      <c r="N151" s="516">
        <v>0</v>
      </c>
      <c r="O151" s="516">
        <v>0</v>
      </c>
      <c r="P151" s="516">
        <v>0</v>
      </c>
      <c r="Q151" s="516">
        <v>0</v>
      </c>
      <c r="R151" s="516">
        <v>0</v>
      </c>
      <c r="S151" s="516">
        <v>0</v>
      </c>
      <c r="T151" s="516">
        <v>0</v>
      </c>
      <c r="U151" s="516">
        <v>0</v>
      </c>
      <c r="V151" s="516">
        <v>0</v>
      </c>
      <c r="W151" s="516">
        <v>0</v>
      </c>
      <c r="X151" s="516">
        <v>0</v>
      </c>
      <c r="Y151" s="516">
        <v>0</v>
      </c>
      <c r="Z151" s="516">
        <v>0</v>
      </c>
      <c r="AA151" s="516">
        <v>0</v>
      </c>
      <c r="AB151" s="516">
        <v>0</v>
      </c>
      <c r="AC151" s="516">
        <v>0</v>
      </c>
      <c r="AD151" s="516">
        <v>0</v>
      </c>
      <c r="AE151" s="516">
        <v>0</v>
      </c>
      <c r="AF151" s="516">
        <v>0</v>
      </c>
      <c r="AG151" s="516">
        <v>0</v>
      </c>
      <c r="AH151" s="516">
        <v>0</v>
      </c>
      <c r="AI151" s="516">
        <v>0</v>
      </c>
      <c r="AJ151" s="516">
        <v>0</v>
      </c>
      <c r="AK151" s="516">
        <v>0</v>
      </c>
      <c r="AL151" s="516">
        <v>0</v>
      </c>
      <c r="AM151" s="516">
        <v>0</v>
      </c>
      <c r="AN151" s="516">
        <v>0</v>
      </c>
      <c r="AO151" s="516">
        <v>0</v>
      </c>
      <c r="AP151" s="516">
        <v>0</v>
      </c>
      <c r="AQ151" s="516">
        <v>0</v>
      </c>
      <c r="AR151" s="516">
        <v>0</v>
      </c>
      <c r="AS151" s="516">
        <v>0</v>
      </c>
      <c r="AT151" s="516">
        <v>0</v>
      </c>
      <c r="AU151" s="516">
        <v>0</v>
      </c>
      <c r="AV151" s="516">
        <v>0</v>
      </c>
      <c r="AW151" s="516">
        <v>0</v>
      </c>
      <c r="AX151" s="516">
        <v>0</v>
      </c>
      <c r="AY151" s="516">
        <v>0</v>
      </c>
      <c r="AZ151" s="516">
        <v>0</v>
      </c>
      <c r="BA151" s="516">
        <v>0</v>
      </c>
      <c r="BB151" s="516">
        <v>0</v>
      </c>
      <c r="BC151" s="516">
        <v>0</v>
      </c>
      <c r="BD151" s="516">
        <v>0</v>
      </c>
      <c r="BE151" s="516">
        <v>0</v>
      </c>
      <c r="BF151" s="516">
        <v>0</v>
      </c>
      <c r="BG151" s="516">
        <v>0</v>
      </c>
      <c r="BH151" s="516">
        <v>0</v>
      </c>
      <c r="BI151" s="516">
        <v>0</v>
      </c>
      <c r="BJ151" s="516">
        <v>0</v>
      </c>
      <c r="BK151" s="516">
        <v>0</v>
      </c>
      <c r="BL151" s="516">
        <v>0</v>
      </c>
      <c r="BM151" s="516">
        <v>0</v>
      </c>
      <c r="BN151" s="516">
        <v>0</v>
      </c>
      <c r="BO151" s="516">
        <v>0</v>
      </c>
      <c r="BP151" s="516">
        <v>0</v>
      </c>
      <c r="BQ151" s="516">
        <v>0</v>
      </c>
      <c r="BR151" s="516">
        <v>0</v>
      </c>
      <c r="BS151" s="516">
        <v>0</v>
      </c>
      <c r="BT151" s="516">
        <v>0</v>
      </c>
      <c r="BU151" s="516">
        <v>0</v>
      </c>
      <c r="BV151" s="516">
        <v>0</v>
      </c>
      <c r="BW151" s="516">
        <v>0</v>
      </c>
      <c r="BX151" s="516">
        <v>0</v>
      </c>
      <c r="BY151" s="516">
        <v>0</v>
      </c>
      <c r="BZ151" s="516">
        <v>0</v>
      </c>
      <c r="CA151" s="516">
        <v>0</v>
      </c>
      <c r="CB151" s="516">
        <v>0</v>
      </c>
    </row>
    <row r="152" spans="1:80" x14ac:dyDescent="0.25">
      <c r="A152" s="860">
        <v>502</v>
      </c>
      <c r="B152" s="846">
        <v>502</v>
      </c>
      <c r="C152" s="860" t="s">
        <v>253</v>
      </c>
      <c r="D152" s="860" t="s">
        <v>536</v>
      </c>
      <c r="E152" s="516">
        <v>0</v>
      </c>
      <c r="F152" s="516">
        <v>4112622</v>
      </c>
      <c r="G152" s="516">
        <v>0</v>
      </c>
      <c r="H152" s="516">
        <v>30649774</v>
      </c>
      <c r="I152" s="516">
        <v>7615573</v>
      </c>
      <c r="J152" s="516">
        <v>222005</v>
      </c>
      <c r="K152" s="516">
        <v>5434840</v>
      </c>
      <c r="L152" s="516">
        <v>595429</v>
      </c>
      <c r="M152" s="516">
        <v>14734204</v>
      </c>
      <c r="N152" s="516">
        <v>0</v>
      </c>
      <c r="O152" s="516">
        <v>1544646</v>
      </c>
      <c r="P152" s="516">
        <v>877560</v>
      </c>
      <c r="Q152" s="516">
        <v>930244</v>
      </c>
      <c r="R152" s="516">
        <v>7838144</v>
      </c>
      <c r="S152" s="516">
        <v>6391338</v>
      </c>
      <c r="T152" s="516">
        <v>11998698</v>
      </c>
      <c r="U152" s="516">
        <v>0</v>
      </c>
      <c r="V152" s="516">
        <v>30797614</v>
      </c>
      <c r="W152" s="516">
        <v>0</v>
      </c>
      <c r="X152" s="516">
        <v>0</v>
      </c>
      <c r="Y152" s="516">
        <v>75625</v>
      </c>
      <c r="Z152" s="516">
        <v>2208369</v>
      </c>
      <c r="AA152" s="516">
        <v>1630395</v>
      </c>
      <c r="AB152" s="516">
        <v>1196679</v>
      </c>
      <c r="AC152" s="516">
        <v>0</v>
      </c>
      <c r="AD152" s="516">
        <v>73177</v>
      </c>
      <c r="AE152" s="516">
        <v>1473020</v>
      </c>
      <c r="AF152" s="516">
        <v>659202</v>
      </c>
      <c r="AG152" s="516">
        <v>57129</v>
      </c>
      <c r="AH152" s="516">
        <v>0</v>
      </c>
      <c r="AI152" s="516">
        <v>0</v>
      </c>
      <c r="AJ152" s="516">
        <v>770422</v>
      </c>
      <c r="AK152" s="516">
        <v>10174827</v>
      </c>
      <c r="AL152" s="516">
        <v>362234</v>
      </c>
      <c r="AM152" s="516">
        <v>0</v>
      </c>
      <c r="AN152" s="516">
        <v>15250482</v>
      </c>
      <c r="AO152" s="516">
        <v>7433828</v>
      </c>
      <c r="AP152" s="516">
        <v>71734</v>
      </c>
      <c r="AQ152" s="516">
        <v>0</v>
      </c>
      <c r="AR152" s="516">
        <v>32182486</v>
      </c>
      <c r="AS152" s="516">
        <v>1146099</v>
      </c>
      <c r="AT152" s="516">
        <v>225026</v>
      </c>
      <c r="AU152" s="516">
        <v>1130632</v>
      </c>
      <c r="AV152" s="516">
        <v>13686902</v>
      </c>
      <c r="AW152" s="516">
        <v>1007277</v>
      </c>
      <c r="AX152" s="516">
        <v>188440</v>
      </c>
      <c r="AY152" s="516">
        <v>951833</v>
      </c>
      <c r="AZ152" s="516">
        <v>507602</v>
      </c>
      <c r="BA152" s="516">
        <v>3626366</v>
      </c>
      <c r="BB152" s="516">
        <v>0</v>
      </c>
      <c r="BC152" s="516">
        <v>0</v>
      </c>
      <c r="BD152" s="516">
        <v>0</v>
      </c>
      <c r="BE152" s="516">
        <v>0</v>
      </c>
      <c r="BF152" s="516">
        <v>0</v>
      </c>
      <c r="BG152" s="516">
        <v>269776</v>
      </c>
      <c r="BH152" s="516">
        <v>0</v>
      </c>
      <c r="BI152" s="516">
        <v>758411</v>
      </c>
      <c r="BJ152" s="516">
        <v>1788162</v>
      </c>
      <c r="BK152" s="516">
        <v>0</v>
      </c>
      <c r="BL152" s="516">
        <v>6072416</v>
      </c>
      <c r="BM152" s="516">
        <v>2243145</v>
      </c>
      <c r="BN152" s="516">
        <v>0</v>
      </c>
      <c r="BO152" s="516">
        <v>1563515</v>
      </c>
      <c r="BP152" s="516">
        <v>2526181</v>
      </c>
      <c r="BQ152" s="516">
        <v>810538</v>
      </c>
      <c r="BR152" s="516">
        <v>3202694</v>
      </c>
      <c r="BS152" s="516">
        <v>0</v>
      </c>
      <c r="BT152" s="516">
        <v>0</v>
      </c>
      <c r="BU152" s="516">
        <v>984792</v>
      </c>
      <c r="BV152" s="516">
        <v>1780570</v>
      </c>
      <c r="BW152" s="516">
        <v>79369</v>
      </c>
      <c r="BX152" s="516">
        <v>980972</v>
      </c>
      <c r="BY152" s="516">
        <v>0</v>
      </c>
      <c r="BZ152" s="516">
        <v>0</v>
      </c>
      <c r="CA152" s="516">
        <v>8102532</v>
      </c>
      <c r="CB152" s="516">
        <v>0</v>
      </c>
    </row>
    <row r="153" spans="1:80" x14ac:dyDescent="0.25">
      <c r="A153" s="860">
        <v>503</v>
      </c>
      <c r="B153" s="846">
        <v>503</v>
      </c>
      <c r="C153" s="860" t="s">
        <v>254</v>
      </c>
      <c r="D153" s="860" t="s">
        <v>537</v>
      </c>
      <c r="E153" s="516">
        <v>0</v>
      </c>
      <c r="F153" s="516">
        <v>0</v>
      </c>
      <c r="G153" s="516">
        <v>0</v>
      </c>
      <c r="H153" s="516">
        <v>2399472</v>
      </c>
      <c r="I153" s="516">
        <v>1937332</v>
      </c>
      <c r="J153" s="516">
        <v>23986</v>
      </c>
      <c r="K153" s="516">
        <v>69550</v>
      </c>
      <c r="L153" s="516">
        <v>10659</v>
      </c>
      <c r="M153" s="516">
        <v>41011268</v>
      </c>
      <c r="N153" s="516">
        <v>0</v>
      </c>
      <c r="O153" s="516">
        <v>145040</v>
      </c>
      <c r="P153" s="516">
        <v>59025</v>
      </c>
      <c r="Q153" s="516">
        <v>0</v>
      </c>
      <c r="R153" s="516">
        <v>685240</v>
      </c>
      <c r="S153" s="516">
        <v>422275</v>
      </c>
      <c r="T153" s="516">
        <v>578473</v>
      </c>
      <c r="U153" s="516">
        <v>0</v>
      </c>
      <c r="V153" s="516">
        <v>1615430</v>
      </c>
      <c r="W153" s="516">
        <v>0</v>
      </c>
      <c r="X153" s="516">
        <v>0</v>
      </c>
      <c r="Y153" s="516">
        <v>0</v>
      </c>
      <c r="Z153" s="516">
        <v>0</v>
      </c>
      <c r="AA153" s="516">
        <v>212850</v>
      </c>
      <c r="AB153" s="516">
        <v>0</v>
      </c>
      <c r="AC153" s="516">
        <v>0</v>
      </c>
      <c r="AD153" s="516">
        <v>0</v>
      </c>
      <c r="AE153" s="516">
        <v>34986</v>
      </c>
      <c r="AF153" s="516">
        <v>289191</v>
      </c>
      <c r="AG153" s="516">
        <v>3300</v>
      </c>
      <c r="AH153" s="516">
        <v>0</v>
      </c>
      <c r="AI153" s="516">
        <v>0</v>
      </c>
      <c r="AJ153" s="516">
        <v>3535</v>
      </c>
      <c r="AK153" s="516">
        <v>851305</v>
      </c>
      <c r="AL153" s="516">
        <v>14345</v>
      </c>
      <c r="AM153" s="516">
        <v>0</v>
      </c>
      <c r="AN153" s="516">
        <v>1009705</v>
      </c>
      <c r="AO153" s="516">
        <v>6141591</v>
      </c>
      <c r="AP153" s="516">
        <v>10650</v>
      </c>
      <c r="AQ153" s="516">
        <v>0</v>
      </c>
      <c r="AR153" s="516">
        <v>838201</v>
      </c>
      <c r="AS153" s="516">
        <v>45160</v>
      </c>
      <c r="AT153" s="516">
        <v>22049</v>
      </c>
      <c r="AU153" s="516">
        <v>135492</v>
      </c>
      <c r="AV153" s="516">
        <v>389494</v>
      </c>
      <c r="AW153" s="516">
        <v>44900</v>
      </c>
      <c r="AX153" s="516">
        <v>19449</v>
      </c>
      <c r="AY153" s="516">
        <v>89001</v>
      </c>
      <c r="AZ153" s="516">
        <v>68198</v>
      </c>
      <c r="BA153" s="516">
        <v>478051</v>
      </c>
      <c r="BB153" s="516">
        <v>0</v>
      </c>
      <c r="BC153" s="516">
        <v>0</v>
      </c>
      <c r="BD153" s="516">
        <v>0</v>
      </c>
      <c r="BE153" s="516">
        <v>0</v>
      </c>
      <c r="BF153" s="516">
        <v>0</v>
      </c>
      <c r="BG153" s="516">
        <v>41298</v>
      </c>
      <c r="BH153" s="516">
        <v>0</v>
      </c>
      <c r="BI153" s="516">
        <v>0</v>
      </c>
      <c r="BJ153" s="516">
        <v>0</v>
      </c>
      <c r="BK153" s="516">
        <v>0</v>
      </c>
      <c r="BL153" s="516">
        <v>156535</v>
      </c>
      <c r="BM153" s="516">
        <v>176272</v>
      </c>
      <c r="BN153" s="516">
        <v>0</v>
      </c>
      <c r="BO153" s="516">
        <v>241721</v>
      </c>
      <c r="BP153" s="516">
        <v>96649</v>
      </c>
      <c r="BQ153" s="516">
        <v>41309</v>
      </c>
      <c r="BR153" s="516">
        <v>64038</v>
      </c>
      <c r="BS153" s="516">
        <v>0</v>
      </c>
      <c r="BT153" s="516">
        <v>0</v>
      </c>
      <c r="BU153" s="516">
        <v>0</v>
      </c>
      <c r="BV153" s="516">
        <v>158123</v>
      </c>
      <c r="BW153" s="516">
        <v>40204</v>
      </c>
      <c r="BX153" s="516">
        <v>24793</v>
      </c>
      <c r="BY153" s="516">
        <v>0</v>
      </c>
      <c r="BZ153" s="516">
        <v>0</v>
      </c>
      <c r="CA153" s="516">
        <v>1132304</v>
      </c>
      <c r="CB153" s="516">
        <v>0</v>
      </c>
    </row>
    <row r="154" spans="1:80" x14ac:dyDescent="0.25">
      <c r="A154" s="860">
        <v>504</v>
      </c>
      <c r="B154" s="846">
        <v>504</v>
      </c>
      <c r="C154" s="860" t="s">
        <v>258</v>
      </c>
      <c r="D154" s="860" t="s">
        <v>538</v>
      </c>
      <c r="E154" s="516">
        <v>141869</v>
      </c>
      <c r="F154" s="516">
        <v>1431023</v>
      </c>
      <c r="G154" s="516">
        <v>0</v>
      </c>
      <c r="H154" s="516">
        <v>11104953</v>
      </c>
      <c r="I154" s="516">
        <v>219584</v>
      </c>
      <c r="J154" s="516">
        <v>18039</v>
      </c>
      <c r="K154" s="516">
        <v>53771</v>
      </c>
      <c r="L154" s="516">
        <v>86609</v>
      </c>
      <c r="M154" s="516">
        <v>3794246</v>
      </c>
      <c r="N154" s="516">
        <v>8239</v>
      </c>
      <c r="O154" s="516">
        <v>33283</v>
      </c>
      <c r="P154" s="516">
        <v>134791</v>
      </c>
      <c r="Q154" s="516">
        <v>2282677</v>
      </c>
      <c r="R154" s="516">
        <v>39995</v>
      </c>
      <c r="S154" s="516">
        <v>1298883</v>
      </c>
      <c r="T154" s="516">
        <v>1496707</v>
      </c>
      <c r="U154" s="516">
        <v>0</v>
      </c>
      <c r="V154" s="516">
        <v>865853</v>
      </c>
      <c r="W154" s="516">
        <v>6337</v>
      </c>
      <c r="X154" s="516">
        <v>238353</v>
      </c>
      <c r="Y154" s="516">
        <v>272786</v>
      </c>
      <c r="Z154" s="516">
        <v>319534</v>
      </c>
      <c r="AA154" s="516">
        <v>279192</v>
      </c>
      <c r="AB154" s="516">
        <v>150828</v>
      </c>
      <c r="AC154" s="516">
        <v>100170</v>
      </c>
      <c r="AD154" s="516">
        <v>0</v>
      </c>
      <c r="AE154" s="516">
        <v>386229</v>
      </c>
      <c r="AF154" s="516">
        <v>260928</v>
      </c>
      <c r="AG154" s="516">
        <v>42768</v>
      </c>
      <c r="AH154" s="516">
        <v>3851</v>
      </c>
      <c r="AI154" s="516">
        <v>25834</v>
      </c>
      <c r="AJ154" s="516">
        <v>102140</v>
      </c>
      <c r="AK154" s="516">
        <v>456912</v>
      </c>
      <c r="AL154" s="516">
        <v>91980</v>
      </c>
      <c r="AM154" s="516">
        <v>0</v>
      </c>
      <c r="AN154" s="516">
        <v>2397258</v>
      </c>
      <c r="AO154" s="516">
        <v>844285</v>
      </c>
      <c r="AP154" s="516">
        <v>201437</v>
      </c>
      <c r="AQ154" s="516">
        <v>358916</v>
      </c>
      <c r="AR154" s="516">
        <v>2306497</v>
      </c>
      <c r="AS154" s="516">
        <v>273909</v>
      </c>
      <c r="AT154" s="516">
        <v>23736</v>
      </c>
      <c r="AU154" s="516">
        <v>178081</v>
      </c>
      <c r="AV154" s="516">
        <v>592248</v>
      </c>
      <c r="AW154" s="516">
        <v>4964</v>
      </c>
      <c r="AX154" s="516">
        <v>23642</v>
      </c>
      <c r="AY154" s="516">
        <v>145358</v>
      </c>
      <c r="AZ154" s="516">
        <v>201358</v>
      </c>
      <c r="BA154" s="516">
        <v>522741</v>
      </c>
      <c r="BB154" s="516">
        <v>14663</v>
      </c>
      <c r="BC154" s="516">
        <v>0</v>
      </c>
      <c r="BD154" s="516">
        <v>0</v>
      </c>
      <c r="BE154" s="516">
        <v>3920</v>
      </c>
      <c r="BF154" s="516">
        <v>0</v>
      </c>
      <c r="BG154" s="516">
        <v>14171</v>
      </c>
      <c r="BH154" s="516">
        <v>5226</v>
      </c>
      <c r="BI154" s="516">
        <v>176165</v>
      </c>
      <c r="BJ154" s="516">
        <v>132706</v>
      </c>
      <c r="BK154" s="516">
        <v>0</v>
      </c>
      <c r="BL154" s="516">
        <v>393132</v>
      </c>
      <c r="BM154" s="516">
        <v>121997</v>
      </c>
      <c r="BN154" s="516">
        <v>0</v>
      </c>
      <c r="BO154" s="516">
        <v>368150</v>
      </c>
      <c r="BP154" s="516">
        <v>69934</v>
      </c>
      <c r="BQ154" s="516">
        <v>22732</v>
      </c>
      <c r="BR154" s="516">
        <v>68784</v>
      </c>
      <c r="BS154" s="516">
        <v>0</v>
      </c>
      <c r="BT154" s="516">
        <v>1379172</v>
      </c>
      <c r="BU154" s="516">
        <v>454053</v>
      </c>
      <c r="BV154" s="516">
        <v>184928</v>
      </c>
      <c r="BW154" s="516">
        <v>70931</v>
      </c>
      <c r="BX154" s="516">
        <v>17636</v>
      </c>
      <c r="BY154" s="516">
        <v>3712</v>
      </c>
      <c r="BZ154" s="516">
        <v>4500</v>
      </c>
      <c r="CA154" s="516">
        <v>742312</v>
      </c>
      <c r="CB154" s="516">
        <v>56378</v>
      </c>
    </row>
    <row r="155" spans="1:80" x14ac:dyDescent="0.25">
      <c r="A155" s="860">
        <v>505</v>
      </c>
      <c r="B155" s="846">
        <v>505</v>
      </c>
      <c r="C155" s="860" t="s">
        <v>259</v>
      </c>
      <c r="D155" s="860" t="s">
        <v>539</v>
      </c>
      <c r="E155" s="516">
        <v>6220372</v>
      </c>
      <c r="F155" s="516">
        <v>949760</v>
      </c>
      <c r="G155" s="516">
        <v>0</v>
      </c>
      <c r="H155" s="516">
        <v>2030845</v>
      </c>
      <c r="I155" s="516">
        <v>76008</v>
      </c>
      <c r="J155" s="516">
        <v>0</v>
      </c>
      <c r="K155" s="516">
        <v>0</v>
      </c>
      <c r="L155" s="516">
        <v>593423</v>
      </c>
      <c r="M155" s="516">
        <v>5580806</v>
      </c>
      <c r="N155" s="516">
        <v>0</v>
      </c>
      <c r="O155" s="516">
        <v>0</v>
      </c>
      <c r="P155" s="516">
        <v>0</v>
      </c>
      <c r="Q155" s="516">
        <v>277085</v>
      </c>
      <c r="R155" s="516">
        <v>919424</v>
      </c>
      <c r="S155" s="516">
        <v>12863</v>
      </c>
      <c r="T155" s="516">
        <v>0</v>
      </c>
      <c r="U155" s="516">
        <v>0</v>
      </c>
      <c r="V155" s="516">
        <v>0</v>
      </c>
      <c r="W155" s="516">
        <v>0</v>
      </c>
      <c r="X155" s="516">
        <v>1343216</v>
      </c>
      <c r="Y155" s="516">
        <v>8586829</v>
      </c>
      <c r="Z155" s="516">
        <v>0</v>
      </c>
      <c r="AA155" s="516">
        <v>0</v>
      </c>
      <c r="AB155" s="516">
        <v>211932</v>
      </c>
      <c r="AC155" s="516">
        <v>0</v>
      </c>
      <c r="AD155" s="516">
        <v>8470</v>
      </c>
      <c r="AE155" s="516">
        <v>0</v>
      </c>
      <c r="AF155" s="516">
        <v>43265</v>
      </c>
      <c r="AG155" s="516">
        <v>0</v>
      </c>
      <c r="AH155" s="516">
        <v>0</v>
      </c>
      <c r="AI155" s="516">
        <v>0</v>
      </c>
      <c r="AJ155" s="516">
        <v>20290</v>
      </c>
      <c r="AK155" s="516">
        <v>0</v>
      </c>
      <c r="AL155" s="516">
        <v>100000</v>
      </c>
      <c r="AM155" s="516">
        <v>0</v>
      </c>
      <c r="AN155" s="516">
        <v>603361</v>
      </c>
      <c r="AO155" s="516">
        <v>162485</v>
      </c>
      <c r="AP155" s="516">
        <v>0</v>
      </c>
      <c r="AQ155" s="516">
        <v>779431</v>
      </c>
      <c r="AR155" s="516">
        <v>405590</v>
      </c>
      <c r="AS155" s="516">
        <v>4909</v>
      </c>
      <c r="AT155" s="516">
        <v>41268</v>
      </c>
      <c r="AU155" s="516">
        <v>275000</v>
      </c>
      <c r="AV155" s="516">
        <v>646462</v>
      </c>
      <c r="AW155" s="516">
        <v>205801</v>
      </c>
      <c r="AX155" s="516">
        <v>0</v>
      </c>
      <c r="AY155" s="516">
        <v>0</v>
      </c>
      <c r="AZ155" s="516">
        <v>0</v>
      </c>
      <c r="BA155" s="516">
        <v>348652</v>
      </c>
      <c r="BB155" s="516">
        <v>0</v>
      </c>
      <c r="BC155" s="516">
        <v>0</v>
      </c>
      <c r="BD155" s="516">
        <v>0</v>
      </c>
      <c r="BE155" s="516">
        <v>0</v>
      </c>
      <c r="BF155" s="516">
        <v>0</v>
      </c>
      <c r="BG155" s="516">
        <v>0</v>
      </c>
      <c r="BH155" s="516">
        <v>0</v>
      </c>
      <c r="BI155" s="516">
        <v>0</v>
      </c>
      <c r="BJ155" s="516">
        <v>0</v>
      </c>
      <c r="BK155" s="516">
        <v>0</v>
      </c>
      <c r="BL155" s="516">
        <v>0</v>
      </c>
      <c r="BM155" s="516">
        <v>34189</v>
      </c>
      <c r="BN155" s="516">
        <v>0</v>
      </c>
      <c r="BO155" s="516">
        <v>1288538</v>
      </c>
      <c r="BP155" s="516">
        <v>657326</v>
      </c>
      <c r="BQ155" s="516">
        <v>0</v>
      </c>
      <c r="BR155" s="516">
        <v>0</v>
      </c>
      <c r="BS155" s="516">
        <v>0</v>
      </c>
      <c r="BT155" s="516">
        <v>117158</v>
      </c>
      <c r="BU155" s="516">
        <v>0</v>
      </c>
      <c r="BV155" s="516">
        <v>30000</v>
      </c>
      <c r="BW155" s="516">
        <v>1017478</v>
      </c>
      <c r="BX155" s="516">
        <v>1697524</v>
      </c>
      <c r="BY155" s="516">
        <v>0</v>
      </c>
      <c r="BZ155" s="516">
        <v>0</v>
      </c>
      <c r="CA155" s="516">
        <v>2617102</v>
      </c>
      <c r="CB155" s="516">
        <v>0</v>
      </c>
    </row>
    <row r="156" spans="1:80" x14ac:dyDescent="0.25">
      <c r="A156" s="860">
        <v>506</v>
      </c>
      <c r="B156" s="846">
        <v>506</v>
      </c>
      <c r="C156" s="860" t="s">
        <v>265</v>
      </c>
      <c r="D156" s="860" t="s">
        <v>540</v>
      </c>
      <c r="E156" s="516">
        <v>235624</v>
      </c>
      <c r="F156" s="516">
        <v>18342987</v>
      </c>
      <c r="G156" s="516">
        <v>0</v>
      </c>
      <c r="H156" s="516">
        <v>27459307</v>
      </c>
      <c r="I156" s="516">
        <v>3901017</v>
      </c>
      <c r="J156" s="516">
        <v>402452</v>
      </c>
      <c r="K156" s="516">
        <v>2624602</v>
      </c>
      <c r="L156" s="516">
        <v>820632</v>
      </c>
      <c r="M156" s="516">
        <v>13360537</v>
      </c>
      <c r="N156" s="516">
        <v>203487</v>
      </c>
      <c r="O156" s="516">
        <v>455762</v>
      </c>
      <c r="P156" s="516">
        <v>446290</v>
      </c>
      <c r="Q156" s="516">
        <v>13537137</v>
      </c>
      <c r="R156" s="516">
        <v>13793300</v>
      </c>
      <c r="S156" s="516">
        <v>2692150</v>
      </c>
      <c r="T156" s="516">
        <v>7980349</v>
      </c>
      <c r="U156" s="516">
        <v>0</v>
      </c>
      <c r="V156" s="516">
        <v>6594231</v>
      </c>
      <c r="W156" s="516">
        <v>167688</v>
      </c>
      <c r="X156" s="516">
        <v>8271871</v>
      </c>
      <c r="Y156" s="516">
        <v>6768881</v>
      </c>
      <c r="Z156" s="516">
        <v>3993669</v>
      </c>
      <c r="AA156" s="516">
        <v>1587577</v>
      </c>
      <c r="AB156" s="516">
        <v>2618238</v>
      </c>
      <c r="AC156" s="516">
        <v>1019523</v>
      </c>
      <c r="AD156" s="516">
        <v>230847</v>
      </c>
      <c r="AE156" s="516">
        <v>1002200</v>
      </c>
      <c r="AF156" s="516">
        <v>423677</v>
      </c>
      <c r="AG156" s="516">
        <v>131506</v>
      </c>
      <c r="AH156" s="516">
        <v>62627</v>
      </c>
      <c r="AI156" s="516">
        <v>141351</v>
      </c>
      <c r="AJ156" s="516">
        <v>1653810</v>
      </c>
      <c r="AK156" s="516">
        <v>2453889</v>
      </c>
      <c r="AL156" s="516">
        <v>225247</v>
      </c>
      <c r="AM156" s="516">
        <v>112065</v>
      </c>
      <c r="AN156" s="516">
        <v>9262632</v>
      </c>
      <c r="AO156" s="516">
        <v>10434622</v>
      </c>
      <c r="AP156" s="516">
        <v>504156</v>
      </c>
      <c r="AQ156" s="516">
        <v>6677591</v>
      </c>
      <c r="AR156" s="516">
        <v>10468861</v>
      </c>
      <c r="AS156" s="516">
        <v>2451039</v>
      </c>
      <c r="AT156" s="516">
        <v>369524</v>
      </c>
      <c r="AU156" s="516">
        <v>2330243</v>
      </c>
      <c r="AV156" s="516">
        <v>5085737</v>
      </c>
      <c r="AW156" s="516">
        <v>153356</v>
      </c>
      <c r="AX156" s="516">
        <v>194653</v>
      </c>
      <c r="AY156" s="516">
        <v>2669277</v>
      </c>
      <c r="AZ156" s="516">
        <v>1715339</v>
      </c>
      <c r="BA156" s="516">
        <v>1527944</v>
      </c>
      <c r="BB156" s="516">
        <v>57538</v>
      </c>
      <c r="BC156" s="516">
        <v>0</v>
      </c>
      <c r="BD156" s="516">
        <v>0</v>
      </c>
      <c r="BE156" s="516">
        <v>363569</v>
      </c>
      <c r="BF156" s="516">
        <v>0</v>
      </c>
      <c r="BG156" s="516">
        <v>415422</v>
      </c>
      <c r="BH156" s="516">
        <v>137107</v>
      </c>
      <c r="BI156" s="516">
        <v>2536122</v>
      </c>
      <c r="BJ156" s="516">
        <v>3020604</v>
      </c>
      <c r="BK156" s="516">
        <v>0</v>
      </c>
      <c r="BL156" s="516">
        <v>2233047</v>
      </c>
      <c r="BM156" s="516">
        <v>5533850</v>
      </c>
      <c r="BN156" s="516">
        <v>125766</v>
      </c>
      <c r="BO156" s="516">
        <v>2555804</v>
      </c>
      <c r="BP156" s="516">
        <v>3047474</v>
      </c>
      <c r="BQ156" s="516">
        <v>1472991</v>
      </c>
      <c r="BR156" s="516">
        <v>1182647</v>
      </c>
      <c r="BS156" s="516">
        <v>1597799</v>
      </c>
      <c r="BT156" s="516">
        <v>10778226</v>
      </c>
      <c r="BU156" s="516">
        <v>1830919</v>
      </c>
      <c r="BV156" s="516">
        <v>1119572</v>
      </c>
      <c r="BW156" s="516">
        <v>954348</v>
      </c>
      <c r="BX156" s="516">
        <v>935465</v>
      </c>
      <c r="BY156" s="516">
        <v>156637</v>
      </c>
      <c r="BZ156" s="516">
        <v>189360</v>
      </c>
      <c r="CA156" s="516">
        <v>11573316</v>
      </c>
      <c r="CB156" s="516">
        <v>125756</v>
      </c>
    </row>
    <row r="157" spans="1:80" x14ac:dyDescent="0.25">
      <c r="A157" s="860">
        <v>507</v>
      </c>
      <c r="B157" s="846">
        <v>507</v>
      </c>
      <c r="C157" s="860" t="s">
        <v>283</v>
      </c>
      <c r="D157" s="860" t="s">
        <v>541</v>
      </c>
      <c r="E157" s="516">
        <v>0</v>
      </c>
      <c r="F157" s="516">
        <v>0</v>
      </c>
      <c r="G157" s="516">
        <v>0</v>
      </c>
      <c r="H157" s="516">
        <v>0</v>
      </c>
      <c r="I157" s="516">
        <v>1534</v>
      </c>
      <c r="J157" s="516">
        <v>0</v>
      </c>
      <c r="K157" s="516">
        <v>0</v>
      </c>
      <c r="L157" s="516">
        <v>0</v>
      </c>
      <c r="M157" s="516">
        <v>0</v>
      </c>
      <c r="N157" s="516">
        <v>0</v>
      </c>
      <c r="O157" s="516">
        <v>0</v>
      </c>
      <c r="P157" s="516">
        <v>0</v>
      </c>
      <c r="Q157" s="516">
        <v>0</v>
      </c>
      <c r="R157" s="516">
        <v>0</v>
      </c>
      <c r="S157" s="516">
        <v>0</v>
      </c>
      <c r="T157" s="516">
        <v>0</v>
      </c>
      <c r="U157" s="516">
        <v>0</v>
      </c>
      <c r="V157" s="516">
        <v>0</v>
      </c>
      <c r="W157" s="516">
        <v>0</v>
      </c>
      <c r="X157" s="516">
        <v>0</v>
      </c>
      <c r="Y157" s="516">
        <v>0</v>
      </c>
      <c r="Z157" s="516">
        <v>0</v>
      </c>
      <c r="AA157" s="516">
        <v>16449</v>
      </c>
      <c r="AB157" s="516">
        <v>0</v>
      </c>
      <c r="AC157" s="516">
        <v>0</v>
      </c>
      <c r="AD157" s="516">
        <v>0</v>
      </c>
      <c r="AE157" s="516">
        <v>0</v>
      </c>
      <c r="AF157" s="516">
        <v>1</v>
      </c>
      <c r="AG157" s="516">
        <v>1</v>
      </c>
      <c r="AH157" s="516">
        <v>0</v>
      </c>
      <c r="AI157" s="516">
        <v>0</v>
      </c>
      <c r="AJ157" s="516">
        <v>0</v>
      </c>
      <c r="AK157" s="516">
        <v>0</v>
      </c>
      <c r="AL157" s="516">
        <v>0</v>
      </c>
      <c r="AM157" s="516">
        <v>0</v>
      </c>
      <c r="AN157" s="516">
        <v>-241266</v>
      </c>
      <c r="AO157" s="516">
        <v>0</v>
      </c>
      <c r="AP157" s="516">
        <v>0</v>
      </c>
      <c r="AQ157" s="516">
        <v>0</v>
      </c>
      <c r="AR157" s="516">
        <v>0</v>
      </c>
      <c r="AS157" s="516">
        <v>0</v>
      </c>
      <c r="AT157" s="516">
        <v>0</v>
      </c>
      <c r="AU157" s="516">
        <v>0</v>
      </c>
      <c r="AV157" s="516">
        <v>-3798</v>
      </c>
      <c r="AW157" s="516">
        <v>0</v>
      </c>
      <c r="AX157" s="516">
        <v>0</v>
      </c>
      <c r="AY157" s="516">
        <v>-81732</v>
      </c>
      <c r="AZ157" s="516">
        <v>1</v>
      </c>
      <c r="BA157" s="516">
        <v>0</v>
      </c>
      <c r="BB157" s="516">
        <v>-1</v>
      </c>
      <c r="BC157" s="516">
        <v>0</v>
      </c>
      <c r="BD157" s="516">
        <v>0</v>
      </c>
      <c r="BE157" s="516">
        <v>0</v>
      </c>
      <c r="BF157" s="516">
        <v>0</v>
      </c>
      <c r="BG157" s="516">
        <v>0</v>
      </c>
      <c r="BH157" s="516">
        <v>0</v>
      </c>
      <c r="BI157" s="516">
        <v>0</v>
      </c>
      <c r="BJ157" s="516">
        <v>0</v>
      </c>
      <c r="BK157" s="516">
        <v>0</v>
      </c>
      <c r="BL157" s="516">
        <v>0</v>
      </c>
      <c r="BM157" s="516">
        <v>0</v>
      </c>
      <c r="BN157" s="516">
        <v>0</v>
      </c>
      <c r="BO157" s="516">
        <v>0</v>
      </c>
      <c r="BP157" s="516">
        <v>0</v>
      </c>
      <c r="BQ157" s="516">
        <v>0</v>
      </c>
      <c r="BR157" s="516">
        <v>1</v>
      </c>
      <c r="BS157" s="516">
        <v>0</v>
      </c>
      <c r="BT157" s="516">
        <v>0</v>
      </c>
      <c r="BU157" s="516">
        <v>0</v>
      </c>
      <c r="BV157" s="516">
        <v>0</v>
      </c>
      <c r="BW157" s="516">
        <v>0</v>
      </c>
      <c r="BX157" s="516">
        <v>0</v>
      </c>
      <c r="BY157" s="516">
        <v>0</v>
      </c>
      <c r="BZ157" s="516">
        <v>0</v>
      </c>
      <c r="CA157" s="516">
        <v>0</v>
      </c>
      <c r="CB157" s="516">
        <v>0</v>
      </c>
    </row>
    <row r="158" spans="1:80" x14ac:dyDescent="0.25">
      <c r="A158" s="860">
        <v>508</v>
      </c>
      <c r="B158" s="846">
        <v>508</v>
      </c>
      <c r="C158" s="860" t="s">
        <v>280</v>
      </c>
      <c r="D158" s="860" t="s">
        <v>542</v>
      </c>
      <c r="E158" s="516">
        <v>0</v>
      </c>
      <c r="F158" s="516">
        <v>0</v>
      </c>
      <c r="G158" s="516">
        <v>0</v>
      </c>
      <c r="H158" s="516">
        <v>0</v>
      </c>
      <c r="I158" s="516">
        <v>0</v>
      </c>
      <c r="J158" s="516">
        <v>0</v>
      </c>
      <c r="K158" s="516">
        <v>0</v>
      </c>
      <c r="L158" s="516">
        <v>0</v>
      </c>
      <c r="M158" s="516">
        <v>0</v>
      </c>
      <c r="N158" s="516">
        <v>0</v>
      </c>
      <c r="O158" s="516">
        <v>0</v>
      </c>
      <c r="P158" s="516">
        <v>0</v>
      </c>
      <c r="Q158" s="516">
        <v>0</v>
      </c>
      <c r="R158" s="516">
        <v>0</v>
      </c>
      <c r="S158" s="516">
        <v>0</v>
      </c>
      <c r="T158" s="516">
        <v>0</v>
      </c>
      <c r="U158" s="516">
        <v>0</v>
      </c>
      <c r="V158" s="516">
        <v>0</v>
      </c>
      <c r="W158" s="516">
        <v>0</v>
      </c>
      <c r="X158" s="516">
        <v>0</v>
      </c>
      <c r="Y158" s="516">
        <v>0</v>
      </c>
      <c r="Z158" s="516">
        <v>0</v>
      </c>
      <c r="AA158" s="516">
        <v>0</v>
      </c>
      <c r="AB158" s="516">
        <v>0</v>
      </c>
      <c r="AC158" s="516">
        <v>0</v>
      </c>
      <c r="AD158" s="516">
        <v>0</v>
      </c>
      <c r="AE158" s="516">
        <v>0</v>
      </c>
      <c r="AF158" s="516">
        <v>0</v>
      </c>
      <c r="AG158" s="516">
        <v>0</v>
      </c>
      <c r="AH158" s="516">
        <v>0</v>
      </c>
      <c r="AI158" s="516">
        <v>0</v>
      </c>
      <c r="AJ158" s="516">
        <v>0</v>
      </c>
      <c r="AK158" s="516">
        <v>0</v>
      </c>
      <c r="AL158" s="516">
        <v>0</v>
      </c>
      <c r="AM158" s="516">
        <v>0</v>
      </c>
      <c r="AN158" s="516">
        <v>0</v>
      </c>
      <c r="AO158" s="516">
        <v>0</v>
      </c>
      <c r="AP158" s="516">
        <v>0</v>
      </c>
      <c r="AQ158" s="516">
        <v>0</v>
      </c>
      <c r="AR158" s="516">
        <v>0</v>
      </c>
      <c r="AS158" s="516">
        <v>0</v>
      </c>
      <c r="AT158" s="516">
        <v>0</v>
      </c>
      <c r="AU158" s="516">
        <v>0</v>
      </c>
      <c r="AV158" s="516">
        <v>0</v>
      </c>
      <c r="AW158" s="516">
        <v>0</v>
      </c>
      <c r="AX158" s="516">
        <v>0</v>
      </c>
      <c r="AY158" s="516">
        <v>0</v>
      </c>
      <c r="AZ158" s="516">
        <v>0</v>
      </c>
      <c r="BA158" s="516">
        <v>0</v>
      </c>
      <c r="BB158" s="516">
        <v>0</v>
      </c>
      <c r="BC158" s="516">
        <v>0</v>
      </c>
      <c r="BD158" s="516">
        <v>0</v>
      </c>
      <c r="BE158" s="516">
        <v>0</v>
      </c>
      <c r="BF158" s="516">
        <v>0</v>
      </c>
      <c r="BG158" s="516">
        <v>0</v>
      </c>
      <c r="BH158" s="516">
        <v>0</v>
      </c>
      <c r="BI158" s="516">
        <v>0</v>
      </c>
      <c r="BJ158" s="516">
        <v>0</v>
      </c>
      <c r="BK158" s="516">
        <v>0</v>
      </c>
      <c r="BL158" s="516">
        <v>0</v>
      </c>
      <c r="BM158" s="516">
        <v>0</v>
      </c>
      <c r="BN158" s="516">
        <v>0</v>
      </c>
      <c r="BO158" s="516">
        <v>0</v>
      </c>
      <c r="BP158" s="516">
        <v>0</v>
      </c>
      <c r="BQ158" s="516">
        <v>0</v>
      </c>
      <c r="BR158" s="516">
        <v>0</v>
      </c>
      <c r="BS158" s="516">
        <v>0</v>
      </c>
      <c r="BT158" s="516">
        <v>0</v>
      </c>
      <c r="BU158" s="516">
        <v>0</v>
      </c>
      <c r="BV158" s="516">
        <v>0</v>
      </c>
      <c r="BW158" s="516">
        <v>0</v>
      </c>
      <c r="BX158" s="516">
        <v>0</v>
      </c>
      <c r="BY158" s="516">
        <v>0</v>
      </c>
      <c r="BZ158" s="516">
        <v>0</v>
      </c>
      <c r="CA158" s="516">
        <v>0</v>
      </c>
      <c r="CB158" s="516">
        <v>0</v>
      </c>
    </row>
    <row r="159" spans="1:80" x14ac:dyDescent="0.25">
      <c r="A159" s="860">
        <v>509</v>
      </c>
      <c r="B159" s="846">
        <v>509</v>
      </c>
      <c r="C159" s="860" t="s">
        <v>281</v>
      </c>
      <c r="D159" s="860" t="s">
        <v>543</v>
      </c>
      <c r="E159" s="516">
        <v>0</v>
      </c>
      <c r="F159" s="516">
        <v>0</v>
      </c>
      <c r="G159" s="516">
        <v>0</v>
      </c>
      <c r="H159" s="516">
        <v>0</v>
      </c>
      <c r="I159" s="516">
        <v>0</v>
      </c>
      <c r="J159" s="516">
        <v>0</v>
      </c>
      <c r="K159" s="516">
        <v>0</v>
      </c>
      <c r="L159" s="516">
        <v>0</v>
      </c>
      <c r="M159" s="516">
        <v>0</v>
      </c>
      <c r="N159" s="516">
        <v>0</v>
      </c>
      <c r="O159" s="516">
        <v>0</v>
      </c>
      <c r="P159" s="516">
        <v>0</v>
      </c>
      <c r="Q159" s="516">
        <v>0</v>
      </c>
      <c r="R159" s="516">
        <v>0</v>
      </c>
      <c r="S159" s="516">
        <v>0</v>
      </c>
      <c r="T159" s="516">
        <v>0</v>
      </c>
      <c r="U159" s="516">
        <v>0</v>
      </c>
      <c r="V159" s="516">
        <v>0</v>
      </c>
      <c r="W159" s="516">
        <v>0</v>
      </c>
      <c r="X159" s="516">
        <v>0</v>
      </c>
      <c r="Y159" s="516">
        <v>0</v>
      </c>
      <c r="Z159" s="516">
        <v>0</v>
      </c>
      <c r="AA159" s="516">
        <v>0</v>
      </c>
      <c r="AB159" s="516">
        <v>0</v>
      </c>
      <c r="AC159" s="516">
        <v>0</v>
      </c>
      <c r="AD159" s="516">
        <v>0</v>
      </c>
      <c r="AE159" s="516">
        <v>0</v>
      </c>
      <c r="AF159" s="516">
        <v>0</v>
      </c>
      <c r="AG159" s="516">
        <v>0</v>
      </c>
      <c r="AH159" s="516">
        <v>0</v>
      </c>
      <c r="AI159" s="516">
        <v>0</v>
      </c>
      <c r="AJ159" s="516">
        <v>0</v>
      </c>
      <c r="AK159" s="516">
        <v>0</v>
      </c>
      <c r="AL159" s="516">
        <v>0</v>
      </c>
      <c r="AM159" s="516">
        <v>0</v>
      </c>
      <c r="AN159" s="516">
        <v>0</v>
      </c>
      <c r="AO159" s="516">
        <v>0</v>
      </c>
      <c r="AP159" s="516">
        <v>0</v>
      </c>
      <c r="AQ159" s="516">
        <v>0</v>
      </c>
      <c r="AR159" s="516">
        <v>0</v>
      </c>
      <c r="AS159" s="516">
        <v>0</v>
      </c>
      <c r="AT159" s="516">
        <v>0</v>
      </c>
      <c r="AU159" s="516">
        <v>0</v>
      </c>
      <c r="AV159" s="516">
        <v>0</v>
      </c>
      <c r="AW159" s="516">
        <v>0</v>
      </c>
      <c r="AX159" s="516">
        <v>0</v>
      </c>
      <c r="AY159" s="516">
        <v>0</v>
      </c>
      <c r="AZ159" s="516">
        <v>0</v>
      </c>
      <c r="BA159" s="516">
        <v>0</v>
      </c>
      <c r="BB159" s="516">
        <v>0</v>
      </c>
      <c r="BC159" s="516">
        <v>0</v>
      </c>
      <c r="BD159" s="516">
        <v>0</v>
      </c>
      <c r="BE159" s="516">
        <v>0</v>
      </c>
      <c r="BF159" s="516">
        <v>0</v>
      </c>
      <c r="BG159" s="516">
        <v>0</v>
      </c>
      <c r="BH159" s="516">
        <v>0</v>
      </c>
      <c r="BI159" s="516">
        <v>0</v>
      </c>
      <c r="BJ159" s="516">
        <v>0</v>
      </c>
      <c r="BK159" s="516">
        <v>0</v>
      </c>
      <c r="BL159" s="516">
        <v>0</v>
      </c>
      <c r="BM159" s="516">
        <v>0</v>
      </c>
      <c r="BN159" s="516">
        <v>0</v>
      </c>
      <c r="BO159" s="516">
        <v>0</v>
      </c>
      <c r="BP159" s="516">
        <v>0</v>
      </c>
      <c r="BQ159" s="516">
        <v>0</v>
      </c>
      <c r="BR159" s="516">
        <v>0</v>
      </c>
      <c r="BS159" s="516">
        <v>0</v>
      </c>
      <c r="BT159" s="516">
        <v>0</v>
      </c>
      <c r="BU159" s="516">
        <v>0</v>
      </c>
      <c r="BV159" s="516">
        <v>0</v>
      </c>
      <c r="BW159" s="516">
        <v>0</v>
      </c>
      <c r="BX159" s="516">
        <v>0</v>
      </c>
      <c r="BY159" s="516">
        <v>0</v>
      </c>
      <c r="BZ159" s="516">
        <v>0</v>
      </c>
      <c r="CA159" s="516">
        <v>0</v>
      </c>
      <c r="CB159" s="516">
        <v>0</v>
      </c>
    </row>
    <row r="160" spans="1:80" x14ac:dyDescent="0.25">
      <c r="A160" s="860">
        <v>510</v>
      </c>
      <c r="B160" s="846">
        <v>510</v>
      </c>
      <c r="C160" s="860" t="s">
        <v>287</v>
      </c>
      <c r="D160" s="860" t="s">
        <v>544</v>
      </c>
      <c r="E160" s="516">
        <v>0</v>
      </c>
      <c r="F160" s="516">
        <v>0</v>
      </c>
      <c r="G160" s="516">
        <v>0</v>
      </c>
      <c r="H160" s="516">
        <v>233145</v>
      </c>
      <c r="I160" s="516">
        <v>23596</v>
      </c>
      <c r="J160" s="516">
        <v>0</v>
      </c>
      <c r="K160" s="516">
        <v>0</v>
      </c>
      <c r="L160" s="516">
        <v>36075</v>
      </c>
      <c r="M160" s="516">
        <v>0</v>
      </c>
      <c r="N160" s="516">
        <v>0</v>
      </c>
      <c r="O160" s="516">
        <v>0</v>
      </c>
      <c r="P160" s="516">
        <v>0</v>
      </c>
      <c r="Q160" s="516">
        <v>0</v>
      </c>
      <c r="R160" s="516">
        <v>144678</v>
      </c>
      <c r="S160" s="516">
        <v>66150</v>
      </c>
      <c r="T160" s="516">
        <v>451885</v>
      </c>
      <c r="U160" s="516">
        <v>0</v>
      </c>
      <c r="V160" s="516">
        <v>302118</v>
      </c>
      <c r="W160" s="516">
        <v>0</v>
      </c>
      <c r="X160" s="516">
        <v>0</v>
      </c>
      <c r="Y160" s="516">
        <v>0</v>
      </c>
      <c r="Z160" s="516">
        <v>0</v>
      </c>
      <c r="AA160" s="516">
        <v>59469</v>
      </c>
      <c r="AB160" s="516">
        <v>32265</v>
      </c>
      <c r="AC160" s="516">
        <v>0</v>
      </c>
      <c r="AD160" s="516">
        <v>0</v>
      </c>
      <c r="AE160" s="516">
        <v>5251</v>
      </c>
      <c r="AF160" s="516">
        <v>0</v>
      </c>
      <c r="AG160" s="516">
        <v>0</v>
      </c>
      <c r="AH160" s="516">
        <v>0</v>
      </c>
      <c r="AI160" s="516">
        <v>0</v>
      </c>
      <c r="AJ160" s="516">
        <v>0</v>
      </c>
      <c r="AK160" s="516">
        <v>138490</v>
      </c>
      <c r="AL160" s="516">
        <v>0</v>
      </c>
      <c r="AM160" s="516">
        <v>0</v>
      </c>
      <c r="AN160" s="516">
        <v>0</v>
      </c>
      <c r="AO160" s="516">
        <v>172715</v>
      </c>
      <c r="AP160" s="516">
        <v>0</v>
      </c>
      <c r="AQ160" s="516">
        <v>0</v>
      </c>
      <c r="AR160" s="516">
        <v>375612</v>
      </c>
      <c r="AS160" s="516">
        <v>1072</v>
      </c>
      <c r="AT160" s="516">
        <v>0</v>
      </c>
      <c r="AU160" s="516">
        <v>26641</v>
      </c>
      <c r="AV160" s="516">
        <v>92833</v>
      </c>
      <c r="AW160" s="516">
        <v>0</v>
      </c>
      <c r="AX160" s="516">
        <v>0</v>
      </c>
      <c r="AY160" s="516">
        <v>0</v>
      </c>
      <c r="AZ160" s="516">
        <v>72761</v>
      </c>
      <c r="BA160" s="516">
        <v>18020</v>
      </c>
      <c r="BB160" s="516">
        <v>0</v>
      </c>
      <c r="BC160" s="516">
        <v>0</v>
      </c>
      <c r="BD160" s="516">
        <v>0</v>
      </c>
      <c r="BE160" s="516">
        <v>0</v>
      </c>
      <c r="BF160" s="516">
        <v>0</v>
      </c>
      <c r="BG160" s="516">
        <v>2350</v>
      </c>
      <c r="BH160" s="516">
        <v>0</v>
      </c>
      <c r="BI160" s="516">
        <v>126399</v>
      </c>
      <c r="BJ160" s="516">
        <v>1600</v>
      </c>
      <c r="BK160" s="516">
        <v>0</v>
      </c>
      <c r="BL160" s="516">
        <v>222337</v>
      </c>
      <c r="BM160" s="516">
        <v>0</v>
      </c>
      <c r="BN160" s="516">
        <v>0</v>
      </c>
      <c r="BO160" s="516">
        <v>85134</v>
      </c>
      <c r="BP160" s="516">
        <v>69498</v>
      </c>
      <c r="BQ160" s="516">
        <v>0</v>
      </c>
      <c r="BR160" s="516">
        <v>72805</v>
      </c>
      <c r="BS160" s="516">
        <v>0</v>
      </c>
      <c r="BT160" s="516">
        <v>0</v>
      </c>
      <c r="BU160" s="516">
        <v>48004</v>
      </c>
      <c r="BV160" s="516">
        <v>70696</v>
      </c>
      <c r="BW160" s="516">
        <v>3747</v>
      </c>
      <c r="BX160" s="516">
        <v>213</v>
      </c>
      <c r="BY160" s="516">
        <v>0</v>
      </c>
      <c r="BZ160" s="516">
        <v>0</v>
      </c>
      <c r="CA160" s="516">
        <v>0</v>
      </c>
      <c r="CB160" s="516">
        <v>0</v>
      </c>
    </row>
    <row r="161" spans="1:80" x14ac:dyDescent="0.25">
      <c r="A161" s="860">
        <v>511</v>
      </c>
      <c r="B161" s="846">
        <v>511</v>
      </c>
      <c r="C161" s="860" t="s">
        <v>292</v>
      </c>
      <c r="D161" s="860" t="s">
        <v>545</v>
      </c>
      <c r="E161" s="516">
        <v>0</v>
      </c>
      <c r="F161" s="516">
        <v>0</v>
      </c>
      <c r="G161" s="516">
        <v>0</v>
      </c>
      <c r="H161" s="516">
        <v>0</v>
      </c>
      <c r="I161" s="516">
        <v>0</v>
      </c>
      <c r="J161" s="516">
        <v>0</v>
      </c>
      <c r="K161" s="516">
        <v>0</v>
      </c>
      <c r="L161" s="516">
        <v>0</v>
      </c>
      <c r="M161" s="516">
        <v>0</v>
      </c>
      <c r="N161" s="516">
        <v>0</v>
      </c>
      <c r="O161" s="516">
        <v>0</v>
      </c>
      <c r="P161" s="516">
        <v>0</v>
      </c>
      <c r="Q161" s="516">
        <v>0</v>
      </c>
      <c r="R161" s="516">
        <v>0</v>
      </c>
      <c r="S161" s="516">
        <v>0</v>
      </c>
      <c r="T161" s="516">
        <v>427918</v>
      </c>
      <c r="U161" s="516">
        <v>0</v>
      </c>
      <c r="V161" s="516">
        <v>1118727</v>
      </c>
      <c r="W161" s="516">
        <v>0</v>
      </c>
      <c r="X161" s="516">
        <v>0</v>
      </c>
      <c r="Y161" s="516">
        <v>0</v>
      </c>
      <c r="Z161" s="516">
        <v>0</v>
      </c>
      <c r="AA161" s="516">
        <v>320945</v>
      </c>
      <c r="AB161" s="516">
        <v>0</v>
      </c>
      <c r="AC161" s="516">
        <v>0</v>
      </c>
      <c r="AD161" s="516">
        <v>0</v>
      </c>
      <c r="AE161" s="516">
        <v>0</v>
      </c>
      <c r="AF161" s="516">
        <v>0</v>
      </c>
      <c r="AG161" s="516">
        <v>0</v>
      </c>
      <c r="AH161" s="516">
        <v>0</v>
      </c>
      <c r="AI161" s="516">
        <v>0</v>
      </c>
      <c r="AJ161" s="516">
        <v>0</v>
      </c>
      <c r="AK161" s="516">
        <v>1136836</v>
      </c>
      <c r="AL161" s="516">
        <v>0</v>
      </c>
      <c r="AM161" s="516">
        <v>0</v>
      </c>
      <c r="AN161" s="516">
        <v>0</v>
      </c>
      <c r="AO161" s="516">
        <v>0</v>
      </c>
      <c r="AP161" s="516">
        <v>0</v>
      </c>
      <c r="AQ161" s="516">
        <v>0</v>
      </c>
      <c r="AR161" s="516">
        <v>1702426</v>
      </c>
      <c r="AS161" s="516">
        <v>0</v>
      </c>
      <c r="AT161" s="516">
        <v>0</v>
      </c>
      <c r="AU161" s="516">
        <v>0</v>
      </c>
      <c r="AV161" s="516">
        <v>67294</v>
      </c>
      <c r="AW161" s="516">
        <v>0</v>
      </c>
      <c r="AX161" s="516">
        <v>0</v>
      </c>
      <c r="AY161" s="516">
        <v>0</v>
      </c>
      <c r="AZ161" s="516">
        <v>0</v>
      </c>
      <c r="BA161" s="516">
        <v>0</v>
      </c>
      <c r="BB161" s="516">
        <v>0</v>
      </c>
      <c r="BC161" s="516">
        <v>0</v>
      </c>
      <c r="BD161" s="516">
        <v>0</v>
      </c>
      <c r="BE161" s="516">
        <v>0</v>
      </c>
      <c r="BF161" s="516">
        <v>0</v>
      </c>
      <c r="BG161" s="516">
        <v>15839</v>
      </c>
      <c r="BH161" s="516">
        <v>0</v>
      </c>
      <c r="BI161" s="516">
        <v>0</v>
      </c>
      <c r="BJ161" s="516">
        <v>0</v>
      </c>
      <c r="BK161" s="516">
        <v>0</v>
      </c>
      <c r="BL161" s="516">
        <v>481802</v>
      </c>
      <c r="BM161" s="516">
        <v>0</v>
      </c>
      <c r="BN161" s="516">
        <v>0</v>
      </c>
      <c r="BO161" s="516">
        <v>0</v>
      </c>
      <c r="BP161" s="516">
        <v>0</v>
      </c>
      <c r="BQ161" s="516">
        <v>0</v>
      </c>
      <c r="BR161" s="516">
        <v>0</v>
      </c>
      <c r="BS161" s="516">
        <v>0</v>
      </c>
      <c r="BT161" s="516">
        <v>0</v>
      </c>
      <c r="BU161" s="516">
        <v>0</v>
      </c>
      <c r="BV161" s="516">
        <v>0</v>
      </c>
      <c r="BW161" s="516">
        <v>0</v>
      </c>
      <c r="BX161" s="516">
        <v>0</v>
      </c>
      <c r="BY161" s="516">
        <v>0</v>
      </c>
      <c r="BZ161" s="516">
        <v>0</v>
      </c>
      <c r="CA161" s="516">
        <v>0</v>
      </c>
      <c r="CB161" s="516">
        <v>0</v>
      </c>
    </row>
    <row r="162" spans="1:80" x14ac:dyDescent="0.25">
      <c r="A162" s="860">
        <v>512</v>
      </c>
      <c r="B162" s="846">
        <v>512</v>
      </c>
      <c r="C162" s="860" t="s">
        <v>319</v>
      </c>
      <c r="D162" s="860" t="s">
        <v>546</v>
      </c>
      <c r="E162" s="516">
        <v>0</v>
      </c>
      <c r="F162" s="516">
        <v>0</v>
      </c>
      <c r="G162" s="516">
        <v>0</v>
      </c>
      <c r="H162" s="516">
        <v>0</v>
      </c>
      <c r="I162" s="516">
        <v>0</v>
      </c>
      <c r="J162" s="516">
        <v>0</v>
      </c>
      <c r="K162" s="516">
        <v>0</v>
      </c>
      <c r="L162" s="516">
        <v>0</v>
      </c>
      <c r="M162" s="516">
        <v>0</v>
      </c>
      <c r="N162" s="516">
        <v>0</v>
      </c>
      <c r="O162" s="516">
        <v>0</v>
      </c>
      <c r="P162" s="516">
        <v>0</v>
      </c>
      <c r="Q162" s="516">
        <v>0</v>
      </c>
      <c r="R162" s="516">
        <v>267168</v>
      </c>
      <c r="S162" s="516">
        <v>0</v>
      </c>
      <c r="T162" s="516">
        <v>240262</v>
      </c>
      <c r="U162" s="516">
        <v>0</v>
      </c>
      <c r="V162" s="516">
        <v>0</v>
      </c>
      <c r="W162" s="516">
        <v>0</v>
      </c>
      <c r="X162" s="516">
        <v>93091</v>
      </c>
      <c r="Y162" s="516">
        <v>0</v>
      </c>
      <c r="Z162" s="516">
        <v>0</v>
      </c>
      <c r="AA162" s="516">
        <v>0</v>
      </c>
      <c r="AB162" s="516">
        <v>23210</v>
      </c>
      <c r="AC162" s="516">
        <v>0</v>
      </c>
      <c r="AD162" s="516">
        <v>0</v>
      </c>
      <c r="AE162" s="516">
        <v>0</v>
      </c>
      <c r="AF162" s="516">
        <v>0</v>
      </c>
      <c r="AG162" s="516">
        <v>0</v>
      </c>
      <c r="AH162" s="516">
        <v>0</v>
      </c>
      <c r="AI162" s="516">
        <v>0</v>
      </c>
      <c r="AJ162" s="516">
        <v>0</v>
      </c>
      <c r="AK162" s="516">
        <v>106431</v>
      </c>
      <c r="AL162" s="516">
        <v>0</v>
      </c>
      <c r="AM162" s="516">
        <v>0</v>
      </c>
      <c r="AN162" s="516">
        <v>0</v>
      </c>
      <c r="AO162" s="516">
        <v>1941</v>
      </c>
      <c r="AP162" s="516">
        <v>0</v>
      </c>
      <c r="AQ162" s="516">
        <v>0</v>
      </c>
      <c r="AR162" s="516">
        <v>0</v>
      </c>
      <c r="AS162" s="516">
        <v>0</v>
      </c>
      <c r="AT162" s="516">
        <v>37180</v>
      </c>
      <c r="AU162" s="516">
        <v>0</v>
      </c>
      <c r="AV162" s="516">
        <v>0</v>
      </c>
      <c r="AW162" s="516">
        <v>0</v>
      </c>
      <c r="AX162" s="516">
        <v>0</v>
      </c>
      <c r="AY162" s="516">
        <v>0</v>
      </c>
      <c r="AZ162" s="516">
        <v>0</v>
      </c>
      <c r="BA162" s="516">
        <v>1404</v>
      </c>
      <c r="BB162" s="516">
        <v>0</v>
      </c>
      <c r="BC162" s="516">
        <v>0</v>
      </c>
      <c r="BD162" s="516">
        <v>0</v>
      </c>
      <c r="BE162" s="516">
        <v>0</v>
      </c>
      <c r="BF162" s="516">
        <v>0</v>
      </c>
      <c r="BG162" s="516">
        <v>0</v>
      </c>
      <c r="BH162" s="516">
        <v>0</v>
      </c>
      <c r="BI162" s="516">
        <v>111261</v>
      </c>
      <c r="BJ162" s="516">
        <v>0</v>
      </c>
      <c r="BK162" s="516">
        <v>0</v>
      </c>
      <c r="BL162" s="516">
        <v>0</v>
      </c>
      <c r="BM162" s="516">
        <v>0</v>
      </c>
      <c r="BN162" s="516">
        <v>0</v>
      </c>
      <c r="BO162" s="516">
        <v>0</v>
      </c>
      <c r="BP162" s="516">
        <v>0</v>
      </c>
      <c r="BQ162" s="516">
        <v>0</v>
      </c>
      <c r="BR162" s="516">
        <v>0</v>
      </c>
      <c r="BS162" s="516">
        <v>0</v>
      </c>
      <c r="BT162" s="516">
        <v>0</v>
      </c>
      <c r="BU162" s="516">
        <v>0</v>
      </c>
      <c r="BV162" s="516">
        <v>0</v>
      </c>
      <c r="BW162" s="516">
        <v>3735</v>
      </c>
      <c r="BX162" s="516">
        <v>0</v>
      </c>
      <c r="BY162" s="516">
        <v>0</v>
      </c>
      <c r="BZ162" s="516">
        <v>0</v>
      </c>
      <c r="CA162" s="516">
        <v>0</v>
      </c>
      <c r="CB162" s="516">
        <v>0</v>
      </c>
    </row>
    <row r="163" spans="1:80" x14ac:dyDescent="0.25">
      <c r="A163" s="860">
        <v>513</v>
      </c>
      <c r="B163" s="846">
        <v>513</v>
      </c>
      <c r="C163" s="860" t="s">
        <v>330</v>
      </c>
      <c r="D163" s="860" t="s">
        <v>547</v>
      </c>
      <c r="E163" s="516">
        <v>0</v>
      </c>
      <c r="F163" s="516">
        <v>0</v>
      </c>
      <c r="G163" s="516">
        <v>0</v>
      </c>
      <c r="H163" s="516">
        <v>0</v>
      </c>
      <c r="I163" s="516">
        <v>0</v>
      </c>
      <c r="J163" s="516">
        <v>0</v>
      </c>
      <c r="K163" s="516">
        <v>0</v>
      </c>
      <c r="L163" s="516">
        <v>0</v>
      </c>
      <c r="M163" s="516">
        <v>0</v>
      </c>
      <c r="N163" s="516">
        <v>0</v>
      </c>
      <c r="O163" s="516">
        <v>0</v>
      </c>
      <c r="P163" s="516">
        <v>0</v>
      </c>
      <c r="Q163" s="516">
        <v>0</v>
      </c>
      <c r="R163" s="516">
        <v>0</v>
      </c>
      <c r="S163" s="516">
        <v>0</v>
      </c>
      <c r="T163" s="516">
        <v>0</v>
      </c>
      <c r="U163" s="516">
        <v>0</v>
      </c>
      <c r="V163" s="516">
        <v>0</v>
      </c>
      <c r="W163" s="516">
        <v>0</v>
      </c>
      <c r="X163" s="516">
        <v>0</v>
      </c>
      <c r="Y163" s="516">
        <v>0</v>
      </c>
      <c r="Z163" s="516">
        <v>0</v>
      </c>
      <c r="AA163" s="516">
        <v>0</v>
      </c>
      <c r="AB163" s="516">
        <v>0</v>
      </c>
      <c r="AC163" s="516">
        <v>0</v>
      </c>
      <c r="AD163" s="516">
        <v>0</v>
      </c>
      <c r="AE163" s="516">
        <v>0</v>
      </c>
      <c r="AF163" s="516">
        <v>0</v>
      </c>
      <c r="AG163" s="516">
        <v>0</v>
      </c>
      <c r="AH163" s="516">
        <v>0</v>
      </c>
      <c r="AI163" s="516">
        <v>0</v>
      </c>
      <c r="AJ163" s="516">
        <v>0</v>
      </c>
      <c r="AK163" s="516">
        <v>0</v>
      </c>
      <c r="AL163" s="516">
        <v>0</v>
      </c>
      <c r="AM163" s="516">
        <v>0</v>
      </c>
      <c r="AN163" s="516">
        <v>0</v>
      </c>
      <c r="AO163" s="516">
        <v>0</v>
      </c>
      <c r="AP163" s="516">
        <v>0</v>
      </c>
      <c r="AQ163" s="516">
        <v>0</v>
      </c>
      <c r="AR163" s="516">
        <v>0</v>
      </c>
      <c r="AS163" s="516">
        <v>0</v>
      </c>
      <c r="AT163" s="516">
        <v>0</v>
      </c>
      <c r="AU163" s="516">
        <v>0</v>
      </c>
      <c r="AV163" s="516">
        <v>0</v>
      </c>
      <c r="AW163" s="516">
        <v>0</v>
      </c>
      <c r="AX163" s="516">
        <v>0</v>
      </c>
      <c r="AY163" s="516">
        <v>0</v>
      </c>
      <c r="AZ163" s="516">
        <v>0</v>
      </c>
      <c r="BA163" s="516">
        <v>0</v>
      </c>
      <c r="BB163" s="516">
        <v>0</v>
      </c>
      <c r="BC163" s="516">
        <v>0</v>
      </c>
      <c r="BD163" s="516">
        <v>0</v>
      </c>
      <c r="BE163" s="516">
        <v>0</v>
      </c>
      <c r="BF163" s="516">
        <v>0</v>
      </c>
      <c r="BG163" s="516">
        <v>0</v>
      </c>
      <c r="BH163" s="516">
        <v>0</v>
      </c>
      <c r="BI163" s="516">
        <v>0</v>
      </c>
      <c r="BJ163" s="516">
        <v>0</v>
      </c>
      <c r="BK163" s="516">
        <v>0</v>
      </c>
      <c r="BL163" s="516">
        <v>0</v>
      </c>
      <c r="BM163" s="516">
        <v>0</v>
      </c>
      <c r="BN163" s="516">
        <v>0</v>
      </c>
      <c r="BO163" s="516">
        <v>0</v>
      </c>
      <c r="BP163" s="516">
        <v>0</v>
      </c>
      <c r="BQ163" s="516">
        <v>0</v>
      </c>
      <c r="BR163" s="516">
        <v>0</v>
      </c>
      <c r="BS163" s="516">
        <v>0</v>
      </c>
      <c r="BT163" s="516">
        <v>0</v>
      </c>
      <c r="BU163" s="516">
        <v>0</v>
      </c>
      <c r="BV163" s="516">
        <v>0</v>
      </c>
      <c r="BW163" s="516">
        <v>0</v>
      </c>
      <c r="BX163" s="516">
        <v>0</v>
      </c>
      <c r="BY163" s="516">
        <v>0</v>
      </c>
      <c r="BZ163" s="516">
        <v>0</v>
      </c>
      <c r="CA163" s="516">
        <v>0</v>
      </c>
      <c r="CB163" s="516">
        <v>0</v>
      </c>
    </row>
    <row r="164" spans="1:80" x14ac:dyDescent="0.25">
      <c r="A164" s="860">
        <v>514</v>
      </c>
      <c r="B164" s="846">
        <v>514</v>
      </c>
      <c r="C164" s="860" t="s">
        <v>331</v>
      </c>
      <c r="D164" s="860" t="s">
        <v>548</v>
      </c>
      <c r="E164" s="516">
        <v>0</v>
      </c>
      <c r="F164" s="516">
        <v>0</v>
      </c>
      <c r="G164" s="516">
        <v>0</v>
      </c>
      <c r="H164" s="516">
        <v>0</v>
      </c>
      <c r="I164" s="516">
        <v>0</v>
      </c>
      <c r="J164" s="516">
        <v>0</v>
      </c>
      <c r="K164" s="516">
        <v>0</v>
      </c>
      <c r="L164" s="516">
        <v>0</v>
      </c>
      <c r="M164" s="516">
        <v>0</v>
      </c>
      <c r="N164" s="516">
        <v>0</v>
      </c>
      <c r="O164" s="516">
        <v>0</v>
      </c>
      <c r="P164" s="516">
        <v>0</v>
      </c>
      <c r="Q164" s="516">
        <v>0</v>
      </c>
      <c r="R164" s="516">
        <v>0</v>
      </c>
      <c r="S164" s="516">
        <v>0</v>
      </c>
      <c r="T164" s="516">
        <v>2279757</v>
      </c>
      <c r="U164" s="516">
        <v>0</v>
      </c>
      <c r="V164" s="516">
        <v>0</v>
      </c>
      <c r="W164" s="516">
        <v>0</v>
      </c>
      <c r="X164" s="516">
        <v>0</v>
      </c>
      <c r="Y164" s="516">
        <v>0</v>
      </c>
      <c r="Z164" s="516">
        <v>0</v>
      </c>
      <c r="AA164" s="516">
        <v>100000</v>
      </c>
      <c r="AB164" s="516">
        <v>0</v>
      </c>
      <c r="AC164" s="516">
        <v>0</v>
      </c>
      <c r="AD164" s="516">
        <v>0</v>
      </c>
      <c r="AE164" s="516">
        <v>0</v>
      </c>
      <c r="AF164" s="516">
        <v>0</v>
      </c>
      <c r="AG164" s="516">
        <v>0</v>
      </c>
      <c r="AH164" s="516">
        <v>0</v>
      </c>
      <c r="AI164" s="516">
        <v>0</v>
      </c>
      <c r="AJ164" s="516">
        <v>0</v>
      </c>
      <c r="AK164" s="516">
        <v>63332</v>
      </c>
      <c r="AL164" s="516">
        <v>0</v>
      </c>
      <c r="AM164" s="516">
        <v>0</v>
      </c>
      <c r="AN164" s="516">
        <v>0</v>
      </c>
      <c r="AO164" s="516">
        <v>0</v>
      </c>
      <c r="AP164" s="516">
        <v>0</v>
      </c>
      <c r="AQ164" s="516">
        <v>0</v>
      </c>
      <c r="AR164" s="516">
        <v>1426993</v>
      </c>
      <c r="AS164" s="516">
        <v>0</v>
      </c>
      <c r="AT164" s="516">
        <v>0</v>
      </c>
      <c r="AU164" s="516">
        <v>0</v>
      </c>
      <c r="AV164" s="516">
        <v>25975</v>
      </c>
      <c r="AW164" s="516">
        <v>0</v>
      </c>
      <c r="AX164" s="516">
        <v>0</v>
      </c>
      <c r="AY164" s="516">
        <v>0</v>
      </c>
      <c r="AZ164" s="516">
        <v>0</v>
      </c>
      <c r="BA164" s="516">
        <v>367305</v>
      </c>
      <c r="BB164" s="516">
        <v>0</v>
      </c>
      <c r="BC164" s="516">
        <v>0</v>
      </c>
      <c r="BD164" s="516">
        <v>0</v>
      </c>
      <c r="BE164" s="516">
        <v>0</v>
      </c>
      <c r="BF164" s="516">
        <v>0</v>
      </c>
      <c r="BG164" s="516">
        <v>0</v>
      </c>
      <c r="BH164" s="516">
        <v>0</v>
      </c>
      <c r="BI164" s="516">
        <v>0</v>
      </c>
      <c r="BJ164" s="516">
        <v>0</v>
      </c>
      <c r="BK164" s="516">
        <v>0</v>
      </c>
      <c r="BL164" s="516">
        <v>0</v>
      </c>
      <c r="BM164" s="516">
        <v>0</v>
      </c>
      <c r="BN164" s="516">
        <v>0</v>
      </c>
      <c r="BO164" s="516">
        <v>0</v>
      </c>
      <c r="BP164" s="516">
        <v>0</v>
      </c>
      <c r="BQ164" s="516">
        <v>0</v>
      </c>
      <c r="BR164" s="516">
        <v>0</v>
      </c>
      <c r="BS164" s="516">
        <v>0</v>
      </c>
      <c r="BT164" s="516">
        <v>0</v>
      </c>
      <c r="BU164" s="516">
        <v>0</v>
      </c>
      <c r="BV164" s="516">
        <v>0</v>
      </c>
      <c r="BW164" s="516">
        <v>0</v>
      </c>
      <c r="BX164" s="516">
        <v>0</v>
      </c>
      <c r="BY164" s="516">
        <v>0</v>
      </c>
      <c r="BZ164" s="516">
        <v>0</v>
      </c>
      <c r="CA164" s="516">
        <v>0</v>
      </c>
      <c r="CB164" s="516">
        <v>0</v>
      </c>
    </row>
    <row r="165" spans="1:80" x14ac:dyDescent="0.25">
      <c r="A165" s="860">
        <v>515</v>
      </c>
      <c r="B165" s="846">
        <v>515</v>
      </c>
      <c r="C165" s="860" t="s">
        <v>344</v>
      </c>
      <c r="D165" s="860" t="s">
        <v>549</v>
      </c>
      <c r="E165" s="516">
        <v>0</v>
      </c>
      <c r="F165" s="516">
        <v>0</v>
      </c>
      <c r="G165" s="516">
        <v>0</v>
      </c>
      <c r="H165" s="516">
        <v>114728721</v>
      </c>
      <c r="I165" s="516">
        <v>1379770</v>
      </c>
      <c r="J165" s="516">
        <v>0</v>
      </c>
      <c r="K165" s="516">
        <v>0</v>
      </c>
      <c r="L165" s="516">
        <v>0</v>
      </c>
      <c r="M165" s="516">
        <v>22895344</v>
      </c>
      <c r="N165" s="516">
        <v>0</v>
      </c>
      <c r="O165" s="516">
        <v>0</v>
      </c>
      <c r="P165" s="516">
        <v>87396</v>
      </c>
      <c r="Q165" s="516">
        <v>0</v>
      </c>
      <c r="R165" s="516">
        <v>412781</v>
      </c>
      <c r="S165" s="516">
        <v>494360</v>
      </c>
      <c r="T165" s="516">
        <v>14535483</v>
      </c>
      <c r="U165" s="516">
        <v>0</v>
      </c>
      <c r="V165" s="516">
        <v>41906579</v>
      </c>
      <c r="W165" s="516">
        <v>0</v>
      </c>
      <c r="X165" s="516">
        <v>0</v>
      </c>
      <c r="Y165" s="516">
        <v>0</v>
      </c>
      <c r="Z165" s="516">
        <v>793162</v>
      </c>
      <c r="AA165" s="516">
        <v>0</v>
      </c>
      <c r="AB165" s="516">
        <v>0</v>
      </c>
      <c r="AC165" s="516">
        <v>0</v>
      </c>
      <c r="AD165" s="516">
        <v>0</v>
      </c>
      <c r="AE165" s="516">
        <v>0</v>
      </c>
      <c r="AF165" s="516">
        <v>219072</v>
      </c>
      <c r="AG165" s="516">
        <v>0</v>
      </c>
      <c r="AH165" s="516">
        <v>0</v>
      </c>
      <c r="AI165" s="516">
        <v>0</v>
      </c>
      <c r="AJ165" s="516">
        <v>0</v>
      </c>
      <c r="AK165" s="516">
        <v>0</v>
      </c>
      <c r="AL165" s="516">
        <v>73000</v>
      </c>
      <c r="AM165" s="516">
        <v>0</v>
      </c>
      <c r="AN165" s="516">
        <v>0</v>
      </c>
      <c r="AO165" s="516">
        <v>0</v>
      </c>
      <c r="AP165" s="516">
        <v>0</v>
      </c>
      <c r="AQ165" s="516">
        <v>0</v>
      </c>
      <c r="AR165" s="516">
        <v>851923</v>
      </c>
      <c r="AS165" s="516">
        <v>438864</v>
      </c>
      <c r="AT165" s="516">
        <v>33338</v>
      </c>
      <c r="AU165" s="516">
        <v>267595</v>
      </c>
      <c r="AV165" s="516">
        <v>14215117</v>
      </c>
      <c r="AW165" s="516">
        <v>108060</v>
      </c>
      <c r="AX165" s="516">
        <v>48825</v>
      </c>
      <c r="AY165" s="516">
        <v>0</v>
      </c>
      <c r="AZ165" s="516">
        <v>0</v>
      </c>
      <c r="BA165" s="516">
        <v>834343</v>
      </c>
      <c r="BB165" s="516">
        <v>0</v>
      </c>
      <c r="BC165" s="516">
        <v>0</v>
      </c>
      <c r="BD165" s="516">
        <v>0</v>
      </c>
      <c r="BE165" s="516">
        <v>0</v>
      </c>
      <c r="BF165" s="516">
        <v>0</v>
      </c>
      <c r="BG165" s="516">
        <v>0</v>
      </c>
      <c r="BH165" s="516">
        <v>0</v>
      </c>
      <c r="BI165" s="516">
        <v>0</v>
      </c>
      <c r="BJ165" s="516">
        <v>0</v>
      </c>
      <c r="BK165" s="516">
        <v>0</v>
      </c>
      <c r="BL165" s="516">
        <v>81672</v>
      </c>
      <c r="BM165" s="516">
        <v>0</v>
      </c>
      <c r="BN165" s="516">
        <v>0</v>
      </c>
      <c r="BO165" s="516">
        <v>7521010</v>
      </c>
      <c r="BP165" s="516">
        <v>671860</v>
      </c>
      <c r="BQ165" s="516">
        <v>0</v>
      </c>
      <c r="BR165" s="516">
        <v>364151</v>
      </c>
      <c r="BS165" s="516">
        <v>0</v>
      </c>
      <c r="BT165" s="516">
        <v>0</v>
      </c>
      <c r="BU165" s="516">
        <v>2483050</v>
      </c>
      <c r="BV165" s="516">
        <v>0</v>
      </c>
      <c r="BW165" s="516">
        <v>0</v>
      </c>
      <c r="BX165" s="516">
        <v>0</v>
      </c>
      <c r="BY165" s="516">
        <v>0</v>
      </c>
      <c r="BZ165" s="516">
        <v>0</v>
      </c>
      <c r="CA165" s="516">
        <v>9124317</v>
      </c>
      <c r="CB165" s="516">
        <v>0</v>
      </c>
    </row>
    <row r="166" spans="1:80" x14ac:dyDescent="0.25">
      <c r="A166" s="860">
        <v>516</v>
      </c>
      <c r="B166" s="846">
        <v>516</v>
      </c>
      <c r="C166" s="860" t="s">
        <v>345</v>
      </c>
      <c r="D166" s="860" t="s">
        <v>550</v>
      </c>
      <c r="E166" s="516">
        <v>0</v>
      </c>
      <c r="F166" s="516">
        <v>0</v>
      </c>
      <c r="G166" s="516">
        <v>0</v>
      </c>
      <c r="H166" s="516">
        <v>132950023</v>
      </c>
      <c r="I166" s="516">
        <v>13323406</v>
      </c>
      <c r="J166" s="516">
        <v>1900586</v>
      </c>
      <c r="K166" s="516">
        <v>10450708</v>
      </c>
      <c r="L166" s="516">
        <v>8176331</v>
      </c>
      <c r="M166" s="516">
        <v>101112706</v>
      </c>
      <c r="N166" s="516">
        <v>0</v>
      </c>
      <c r="O166" s="516">
        <v>5152711</v>
      </c>
      <c r="P166" s="516">
        <v>6483359</v>
      </c>
      <c r="Q166" s="516">
        <v>0</v>
      </c>
      <c r="R166" s="516">
        <v>19796438</v>
      </c>
      <c r="S166" s="516">
        <v>39439433</v>
      </c>
      <c r="T166" s="516">
        <v>29982695</v>
      </c>
      <c r="U166" s="516">
        <v>0</v>
      </c>
      <c r="V166" s="516">
        <v>68569459</v>
      </c>
      <c r="W166" s="516">
        <v>0</v>
      </c>
      <c r="X166" s="516">
        <v>0</v>
      </c>
      <c r="Y166" s="516">
        <v>0</v>
      </c>
      <c r="Z166" s="516">
        <v>9583134</v>
      </c>
      <c r="AA166" s="516">
        <v>14873440</v>
      </c>
      <c r="AB166" s="516">
        <v>10332893</v>
      </c>
      <c r="AC166" s="516">
        <v>0</v>
      </c>
      <c r="AD166" s="516">
        <v>766283</v>
      </c>
      <c r="AE166" s="516">
        <v>14222748</v>
      </c>
      <c r="AF166" s="516">
        <v>18715050</v>
      </c>
      <c r="AG166" s="516">
        <v>1286321</v>
      </c>
      <c r="AH166" s="516">
        <v>0</v>
      </c>
      <c r="AI166" s="516">
        <v>0</v>
      </c>
      <c r="AJ166" s="516">
        <v>2977200</v>
      </c>
      <c r="AK166" s="516">
        <v>60605341</v>
      </c>
      <c r="AL166" s="516">
        <v>2131288</v>
      </c>
      <c r="AM166" s="516">
        <v>0</v>
      </c>
      <c r="AN166" s="516">
        <v>47514897</v>
      </c>
      <c r="AO166" s="516">
        <v>74601759</v>
      </c>
      <c r="AP166" s="516">
        <v>1386889</v>
      </c>
      <c r="AQ166" s="516">
        <v>0</v>
      </c>
      <c r="AR166" s="516">
        <v>72442717</v>
      </c>
      <c r="AS166" s="516">
        <v>9650211</v>
      </c>
      <c r="AT166" s="516">
        <v>5958333</v>
      </c>
      <c r="AU166" s="516">
        <v>6604509</v>
      </c>
      <c r="AV166" s="516">
        <v>46934926</v>
      </c>
      <c r="AW166" s="516">
        <v>1742830</v>
      </c>
      <c r="AX166" s="516">
        <v>7227037</v>
      </c>
      <c r="AY166" s="516">
        <v>13628125</v>
      </c>
      <c r="AZ166" s="516">
        <v>17610665</v>
      </c>
      <c r="BA166" s="516">
        <v>23710577</v>
      </c>
      <c r="BB166" s="516">
        <v>0</v>
      </c>
      <c r="BC166" s="516">
        <v>0</v>
      </c>
      <c r="BD166" s="516">
        <v>0</v>
      </c>
      <c r="BE166" s="516">
        <v>0</v>
      </c>
      <c r="BF166" s="516">
        <v>0</v>
      </c>
      <c r="BG166" s="516">
        <v>5041807</v>
      </c>
      <c r="BH166" s="516">
        <v>0</v>
      </c>
      <c r="BI166" s="516">
        <v>11626811</v>
      </c>
      <c r="BJ166" s="516">
        <v>8263598</v>
      </c>
      <c r="BK166" s="516">
        <v>0</v>
      </c>
      <c r="BL166" s="516">
        <v>16829587</v>
      </c>
      <c r="BM166" s="516">
        <v>10827909</v>
      </c>
      <c r="BN166" s="516">
        <v>0</v>
      </c>
      <c r="BO166" s="516">
        <v>24243427</v>
      </c>
      <c r="BP166" s="516">
        <v>14181946</v>
      </c>
      <c r="BQ166" s="516">
        <v>15097778</v>
      </c>
      <c r="BR166" s="516">
        <v>5549916</v>
      </c>
      <c r="BS166" s="516">
        <v>0</v>
      </c>
      <c r="BT166" s="516">
        <v>0</v>
      </c>
      <c r="BU166" s="516">
        <v>4880718</v>
      </c>
      <c r="BV166" s="516">
        <v>23471066</v>
      </c>
      <c r="BW166" s="516">
        <v>5905822</v>
      </c>
      <c r="BX166" s="516">
        <v>1691705</v>
      </c>
      <c r="BY166" s="516">
        <v>0</v>
      </c>
      <c r="BZ166" s="516">
        <v>0</v>
      </c>
      <c r="CA166" s="516">
        <v>54915706</v>
      </c>
      <c r="CB166" s="516">
        <v>0</v>
      </c>
    </row>
    <row r="167" spans="1:80" x14ac:dyDescent="0.25">
      <c r="A167" s="860">
        <v>517</v>
      </c>
      <c r="B167" s="846">
        <v>517</v>
      </c>
      <c r="C167" s="860" t="s">
        <v>346</v>
      </c>
      <c r="D167" s="860" t="s">
        <v>551</v>
      </c>
      <c r="E167" s="516">
        <v>0</v>
      </c>
      <c r="F167" s="516">
        <v>0</v>
      </c>
      <c r="G167" s="516">
        <v>0</v>
      </c>
      <c r="H167" s="516">
        <v>0</v>
      </c>
      <c r="I167" s="516">
        <v>0</v>
      </c>
      <c r="J167" s="516">
        <v>0</v>
      </c>
      <c r="K167" s="516">
        <v>0</v>
      </c>
      <c r="L167" s="516">
        <v>0</v>
      </c>
      <c r="M167" s="516">
        <v>0</v>
      </c>
      <c r="N167" s="516">
        <v>0</v>
      </c>
      <c r="O167" s="516">
        <v>0</v>
      </c>
      <c r="P167" s="516">
        <v>0</v>
      </c>
      <c r="Q167" s="516">
        <v>0</v>
      </c>
      <c r="R167" s="516">
        <v>0</v>
      </c>
      <c r="S167" s="516">
        <v>0</v>
      </c>
      <c r="T167" s="516">
        <v>0</v>
      </c>
      <c r="U167" s="516">
        <v>0</v>
      </c>
      <c r="V167" s="516">
        <v>438889</v>
      </c>
      <c r="W167" s="516">
        <v>0</v>
      </c>
      <c r="X167" s="516">
        <v>0</v>
      </c>
      <c r="Y167" s="516">
        <v>0</v>
      </c>
      <c r="Z167" s="516">
        <v>0</v>
      </c>
      <c r="AA167" s="516">
        <v>0</v>
      </c>
      <c r="AB167" s="516">
        <v>0</v>
      </c>
      <c r="AC167" s="516">
        <v>0</v>
      </c>
      <c r="AD167" s="516">
        <v>0</v>
      </c>
      <c r="AE167" s="516">
        <v>0</v>
      </c>
      <c r="AF167" s="516">
        <v>0</v>
      </c>
      <c r="AG167" s="516">
        <v>0</v>
      </c>
      <c r="AH167" s="516">
        <v>0</v>
      </c>
      <c r="AI167" s="516">
        <v>0</v>
      </c>
      <c r="AJ167" s="516">
        <v>0</v>
      </c>
      <c r="AK167" s="516">
        <v>0</v>
      </c>
      <c r="AL167" s="516">
        <v>0</v>
      </c>
      <c r="AM167" s="516">
        <v>0</v>
      </c>
      <c r="AN167" s="516">
        <v>0</v>
      </c>
      <c r="AO167" s="516">
        <v>0</v>
      </c>
      <c r="AP167" s="516">
        <v>0</v>
      </c>
      <c r="AQ167" s="516">
        <v>0</v>
      </c>
      <c r="AR167" s="516">
        <v>0</v>
      </c>
      <c r="AS167" s="516">
        <v>56277</v>
      </c>
      <c r="AT167" s="516">
        <v>0</v>
      </c>
      <c r="AU167" s="516">
        <v>0</v>
      </c>
      <c r="AV167" s="516">
        <v>0</v>
      </c>
      <c r="AW167" s="516">
        <v>0</v>
      </c>
      <c r="AX167" s="516">
        <v>0</v>
      </c>
      <c r="AY167" s="516">
        <v>0</v>
      </c>
      <c r="AZ167" s="516">
        <v>0</v>
      </c>
      <c r="BA167" s="516">
        <v>0</v>
      </c>
      <c r="BB167" s="516">
        <v>0</v>
      </c>
      <c r="BC167" s="516">
        <v>0</v>
      </c>
      <c r="BD167" s="516">
        <v>0</v>
      </c>
      <c r="BE167" s="516">
        <v>0</v>
      </c>
      <c r="BF167" s="516">
        <v>0</v>
      </c>
      <c r="BG167" s="516">
        <v>0</v>
      </c>
      <c r="BH167" s="516">
        <v>0</v>
      </c>
      <c r="BI167" s="516">
        <v>0</v>
      </c>
      <c r="BJ167" s="516">
        <v>0</v>
      </c>
      <c r="BK167" s="516">
        <v>0</v>
      </c>
      <c r="BL167" s="516">
        <v>0</v>
      </c>
      <c r="BM167" s="516">
        <v>0</v>
      </c>
      <c r="BN167" s="516">
        <v>0</v>
      </c>
      <c r="BO167" s="516">
        <v>0</v>
      </c>
      <c r="BP167" s="516">
        <v>0</v>
      </c>
      <c r="BQ167" s="516">
        <v>0</v>
      </c>
      <c r="BR167" s="516">
        <v>0</v>
      </c>
      <c r="BS167" s="516">
        <v>0</v>
      </c>
      <c r="BT167" s="516">
        <v>0</v>
      </c>
      <c r="BU167" s="516">
        <v>0</v>
      </c>
      <c r="BV167" s="516">
        <v>0</v>
      </c>
      <c r="BW167" s="516">
        <v>0</v>
      </c>
      <c r="BX167" s="516">
        <v>0</v>
      </c>
      <c r="BY167" s="516">
        <v>0</v>
      </c>
      <c r="BZ167" s="516">
        <v>0</v>
      </c>
      <c r="CA167" s="516">
        <v>0</v>
      </c>
      <c r="CB167" s="516">
        <v>0</v>
      </c>
    </row>
    <row r="168" spans="1:80" x14ac:dyDescent="0.25">
      <c r="A168" s="860">
        <v>518</v>
      </c>
      <c r="B168" s="846">
        <v>518</v>
      </c>
      <c r="C168" s="860" t="s">
        <v>347</v>
      </c>
      <c r="D168" s="860" t="s">
        <v>552</v>
      </c>
      <c r="E168" s="516">
        <v>0</v>
      </c>
      <c r="F168" s="516">
        <v>0</v>
      </c>
      <c r="G168" s="516">
        <v>0</v>
      </c>
      <c r="H168" s="516">
        <v>9794905</v>
      </c>
      <c r="I168" s="516">
        <v>9791269</v>
      </c>
      <c r="J168" s="516">
        <v>68554</v>
      </c>
      <c r="K168" s="516">
        <v>333979</v>
      </c>
      <c r="L168" s="516">
        <v>0</v>
      </c>
      <c r="M168" s="516">
        <v>4039412</v>
      </c>
      <c r="N168" s="516">
        <v>0</v>
      </c>
      <c r="O168" s="516">
        <v>491818</v>
      </c>
      <c r="P168" s="516">
        <v>2037673</v>
      </c>
      <c r="Q168" s="516">
        <v>0</v>
      </c>
      <c r="R168" s="516">
        <v>3010414</v>
      </c>
      <c r="S168" s="516">
        <v>1947501</v>
      </c>
      <c r="T168" s="516">
        <v>63460970</v>
      </c>
      <c r="U168" s="516">
        <v>0</v>
      </c>
      <c r="V168" s="516">
        <v>5612028</v>
      </c>
      <c r="W168" s="516">
        <v>0</v>
      </c>
      <c r="X168" s="516">
        <v>0</v>
      </c>
      <c r="Y168" s="516">
        <v>0</v>
      </c>
      <c r="Z168" s="516">
        <v>812360</v>
      </c>
      <c r="AA168" s="516">
        <v>1211139</v>
      </c>
      <c r="AB168" s="516">
        <v>476807</v>
      </c>
      <c r="AC168" s="516">
        <v>0</v>
      </c>
      <c r="AD168" s="516">
        <v>60561</v>
      </c>
      <c r="AE168" s="516">
        <v>448996</v>
      </c>
      <c r="AF168" s="516">
        <v>1602753</v>
      </c>
      <c r="AG168" s="516">
        <v>11089</v>
      </c>
      <c r="AH168" s="516">
        <v>0</v>
      </c>
      <c r="AI168" s="516">
        <v>0</v>
      </c>
      <c r="AJ168" s="516">
        <v>170532</v>
      </c>
      <c r="AK168" s="516">
        <v>4674474</v>
      </c>
      <c r="AL168" s="516">
        <v>127645</v>
      </c>
      <c r="AM168" s="516">
        <v>0</v>
      </c>
      <c r="AN168" s="516">
        <v>3846810</v>
      </c>
      <c r="AO168" s="516">
        <v>7780104</v>
      </c>
      <c r="AP168" s="516">
        <v>70575</v>
      </c>
      <c r="AQ168" s="516">
        <v>0</v>
      </c>
      <c r="AR168" s="516">
        <v>2270374</v>
      </c>
      <c r="AS168" s="516">
        <v>687483</v>
      </c>
      <c r="AT168" s="516">
        <v>82313</v>
      </c>
      <c r="AU168" s="516">
        <v>820030</v>
      </c>
      <c r="AV168" s="516">
        <v>8840326</v>
      </c>
      <c r="AW168" s="516">
        <v>20574</v>
      </c>
      <c r="AX168" s="516">
        <v>819424</v>
      </c>
      <c r="AY168" s="516">
        <v>173614</v>
      </c>
      <c r="AZ168" s="516">
        <v>506942</v>
      </c>
      <c r="BA168" s="516">
        <v>3761827</v>
      </c>
      <c r="BB168" s="516">
        <v>0</v>
      </c>
      <c r="BC168" s="516">
        <v>0</v>
      </c>
      <c r="BD168" s="516">
        <v>0</v>
      </c>
      <c r="BE168" s="516">
        <v>0</v>
      </c>
      <c r="BF168" s="516">
        <v>0</v>
      </c>
      <c r="BG168" s="516">
        <v>203904</v>
      </c>
      <c r="BH168" s="516">
        <v>0</v>
      </c>
      <c r="BI168" s="516">
        <v>1045706</v>
      </c>
      <c r="BJ168" s="516">
        <v>421654</v>
      </c>
      <c r="BK168" s="516">
        <v>0</v>
      </c>
      <c r="BL168" s="516">
        <v>1859044</v>
      </c>
      <c r="BM168" s="516">
        <v>541422</v>
      </c>
      <c r="BN168" s="516">
        <v>0</v>
      </c>
      <c r="BO168" s="516">
        <v>4327019</v>
      </c>
      <c r="BP168" s="516">
        <v>485239</v>
      </c>
      <c r="BQ168" s="516">
        <v>169335</v>
      </c>
      <c r="BR168" s="516">
        <v>765780</v>
      </c>
      <c r="BS168" s="516">
        <v>0</v>
      </c>
      <c r="BT168" s="516">
        <v>0</v>
      </c>
      <c r="BU168" s="516">
        <v>1918880</v>
      </c>
      <c r="BV168" s="516">
        <v>1071937</v>
      </c>
      <c r="BW168" s="516">
        <v>414954</v>
      </c>
      <c r="BX168" s="516">
        <v>0</v>
      </c>
      <c r="BY168" s="516">
        <v>0</v>
      </c>
      <c r="BZ168" s="516">
        <v>0</v>
      </c>
      <c r="CA168" s="516">
        <v>2095838</v>
      </c>
      <c r="CB168" s="516">
        <v>0</v>
      </c>
    </row>
    <row r="169" spans="1:80" x14ac:dyDescent="0.25">
      <c r="A169" s="860">
        <v>519</v>
      </c>
      <c r="B169" s="846">
        <v>519</v>
      </c>
      <c r="C169" s="860" t="s">
        <v>348</v>
      </c>
      <c r="D169" s="860" t="s">
        <v>553</v>
      </c>
      <c r="E169" s="516">
        <v>0</v>
      </c>
      <c r="F169" s="516">
        <v>0</v>
      </c>
      <c r="G169" s="516">
        <v>0</v>
      </c>
      <c r="H169" s="516">
        <v>2729608</v>
      </c>
      <c r="I169" s="516">
        <v>32500</v>
      </c>
      <c r="J169" s="516">
        <v>0</v>
      </c>
      <c r="K169" s="516">
        <v>0</v>
      </c>
      <c r="L169" s="516">
        <v>0</v>
      </c>
      <c r="M169" s="516">
        <v>369318</v>
      </c>
      <c r="N169" s="516">
        <v>0</v>
      </c>
      <c r="O169" s="516">
        <v>0</v>
      </c>
      <c r="P169" s="516">
        <v>1748</v>
      </c>
      <c r="Q169" s="516">
        <v>0</v>
      </c>
      <c r="R169" s="516">
        <v>2388</v>
      </c>
      <c r="S169" s="516">
        <v>8520</v>
      </c>
      <c r="T169" s="516">
        <v>159117</v>
      </c>
      <c r="U169" s="516">
        <v>0</v>
      </c>
      <c r="V169" s="516">
        <v>985121</v>
      </c>
      <c r="W169" s="516">
        <v>0</v>
      </c>
      <c r="X169" s="516">
        <v>0</v>
      </c>
      <c r="Y169" s="516">
        <v>0</v>
      </c>
      <c r="Z169" s="516">
        <v>9829</v>
      </c>
      <c r="AA169" s="516">
        <v>0</v>
      </c>
      <c r="AB169" s="516">
        <v>0</v>
      </c>
      <c r="AC169" s="516">
        <v>0</v>
      </c>
      <c r="AD169" s="516">
        <v>0</v>
      </c>
      <c r="AE169" s="516">
        <v>0</v>
      </c>
      <c r="AF169" s="516">
        <v>7557</v>
      </c>
      <c r="AG169" s="516">
        <v>0</v>
      </c>
      <c r="AH169" s="516">
        <v>0</v>
      </c>
      <c r="AI169" s="516">
        <v>0</v>
      </c>
      <c r="AJ169" s="516">
        <v>0</v>
      </c>
      <c r="AK169" s="516">
        <v>0</v>
      </c>
      <c r="AL169" s="516">
        <v>0</v>
      </c>
      <c r="AM169" s="516">
        <v>0</v>
      </c>
      <c r="AN169" s="516">
        <v>0</v>
      </c>
      <c r="AO169" s="516">
        <v>0</v>
      </c>
      <c r="AP169" s="516">
        <v>0</v>
      </c>
      <c r="AQ169" s="516">
        <v>0</v>
      </c>
      <c r="AR169" s="516">
        <v>10817</v>
      </c>
      <c r="AS169" s="516">
        <v>11919</v>
      </c>
      <c r="AT169" s="516">
        <v>667</v>
      </c>
      <c r="AU169" s="516">
        <v>2895</v>
      </c>
      <c r="AV169" s="516">
        <v>350385</v>
      </c>
      <c r="AW169" s="516">
        <v>2874</v>
      </c>
      <c r="AX169" s="516">
        <v>1628</v>
      </c>
      <c r="AY169" s="516">
        <v>0</v>
      </c>
      <c r="AZ169" s="516">
        <v>0</v>
      </c>
      <c r="BA169" s="516">
        <v>20858</v>
      </c>
      <c r="BB169" s="516">
        <v>0</v>
      </c>
      <c r="BC169" s="516">
        <v>0</v>
      </c>
      <c r="BD169" s="516">
        <v>0</v>
      </c>
      <c r="BE169" s="516">
        <v>0</v>
      </c>
      <c r="BF169" s="516">
        <v>0</v>
      </c>
      <c r="BG169" s="516">
        <v>0</v>
      </c>
      <c r="BH169" s="516">
        <v>0</v>
      </c>
      <c r="BI169" s="516">
        <v>0</v>
      </c>
      <c r="BJ169" s="516">
        <v>0</v>
      </c>
      <c r="BK169" s="516">
        <v>0</v>
      </c>
      <c r="BL169" s="516">
        <v>295</v>
      </c>
      <c r="BM169" s="516">
        <v>0</v>
      </c>
      <c r="BN169" s="516">
        <v>0</v>
      </c>
      <c r="BO169" s="516">
        <v>133554</v>
      </c>
      <c r="BP169" s="516">
        <v>17104</v>
      </c>
      <c r="BQ169" s="516">
        <v>0</v>
      </c>
      <c r="BR169" s="516">
        <v>9546</v>
      </c>
      <c r="BS169" s="516">
        <v>0</v>
      </c>
      <c r="BT169" s="516">
        <v>0</v>
      </c>
      <c r="BU169" s="516">
        <v>106336</v>
      </c>
      <c r="BV169" s="516">
        <v>0</v>
      </c>
      <c r="BW169" s="516">
        <v>0</v>
      </c>
      <c r="BX169" s="516">
        <v>0</v>
      </c>
      <c r="BY169" s="516">
        <v>0</v>
      </c>
      <c r="BZ169" s="516">
        <v>0</v>
      </c>
      <c r="CA169" s="516">
        <v>198583</v>
      </c>
      <c r="CB169" s="516">
        <v>0</v>
      </c>
    </row>
    <row r="170" spans="1:80" x14ac:dyDescent="0.25">
      <c r="A170" s="860">
        <v>520</v>
      </c>
      <c r="B170" s="846">
        <v>520</v>
      </c>
      <c r="C170" s="860" t="s">
        <v>349</v>
      </c>
      <c r="D170" s="860" t="s">
        <v>554</v>
      </c>
      <c r="E170" s="516">
        <v>0</v>
      </c>
      <c r="F170" s="516">
        <v>0</v>
      </c>
      <c r="G170" s="516">
        <v>0</v>
      </c>
      <c r="H170" s="516">
        <v>5282642</v>
      </c>
      <c r="I170" s="516">
        <v>268170</v>
      </c>
      <c r="J170" s="516">
        <v>15662</v>
      </c>
      <c r="K170" s="516">
        <v>211499</v>
      </c>
      <c r="L170" s="516">
        <v>153094</v>
      </c>
      <c r="M170" s="516">
        <v>1855208</v>
      </c>
      <c r="N170" s="516">
        <v>0</v>
      </c>
      <c r="O170" s="516">
        <v>102469</v>
      </c>
      <c r="P170" s="516">
        <v>169064</v>
      </c>
      <c r="Q170" s="516">
        <v>0</v>
      </c>
      <c r="R170" s="516">
        <v>464233</v>
      </c>
      <c r="S170" s="516">
        <v>926834</v>
      </c>
      <c r="T170" s="516">
        <v>1085031</v>
      </c>
      <c r="U170" s="516">
        <v>0</v>
      </c>
      <c r="V170" s="516">
        <v>1211522</v>
      </c>
      <c r="W170" s="516">
        <v>0</v>
      </c>
      <c r="X170" s="516">
        <v>0</v>
      </c>
      <c r="Y170" s="516">
        <v>0</v>
      </c>
      <c r="Z170" s="516">
        <v>184547</v>
      </c>
      <c r="AA170" s="516">
        <v>326047</v>
      </c>
      <c r="AB170" s="516">
        <v>294710</v>
      </c>
      <c r="AC170" s="516">
        <v>0</v>
      </c>
      <c r="AD170" s="516">
        <v>3240</v>
      </c>
      <c r="AE170" s="516">
        <v>286036</v>
      </c>
      <c r="AF170" s="516">
        <v>402380</v>
      </c>
      <c r="AG170" s="516">
        <v>25726</v>
      </c>
      <c r="AH170" s="516">
        <v>0</v>
      </c>
      <c r="AI170" s="516">
        <v>0</v>
      </c>
      <c r="AJ170" s="516">
        <v>54678</v>
      </c>
      <c r="AK170" s="516">
        <v>1252237</v>
      </c>
      <c r="AL170" s="516">
        <v>52740</v>
      </c>
      <c r="AM170" s="516">
        <v>0</v>
      </c>
      <c r="AN170" s="516">
        <v>1235577</v>
      </c>
      <c r="AO170" s="516">
        <v>1203765</v>
      </c>
      <c r="AP170" s="516">
        <v>3743</v>
      </c>
      <c r="AQ170" s="516">
        <v>0</v>
      </c>
      <c r="AR170" s="516">
        <v>1057007</v>
      </c>
      <c r="AS170" s="516">
        <v>200736</v>
      </c>
      <c r="AT170" s="516">
        <v>119167</v>
      </c>
      <c r="AU170" s="516">
        <v>195362</v>
      </c>
      <c r="AV170" s="516">
        <v>1104115</v>
      </c>
      <c r="AW170" s="516">
        <v>58094</v>
      </c>
      <c r="AX170" s="516">
        <v>134212</v>
      </c>
      <c r="AY170" s="516">
        <v>275230</v>
      </c>
      <c r="AZ170" s="516">
        <v>331457</v>
      </c>
      <c r="BA170" s="516">
        <v>442196</v>
      </c>
      <c r="BB170" s="516">
        <v>0</v>
      </c>
      <c r="BC170" s="516">
        <v>0</v>
      </c>
      <c r="BD170" s="516">
        <v>0</v>
      </c>
      <c r="BE170" s="516">
        <v>0</v>
      </c>
      <c r="BF170" s="516">
        <v>0</v>
      </c>
      <c r="BG170" s="516">
        <v>103843</v>
      </c>
      <c r="BH170" s="516">
        <v>0</v>
      </c>
      <c r="BI170" s="516">
        <v>229474</v>
      </c>
      <c r="BJ170" s="516">
        <v>166075</v>
      </c>
      <c r="BK170" s="516">
        <v>0</v>
      </c>
      <c r="BL170" s="516">
        <v>325290</v>
      </c>
      <c r="BM170" s="516">
        <v>267222</v>
      </c>
      <c r="BN170" s="516">
        <v>0</v>
      </c>
      <c r="BO170" s="516">
        <v>564324</v>
      </c>
      <c r="BP170" s="516">
        <v>242922</v>
      </c>
      <c r="BQ170" s="516">
        <v>260208</v>
      </c>
      <c r="BR170" s="516">
        <v>105326</v>
      </c>
      <c r="BS170" s="516">
        <v>0</v>
      </c>
      <c r="BT170" s="516">
        <v>0</v>
      </c>
      <c r="BU170" s="516">
        <v>60509</v>
      </c>
      <c r="BV170" s="516">
        <v>472759</v>
      </c>
      <c r="BW170" s="516">
        <v>133784</v>
      </c>
      <c r="BX170" s="516">
        <v>33834</v>
      </c>
      <c r="BY170" s="516">
        <v>0</v>
      </c>
      <c r="BZ170" s="516">
        <v>0</v>
      </c>
      <c r="CA170" s="516">
        <v>1194658</v>
      </c>
      <c r="CB170" s="516">
        <v>0</v>
      </c>
    </row>
    <row r="171" spans="1:80" x14ac:dyDescent="0.25">
      <c r="A171" s="860">
        <v>521</v>
      </c>
      <c r="B171" s="846">
        <v>521</v>
      </c>
      <c r="C171" s="860" t="s">
        <v>350</v>
      </c>
      <c r="D171" s="860" t="s">
        <v>555</v>
      </c>
      <c r="E171" s="516">
        <v>0</v>
      </c>
      <c r="F171" s="516">
        <v>0</v>
      </c>
      <c r="G171" s="516">
        <v>0</v>
      </c>
      <c r="H171" s="516">
        <v>0</v>
      </c>
      <c r="I171" s="516">
        <v>0</v>
      </c>
      <c r="J171" s="516">
        <v>0</v>
      </c>
      <c r="K171" s="516">
        <v>0</v>
      </c>
      <c r="L171" s="516">
        <v>0</v>
      </c>
      <c r="M171" s="516">
        <v>0</v>
      </c>
      <c r="N171" s="516">
        <v>0</v>
      </c>
      <c r="O171" s="516">
        <v>0</v>
      </c>
      <c r="P171" s="516">
        <v>0</v>
      </c>
      <c r="Q171" s="516">
        <v>0</v>
      </c>
      <c r="R171" s="516">
        <v>0</v>
      </c>
      <c r="S171" s="516">
        <v>0</v>
      </c>
      <c r="T171" s="516">
        <v>0</v>
      </c>
      <c r="U171" s="516">
        <v>0</v>
      </c>
      <c r="V171" s="516">
        <v>21766</v>
      </c>
      <c r="W171" s="516">
        <v>0</v>
      </c>
      <c r="X171" s="516">
        <v>0</v>
      </c>
      <c r="Y171" s="516">
        <v>0</v>
      </c>
      <c r="Z171" s="516">
        <v>0</v>
      </c>
      <c r="AA171" s="516">
        <v>0</v>
      </c>
      <c r="AB171" s="516">
        <v>0</v>
      </c>
      <c r="AC171" s="516">
        <v>0</v>
      </c>
      <c r="AD171" s="516">
        <v>0</v>
      </c>
      <c r="AE171" s="516">
        <v>0</v>
      </c>
      <c r="AF171" s="516">
        <v>0</v>
      </c>
      <c r="AG171" s="516">
        <v>0</v>
      </c>
      <c r="AH171" s="516">
        <v>0</v>
      </c>
      <c r="AI171" s="516">
        <v>0</v>
      </c>
      <c r="AJ171" s="516">
        <v>0</v>
      </c>
      <c r="AK171" s="516">
        <v>0</v>
      </c>
      <c r="AL171" s="516">
        <v>0</v>
      </c>
      <c r="AM171" s="516">
        <v>0</v>
      </c>
      <c r="AN171" s="516">
        <v>0</v>
      </c>
      <c r="AO171" s="516">
        <v>0</v>
      </c>
      <c r="AP171" s="516">
        <v>0</v>
      </c>
      <c r="AQ171" s="516">
        <v>0</v>
      </c>
      <c r="AR171" s="516">
        <v>0</v>
      </c>
      <c r="AS171" s="516">
        <v>1838</v>
      </c>
      <c r="AT171" s="516">
        <v>0</v>
      </c>
      <c r="AU171" s="516">
        <v>0</v>
      </c>
      <c r="AV171" s="516">
        <v>0</v>
      </c>
      <c r="AW171" s="516">
        <v>0</v>
      </c>
      <c r="AX171" s="516">
        <v>0</v>
      </c>
      <c r="AY171" s="516">
        <v>0</v>
      </c>
      <c r="AZ171" s="516">
        <v>0</v>
      </c>
      <c r="BA171" s="516">
        <v>0</v>
      </c>
      <c r="BB171" s="516">
        <v>0</v>
      </c>
      <c r="BC171" s="516">
        <v>0</v>
      </c>
      <c r="BD171" s="516">
        <v>0</v>
      </c>
      <c r="BE171" s="516">
        <v>0</v>
      </c>
      <c r="BF171" s="516">
        <v>0</v>
      </c>
      <c r="BG171" s="516">
        <v>0</v>
      </c>
      <c r="BH171" s="516">
        <v>0</v>
      </c>
      <c r="BI171" s="516">
        <v>0</v>
      </c>
      <c r="BJ171" s="516">
        <v>0</v>
      </c>
      <c r="BK171" s="516">
        <v>0</v>
      </c>
      <c r="BL171" s="516">
        <v>0</v>
      </c>
      <c r="BM171" s="516">
        <v>0</v>
      </c>
      <c r="BN171" s="516">
        <v>0</v>
      </c>
      <c r="BO171" s="516">
        <v>0</v>
      </c>
      <c r="BP171" s="516">
        <v>0</v>
      </c>
      <c r="BQ171" s="516">
        <v>0</v>
      </c>
      <c r="BR171" s="516">
        <v>0</v>
      </c>
      <c r="BS171" s="516">
        <v>0</v>
      </c>
      <c r="BT171" s="516">
        <v>0</v>
      </c>
      <c r="BU171" s="516">
        <v>0</v>
      </c>
      <c r="BV171" s="516">
        <v>0</v>
      </c>
      <c r="BW171" s="516">
        <v>0</v>
      </c>
      <c r="BX171" s="516">
        <v>0</v>
      </c>
      <c r="BY171" s="516">
        <v>0</v>
      </c>
      <c r="BZ171" s="516">
        <v>0</v>
      </c>
      <c r="CA171" s="516">
        <v>0</v>
      </c>
      <c r="CB171" s="516">
        <v>0</v>
      </c>
    </row>
    <row r="172" spans="1:80" x14ac:dyDescent="0.25">
      <c r="A172" s="860">
        <v>522</v>
      </c>
      <c r="B172" s="846">
        <v>522</v>
      </c>
      <c r="C172" s="860" t="s">
        <v>351</v>
      </c>
      <c r="D172" s="860" t="s">
        <v>556</v>
      </c>
      <c r="E172" s="516">
        <v>0</v>
      </c>
      <c r="F172" s="516">
        <v>0</v>
      </c>
      <c r="G172" s="516">
        <v>0</v>
      </c>
      <c r="H172" s="516">
        <v>491580</v>
      </c>
      <c r="I172" s="516">
        <v>290769</v>
      </c>
      <c r="J172" s="516">
        <v>3736</v>
      </c>
      <c r="K172" s="516">
        <v>24937</v>
      </c>
      <c r="L172" s="516">
        <v>0</v>
      </c>
      <c r="M172" s="516">
        <v>485804</v>
      </c>
      <c r="N172" s="516">
        <v>0</v>
      </c>
      <c r="O172" s="516">
        <v>28770</v>
      </c>
      <c r="P172" s="516">
        <v>52212</v>
      </c>
      <c r="Q172" s="516">
        <v>0</v>
      </c>
      <c r="R172" s="516">
        <v>165069</v>
      </c>
      <c r="S172" s="516">
        <v>93836</v>
      </c>
      <c r="T172" s="516">
        <v>1494199</v>
      </c>
      <c r="U172" s="516">
        <v>0</v>
      </c>
      <c r="V172" s="516">
        <v>387808</v>
      </c>
      <c r="W172" s="516">
        <v>0</v>
      </c>
      <c r="X172" s="516">
        <v>0</v>
      </c>
      <c r="Y172" s="516">
        <v>0</v>
      </c>
      <c r="Z172" s="516">
        <v>58267</v>
      </c>
      <c r="AA172" s="516">
        <v>75459</v>
      </c>
      <c r="AB172" s="516">
        <v>6995</v>
      </c>
      <c r="AC172" s="516">
        <v>0</v>
      </c>
      <c r="AD172" s="516">
        <v>769</v>
      </c>
      <c r="AE172" s="516">
        <v>16025</v>
      </c>
      <c r="AF172" s="516">
        <v>146205</v>
      </c>
      <c r="AG172" s="516">
        <v>0</v>
      </c>
      <c r="AH172" s="516">
        <v>0</v>
      </c>
      <c r="AI172" s="516">
        <v>0</v>
      </c>
      <c r="AJ172" s="516">
        <v>10705</v>
      </c>
      <c r="AK172" s="516">
        <v>283139</v>
      </c>
      <c r="AL172" s="516">
        <v>0</v>
      </c>
      <c r="AM172" s="516">
        <v>0</v>
      </c>
      <c r="AN172" s="516">
        <v>375767</v>
      </c>
      <c r="AO172" s="516">
        <v>225000</v>
      </c>
      <c r="AP172" s="516">
        <v>7089</v>
      </c>
      <c r="AQ172" s="516">
        <v>0</v>
      </c>
      <c r="AR172" s="516">
        <v>193660</v>
      </c>
      <c r="AS172" s="516">
        <v>41772</v>
      </c>
      <c r="AT172" s="516">
        <v>606</v>
      </c>
      <c r="AU172" s="516">
        <v>58512</v>
      </c>
      <c r="AV172" s="516">
        <v>202757</v>
      </c>
      <c r="AW172" s="516">
        <v>0</v>
      </c>
      <c r="AX172" s="516">
        <v>39803</v>
      </c>
      <c r="AY172" s="516">
        <v>12062</v>
      </c>
      <c r="AZ172" s="516">
        <v>9996</v>
      </c>
      <c r="BA172" s="516">
        <v>78127</v>
      </c>
      <c r="BB172" s="516">
        <v>0</v>
      </c>
      <c r="BC172" s="516">
        <v>0</v>
      </c>
      <c r="BD172" s="516">
        <v>0</v>
      </c>
      <c r="BE172" s="516">
        <v>0</v>
      </c>
      <c r="BF172" s="516">
        <v>0</v>
      </c>
      <c r="BG172" s="516">
        <v>2476</v>
      </c>
      <c r="BH172" s="516">
        <v>0</v>
      </c>
      <c r="BI172" s="516">
        <v>8701</v>
      </c>
      <c r="BJ172" s="516">
        <v>17600</v>
      </c>
      <c r="BK172" s="516">
        <v>0</v>
      </c>
      <c r="BL172" s="516">
        <v>34334</v>
      </c>
      <c r="BM172" s="516">
        <v>43036</v>
      </c>
      <c r="BN172" s="516">
        <v>0</v>
      </c>
      <c r="BO172" s="516">
        <v>196711</v>
      </c>
      <c r="BP172" s="516">
        <v>24227</v>
      </c>
      <c r="BQ172" s="516">
        <v>12642</v>
      </c>
      <c r="BR172" s="516">
        <v>52901</v>
      </c>
      <c r="BS172" s="516">
        <v>0</v>
      </c>
      <c r="BT172" s="516">
        <v>0</v>
      </c>
      <c r="BU172" s="516">
        <v>81741</v>
      </c>
      <c r="BV172" s="516">
        <v>86781</v>
      </c>
      <c r="BW172" s="516">
        <v>9290</v>
      </c>
      <c r="BX172" s="516">
        <v>0</v>
      </c>
      <c r="BY172" s="516">
        <v>0</v>
      </c>
      <c r="BZ172" s="516">
        <v>0</v>
      </c>
      <c r="CA172" s="516">
        <v>161184</v>
      </c>
      <c r="CB172" s="516">
        <v>0</v>
      </c>
    </row>
    <row r="173" spans="1:80" x14ac:dyDescent="0.25">
      <c r="A173" s="860">
        <v>523</v>
      </c>
      <c r="B173" s="846">
        <v>523</v>
      </c>
      <c r="C173" s="860" t="s">
        <v>352</v>
      </c>
      <c r="D173" s="860" t="s">
        <v>557</v>
      </c>
      <c r="E173" s="516">
        <v>0</v>
      </c>
      <c r="F173" s="516">
        <v>0</v>
      </c>
      <c r="G173" s="516">
        <v>0</v>
      </c>
      <c r="H173" s="516">
        <v>87271232</v>
      </c>
      <c r="I173" s="516">
        <v>124376</v>
      </c>
      <c r="J173" s="516">
        <v>0</v>
      </c>
      <c r="K173" s="516">
        <v>0</v>
      </c>
      <c r="L173" s="516">
        <v>0</v>
      </c>
      <c r="M173" s="516">
        <v>9879360</v>
      </c>
      <c r="N173" s="516">
        <v>0</v>
      </c>
      <c r="O173" s="516">
        <v>0</v>
      </c>
      <c r="P173" s="516">
        <v>3787</v>
      </c>
      <c r="Q173" s="516">
        <v>0</v>
      </c>
      <c r="R173" s="516">
        <v>388147</v>
      </c>
      <c r="S173" s="516">
        <v>310661</v>
      </c>
      <c r="T173" s="516">
        <v>12609296</v>
      </c>
      <c r="U173" s="516">
        <v>0</v>
      </c>
      <c r="V173" s="516">
        <v>13644945</v>
      </c>
      <c r="W173" s="516">
        <v>0</v>
      </c>
      <c r="X173" s="516">
        <v>0</v>
      </c>
      <c r="Y173" s="516">
        <v>0</v>
      </c>
      <c r="Z173" s="516">
        <v>94008</v>
      </c>
      <c r="AA173" s="516">
        <v>0</v>
      </c>
      <c r="AB173" s="516">
        <v>0</v>
      </c>
      <c r="AC173" s="516">
        <v>0</v>
      </c>
      <c r="AD173" s="516">
        <v>0</v>
      </c>
      <c r="AE173" s="516">
        <v>0</v>
      </c>
      <c r="AF173" s="516">
        <v>113262</v>
      </c>
      <c r="AG173" s="516">
        <v>0</v>
      </c>
      <c r="AH173" s="516">
        <v>0</v>
      </c>
      <c r="AI173" s="516">
        <v>0</v>
      </c>
      <c r="AJ173" s="516">
        <v>0</v>
      </c>
      <c r="AK173" s="516">
        <v>0</v>
      </c>
      <c r="AL173" s="516">
        <v>73000</v>
      </c>
      <c r="AM173" s="516">
        <v>0</v>
      </c>
      <c r="AN173" s="516">
        <v>0</v>
      </c>
      <c r="AO173" s="516">
        <v>0</v>
      </c>
      <c r="AP173" s="516">
        <v>0</v>
      </c>
      <c r="AQ173" s="516">
        <v>0</v>
      </c>
      <c r="AR173" s="516">
        <v>301616</v>
      </c>
      <c r="AS173" s="516">
        <v>320232</v>
      </c>
      <c r="AT173" s="516">
        <v>9919</v>
      </c>
      <c r="AU173" s="516">
        <v>158988</v>
      </c>
      <c r="AV173" s="516">
        <v>6918412</v>
      </c>
      <c r="AW173" s="516">
        <v>69043</v>
      </c>
      <c r="AX173" s="516">
        <v>11199</v>
      </c>
      <c r="AY173" s="516">
        <v>0</v>
      </c>
      <c r="AZ173" s="516">
        <v>0</v>
      </c>
      <c r="BA173" s="516">
        <v>166868</v>
      </c>
      <c r="BB173" s="516">
        <v>0</v>
      </c>
      <c r="BC173" s="516">
        <v>0</v>
      </c>
      <c r="BD173" s="516">
        <v>0</v>
      </c>
      <c r="BE173" s="516">
        <v>0</v>
      </c>
      <c r="BF173" s="516">
        <v>0</v>
      </c>
      <c r="BG173" s="516">
        <v>0</v>
      </c>
      <c r="BH173" s="516">
        <v>0</v>
      </c>
      <c r="BI173" s="516">
        <v>0</v>
      </c>
      <c r="BJ173" s="516">
        <v>0</v>
      </c>
      <c r="BK173" s="516">
        <v>0</v>
      </c>
      <c r="BL173" s="516">
        <v>295</v>
      </c>
      <c r="BM173" s="516">
        <v>0</v>
      </c>
      <c r="BN173" s="516">
        <v>0</v>
      </c>
      <c r="BO173" s="516">
        <v>5100310</v>
      </c>
      <c r="BP173" s="516">
        <v>175737</v>
      </c>
      <c r="BQ173" s="516">
        <v>0</v>
      </c>
      <c r="BR173" s="516">
        <v>237354</v>
      </c>
      <c r="BS173" s="516">
        <v>0</v>
      </c>
      <c r="BT173" s="516">
        <v>0</v>
      </c>
      <c r="BU173" s="516">
        <v>139019</v>
      </c>
      <c r="BV173" s="516">
        <v>0</v>
      </c>
      <c r="BW173" s="516">
        <v>0</v>
      </c>
      <c r="BX173" s="516">
        <v>0</v>
      </c>
      <c r="BY173" s="516">
        <v>0</v>
      </c>
      <c r="BZ173" s="516">
        <v>0</v>
      </c>
      <c r="CA173" s="516">
        <v>3449470</v>
      </c>
      <c r="CB173" s="516">
        <v>0</v>
      </c>
    </row>
    <row r="174" spans="1:80" x14ac:dyDescent="0.25">
      <c r="A174" s="860">
        <v>524</v>
      </c>
      <c r="B174" s="846">
        <v>524</v>
      </c>
      <c r="C174" s="860" t="s">
        <v>353</v>
      </c>
      <c r="D174" s="860" t="s">
        <v>558</v>
      </c>
      <c r="E174" s="516">
        <v>0</v>
      </c>
      <c r="F174" s="516">
        <v>0</v>
      </c>
      <c r="G174" s="516">
        <v>0</v>
      </c>
      <c r="H174" s="516">
        <v>76175518</v>
      </c>
      <c r="I174" s="516">
        <v>6313142</v>
      </c>
      <c r="J174" s="516">
        <v>1600500</v>
      </c>
      <c r="K174" s="516">
        <v>5299449</v>
      </c>
      <c r="L174" s="516">
        <v>2496670</v>
      </c>
      <c r="M174" s="516">
        <v>36737425</v>
      </c>
      <c r="N174" s="516">
        <v>0</v>
      </c>
      <c r="O174" s="516">
        <v>3303092</v>
      </c>
      <c r="P174" s="516">
        <v>2742226</v>
      </c>
      <c r="Q174" s="516">
        <v>0</v>
      </c>
      <c r="R174" s="516">
        <v>10202612</v>
      </c>
      <c r="S174" s="516">
        <v>14184451</v>
      </c>
      <c r="T174" s="516">
        <v>5343305</v>
      </c>
      <c r="U174" s="516">
        <v>0</v>
      </c>
      <c r="V174" s="516">
        <v>34521855</v>
      </c>
      <c r="W174" s="516">
        <v>0</v>
      </c>
      <c r="X174" s="516">
        <v>0</v>
      </c>
      <c r="Y174" s="516">
        <v>0</v>
      </c>
      <c r="Z174" s="516">
        <v>3927906</v>
      </c>
      <c r="AA174" s="516">
        <v>8434406</v>
      </c>
      <c r="AB174" s="516">
        <v>3674143</v>
      </c>
      <c r="AC174" s="516">
        <v>0</v>
      </c>
      <c r="AD174" s="516">
        <v>706950</v>
      </c>
      <c r="AE174" s="516">
        <v>6253509</v>
      </c>
      <c r="AF174" s="516">
        <v>8338032</v>
      </c>
      <c r="AG174" s="516">
        <v>647416</v>
      </c>
      <c r="AH174" s="516">
        <v>0</v>
      </c>
      <c r="AI174" s="516">
        <v>0</v>
      </c>
      <c r="AJ174" s="516">
        <v>1403626</v>
      </c>
      <c r="AK174" s="516">
        <v>29912616</v>
      </c>
      <c r="AL174" s="516">
        <v>684262</v>
      </c>
      <c r="AM174" s="516">
        <v>0</v>
      </c>
      <c r="AN174" s="516">
        <v>11942408</v>
      </c>
      <c r="AO174" s="516">
        <v>26795778</v>
      </c>
      <c r="AP174" s="516">
        <v>1159973</v>
      </c>
      <c r="AQ174" s="516">
        <v>0</v>
      </c>
      <c r="AR174" s="516">
        <v>38030324</v>
      </c>
      <c r="AS174" s="516">
        <v>5733613</v>
      </c>
      <c r="AT174" s="516">
        <v>1478867</v>
      </c>
      <c r="AU174" s="516">
        <v>2991562</v>
      </c>
      <c r="AV174" s="516">
        <v>28775802</v>
      </c>
      <c r="AW174" s="516">
        <v>1117970</v>
      </c>
      <c r="AX174" s="516">
        <v>3130470</v>
      </c>
      <c r="AY174" s="516">
        <v>4440215</v>
      </c>
      <c r="AZ174" s="516">
        <v>9685241</v>
      </c>
      <c r="BA174" s="516">
        <v>11208851</v>
      </c>
      <c r="BB174" s="516">
        <v>0</v>
      </c>
      <c r="BC174" s="516">
        <v>0</v>
      </c>
      <c r="BD174" s="516">
        <v>0</v>
      </c>
      <c r="BE174" s="516">
        <v>0</v>
      </c>
      <c r="BF174" s="516">
        <v>0</v>
      </c>
      <c r="BG174" s="516">
        <v>2449772</v>
      </c>
      <c r="BH174" s="516">
        <v>0</v>
      </c>
      <c r="BI174" s="516">
        <v>6974310</v>
      </c>
      <c r="BJ174" s="516">
        <v>2939028</v>
      </c>
      <c r="BK174" s="516">
        <v>0</v>
      </c>
      <c r="BL174" s="516">
        <v>9684837</v>
      </c>
      <c r="BM174" s="516">
        <v>5883420</v>
      </c>
      <c r="BN174" s="516">
        <v>0</v>
      </c>
      <c r="BO174" s="516">
        <v>9237936</v>
      </c>
      <c r="BP174" s="516">
        <v>7003333</v>
      </c>
      <c r="BQ174" s="516">
        <v>7117157</v>
      </c>
      <c r="BR174" s="516">
        <v>2118055</v>
      </c>
      <c r="BS174" s="516">
        <v>0</v>
      </c>
      <c r="BT174" s="516">
        <v>0</v>
      </c>
      <c r="BU174" s="516">
        <v>1422424</v>
      </c>
      <c r="BV174" s="516">
        <v>9439135</v>
      </c>
      <c r="BW174" s="516">
        <v>2087309</v>
      </c>
      <c r="BX174" s="516">
        <v>425103</v>
      </c>
      <c r="BY174" s="516">
        <v>0</v>
      </c>
      <c r="BZ174" s="516">
        <v>0</v>
      </c>
      <c r="CA174" s="516">
        <v>14965650</v>
      </c>
      <c r="CB174" s="516">
        <v>0</v>
      </c>
    </row>
    <row r="175" spans="1:80" x14ac:dyDescent="0.25">
      <c r="A175" s="860">
        <v>525</v>
      </c>
      <c r="B175" s="846">
        <v>525</v>
      </c>
      <c r="C175" s="860" t="s">
        <v>354</v>
      </c>
      <c r="D175" s="860" t="s">
        <v>559</v>
      </c>
      <c r="E175" s="516">
        <v>0</v>
      </c>
      <c r="F175" s="516">
        <v>0</v>
      </c>
      <c r="G175" s="516">
        <v>0</v>
      </c>
      <c r="H175" s="516">
        <v>0</v>
      </c>
      <c r="I175" s="516">
        <v>0</v>
      </c>
      <c r="J175" s="516">
        <v>0</v>
      </c>
      <c r="K175" s="516">
        <v>0</v>
      </c>
      <c r="L175" s="516">
        <v>0</v>
      </c>
      <c r="M175" s="516">
        <v>0</v>
      </c>
      <c r="N175" s="516">
        <v>0</v>
      </c>
      <c r="O175" s="516">
        <v>0</v>
      </c>
      <c r="P175" s="516">
        <v>0</v>
      </c>
      <c r="Q175" s="516">
        <v>0</v>
      </c>
      <c r="R175" s="516">
        <v>0</v>
      </c>
      <c r="S175" s="516">
        <v>0</v>
      </c>
      <c r="T175" s="516">
        <v>0</v>
      </c>
      <c r="U175" s="516">
        <v>0</v>
      </c>
      <c r="V175" s="516">
        <v>165211</v>
      </c>
      <c r="W175" s="516">
        <v>0</v>
      </c>
      <c r="X175" s="516">
        <v>0</v>
      </c>
      <c r="Y175" s="516">
        <v>0</v>
      </c>
      <c r="Z175" s="516">
        <v>0</v>
      </c>
      <c r="AA175" s="516">
        <v>0</v>
      </c>
      <c r="AB175" s="516">
        <v>0</v>
      </c>
      <c r="AC175" s="516">
        <v>0</v>
      </c>
      <c r="AD175" s="516">
        <v>0</v>
      </c>
      <c r="AE175" s="516">
        <v>0</v>
      </c>
      <c r="AF175" s="516">
        <v>0</v>
      </c>
      <c r="AG175" s="516">
        <v>0</v>
      </c>
      <c r="AH175" s="516">
        <v>0</v>
      </c>
      <c r="AI175" s="516">
        <v>0</v>
      </c>
      <c r="AJ175" s="516">
        <v>0</v>
      </c>
      <c r="AK175" s="516">
        <v>0</v>
      </c>
      <c r="AL175" s="516">
        <v>0</v>
      </c>
      <c r="AM175" s="516">
        <v>0</v>
      </c>
      <c r="AN175" s="516">
        <v>0</v>
      </c>
      <c r="AO175" s="516">
        <v>0</v>
      </c>
      <c r="AP175" s="516">
        <v>0</v>
      </c>
      <c r="AQ175" s="516">
        <v>0</v>
      </c>
      <c r="AR175" s="516">
        <v>0</v>
      </c>
      <c r="AS175" s="516">
        <v>47675</v>
      </c>
      <c r="AT175" s="516">
        <v>0</v>
      </c>
      <c r="AU175" s="516">
        <v>0</v>
      </c>
      <c r="AV175" s="516">
        <v>0</v>
      </c>
      <c r="AW175" s="516">
        <v>0</v>
      </c>
      <c r="AX175" s="516">
        <v>0</v>
      </c>
      <c r="AY175" s="516">
        <v>0</v>
      </c>
      <c r="AZ175" s="516">
        <v>0</v>
      </c>
      <c r="BA175" s="516">
        <v>0</v>
      </c>
      <c r="BB175" s="516">
        <v>0</v>
      </c>
      <c r="BC175" s="516">
        <v>0</v>
      </c>
      <c r="BD175" s="516">
        <v>0</v>
      </c>
      <c r="BE175" s="516">
        <v>0</v>
      </c>
      <c r="BF175" s="516">
        <v>0</v>
      </c>
      <c r="BG175" s="516">
        <v>0</v>
      </c>
      <c r="BH175" s="516">
        <v>0</v>
      </c>
      <c r="BI175" s="516">
        <v>0</v>
      </c>
      <c r="BJ175" s="516">
        <v>0</v>
      </c>
      <c r="BK175" s="516">
        <v>0</v>
      </c>
      <c r="BL175" s="516">
        <v>0</v>
      </c>
      <c r="BM175" s="516">
        <v>0</v>
      </c>
      <c r="BN175" s="516">
        <v>0</v>
      </c>
      <c r="BO175" s="516">
        <v>0</v>
      </c>
      <c r="BP175" s="516">
        <v>0</v>
      </c>
      <c r="BQ175" s="516">
        <v>0</v>
      </c>
      <c r="BR175" s="516">
        <v>0</v>
      </c>
      <c r="BS175" s="516">
        <v>0</v>
      </c>
      <c r="BT175" s="516">
        <v>0</v>
      </c>
      <c r="BU175" s="516">
        <v>0</v>
      </c>
      <c r="BV175" s="516">
        <v>0</v>
      </c>
      <c r="BW175" s="516">
        <v>0</v>
      </c>
      <c r="BX175" s="516">
        <v>0</v>
      </c>
      <c r="BY175" s="516">
        <v>0</v>
      </c>
      <c r="BZ175" s="516">
        <v>0</v>
      </c>
      <c r="CA175" s="516">
        <v>0</v>
      </c>
      <c r="CB175" s="516">
        <v>0</v>
      </c>
    </row>
    <row r="176" spans="1:80" x14ac:dyDescent="0.25">
      <c r="A176" s="860">
        <v>526</v>
      </c>
      <c r="B176" s="846">
        <v>526</v>
      </c>
      <c r="C176" s="860" t="s">
        <v>355</v>
      </c>
      <c r="D176" s="860" t="s">
        <v>560</v>
      </c>
      <c r="E176" s="516">
        <v>0</v>
      </c>
      <c r="F176" s="516">
        <v>0</v>
      </c>
      <c r="G176" s="516">
        <v>0</v>
      </c>
      <c r="H176" s="516">
        <v>8295340</v>
      </c>
      <c r="I176" s="516">
        <v>3940726</v>
      </c>
      <c r="J176" s="516">
        <v>62017</v>
      </c>
      <c r="K176" s="516">
        <v>275740</v>
      </c>
      <c r="L176" s="516">
        <v>0</v>
      </c>
      <c r="M176" s="516">
        <v>2593481</v>
      </c>
      <c r="N176" s="516">
        <v>0</v>
      </c>
      <c r="O176" s="516">
        <v>345732</v>
      </c>
      <c r="P176" s="516">
        <v>1517772</v>
      </c>
      <c r="Q176" s="516">
        <v>0</v>
      </c>
      <c r="R176" s="516">
        <v>1705490</v>
      </c>
      <c r="S176" s="516">
        <v>1426359</v>
      </c>
      <c r="T176" s="516">
        <v>42179600</v>
      </c>
      <c r="U176" s="516">
        <v>0</v>
      </c>
      <c r="V176" s="516">
        <v>4798682</v>
      </c>
      <c r="W176" s="516">
        <v>0</v>
      </c>
      <c r="X176" s="516">
        <v>0</v>
      </c>
      <c r="Y176" s="516">
        <v>0</v>
      </c>
      <c r="Z176" s="516">
        <v>656047</v>
      </c>
      <c r="AA176" s="516">
        <v>874802</v>
      </c>
      <c r="AB176" s="516">
        <v>426471</v>
      </c>
      <c r="AC176" s="516">
        <v>0</v>
      </c>
      <c r="AD176" s="516">
        <v>45887</v>
      </c>
      <c r="AE176" s="516">
        <v>316271</v>
      </c>
      <c r="AF176" s="516">
        <v>642685</v>
      </c>
      <c r="AG176" s="516">
        <v>11089</v>
      </c>
      <c r="AH176" s="516">
        <v>0</v>
      </c>
      <c r="AI176" s="516">
        <v>0</v>
      </c>
      <c r="AJ176" s="516">
        <v>103545</v>
      </c>
      <c r="AK176" s="516">
        <v>3383119</v>
      </c>
      <c r="AL176" s="516">
        <v>127644</v>
      </c>
      <c r="AM176" s="516">
        <v>0</v>
      </c>
      <c r="AN176" s="516">
        <v>3612665</v>
      </c>
      <c r="AO176" s="516">
        <v>4032319</v>
      </c>
      <c r="AP176" s="516">
        <v>26850</v>
      </c>
      <c r="AQ176" s="516">
        <v>0</v>
      </c>
      <c r="AR176" s="516">
        <v>1404570</v>
      </c>
      <c r="AS176" s="516">
        <v>484075</v>
      </c>
      <c r="AT176" s="516">
        <v>80188</v>
      </c>
      <c r="AU176" s="516">
        <v>576079</v>
      </c>
      <c r="AV176" s="516">
        <v>7593304</v>
      </c>
      <c r="AW176" s="516">
        <v>20572</v>
      </c>
      <c r="AX176" s="516">
        <v>184709</v>
      </c>
      <c r="AY176" s="516">
        <v>77624</v>
      </c>
      <c r="AZ176" s="516">
        <v>458820</v>
      </c>
      <c r="BA176" s="516">
        <v>2554109</v>
      </c>
      <c r="BB176" s="516">
        <v>0</v>
      </c>
      <c r="BC176" s="516">
        <v>0</v>
      </c>
      <c r="BD176" s="516">
        <v>0</v>
      </c>
      <c r="BE176" s="516">
        <v>0</v>
      </c>
      <c r="BF176" s="516">
        <v>0</v>
      </c>
      <c r="BG176" s="516">
        <v>194087</v>
      </c>
      <c r="BH176" s="516">
        <v>0</v>
      </c>
      <c r="BI176" s="516">
        <v>1004745</v>
      </c>
      <c r="BJ176" s="516">
        <v>217351</v>
      </c>
      <c r="BK176" s="516">
        <v>0</v>
      </c>
      <c r="BL176" s="516">
        <v>1616338</v>
      </c>
      <c r="BM176" s="516">
        <v>360362</v>
      </c>
      <c r="BN176" s="516">
        <v>0</v>
      </c>
      <c r="BO176" s="516">
        <v>3073645</v>
      </c>
      <c r="BP176" s="516">
        <v>385954</v>
      </c>
      <c r="BQ176" s="516">
        <v>87628</v>
      </c>
      <c r="BR176" s="516">
        <v>600933</v>
      </c>
      <c r="BS176" s="516">
        <v>0</v>
      </c>
      <c r="BT176" s="516">
        <v>0</v>
      </c>
      <c r="BU176" s="516">
        <v>2110200</v>
      </c>
      <c r="BV176" s="516">
        <v>794298</v>
      </c>
      <c r="BW176" s="516">
        <v>302792</v>
      </c>
      <c r="BX176" s="516">
        <v>0</v>
      </c>
      <c r="BY176" s="516">
        <v>0</v>
      </c>
      <c r="BZ176" s="516">
        <v>0</v>
      </c>
      <c r="CA176" s="516">
        <v>1155172</v>
      </c>
      <c r="CB176" s="516">
        <v>0</v>
      </c>
    </row>
    <row r="177" spans="1:80" x14ac:dyDescent="0.25">
      <c r="A177" s="860">
        <v>527</v>
      </c>
      <c r="B177" s="846">
        <v>527</v>
      </c>
      <c r="C177" s="860" t="s">
        <v>356</v>
      </c>
      <c r="D177" s="860" t="s">
        <v>561</v>
      </c>
      <c r="E177" s="516">
        <v>0</v>
      </c>
      <c r="F177" s="516">
        <v>0</v>
      </c>
      <c r="G177" s="516">
        <v>0</v>
      </c>
      <c r="H177" s="516">
        <v>0</v>
      </c>
      <c r="I177" s="516">
        <v>0</v>
      </c>
      <c r="J177" s="516">
        <v>0</v>
      </c>
      <c r="K177" s="516">
        <v>0</v>
      </c>
      <c r="L177" s="516">
        <v>0</v>
      </c>
      <c r="M177" s="516">
        <v>0</v>
      </c>
      <c r="N177" s="516">
        <v>0</v>
      </c>
      <c r="O177" s="516">
        <v>0</v>
      </c>
      <c r="P177" s="516">
        <v>0</v>
      </c>
      <c r="Q177" s="516">
        <v>0</v>
      </c>
      <c r="R177" s="516">
        <v>0</v>
      </c>
      <c r="S177" s="516">
        <v>0</v>
      </c>
      <c r="T177" s="516">
        <v>39890</v>
      </c>
      <c r="U177" s="516">
        <v>0</v>
      </c>
      <c r="V177" s="516">
        <v>9839461</v>
      </c>
      <c r="W177" s="516">
        <v>0</v>
      </c>
      <c r="X177" s="516">
        <v>0</v>
      </c>
      <c r="Y177" s="516">
        <v>0</v>
      </c>
      <c r="Z177" s="516">
        <v>0</v>
      </c>
      <c r="AA177" s="516">
        <v>6000</v>
      </c>
      <c r="AB177" s="516">
        <v>517285</v>
      </c>
      <c r="AC177" s="516">
        <v>0</v>
      </c>
      <c r="AD177" s="516">
        <v>0</v>
      </c>
      <c r="AE177" s="516">
        <v>0</v>
      </c>
      <c r="AF177" s="516">
        <v>1</v>
      </c>
      <c r="AG177" s="516">
        <v>0</v>
      </c>
      <c r="AH177" s="516">
        <v>0</v>
      </c>
      <c r="AI177" s="516">
        <v>0</v>
      </c>
      <c r="AJ177" s="516">
        <v>0</v>
      </c>
      <c r="AK177" s="516">
        <v>154477</v>
      </c>
      <c r="AL177" s="516">
        <v>0</v>
      </c>
      <c r="AM177" s="516">
        <v>0</v>
      </c>
      <c r="AN177" s="516">
        <v>0</v>
      </c>
      <c r="AO177" s="516">
        <v>0</v>
      </c>
      <c r="AP177" s="516">
        <v>0</v>
      </c>
      <c r="AQ177" s="516">
        <v>0</v>
      </c>
      <c r="AR177" s="516">
        <v>637286</v>
      </c>
      <c r="AS177" s="516">
        <v>0</v>
      </c>
      <c r="AT177" s="516">
        <v>0</v>
      </c>
      <c r="AU177" s="516">
        <v>0</v>
      </c>
      <c r="AV177" s="516">
        <v>403163</v>
      </c>
      <c r="AW177" s="516">
        <v>0</v>
      </c>
      <c r="AX177" s="516">
        <v>0</v>
      </c>
      <c r="AY177" s="516">
        <v>0</v>
      </c>
      <c r="AZ177" s="516">
        <v>0</v>
      </c>
      <c r="BA177" s="516">
        <v>705285</v>
      </c>
      <c r="BB177" s="516">
        <v>0</v>
      </c>
      <c r="BC177" s="516">
        <v>0</v>
      </c>
      <c r="BD177" s="516">
        <v>0</v>
      </c>
      <c r="BE177" s="516">
        <v>0</v>
      </c>
      <c r="BF177" s="516">
        <v>0</v>
      </c>
      <c r="BG177" s="516">
        <v>0</v>
      </c>
      <c r="BH177" s="516">
        <v>0</v>
      </c>
      <c r="BI177" s="516">
        <v>0</v>
      </c>
      <c r="BJ177" s="516">
        <v>0</v>
      </c>
      <c r="BK177" s="516">
        <v>0</v>
      </c>
      <c r="BL177" s="516">
        <v>19800</v>
      </c>
      <c r="BM177" s="516">
        <v>0</v>
      </c>
      <c r="BN177" s="516">
        <v>0</v>
      </c>
      <c r="BO177" s="516">
        <v>0</v>
      </c>
      <c r="BP177" s="516">
        <v>0</v>
      </c>
      <c r="BQ177" s="516">
        <v>0</v>
      </c>
      <c r="BR177" s="516">
        <v>0</v>
      </c>
      <c r="BS177" s="516">
        <v>0</v>
      </c>
      <c r="BT177" s="516">
        <v>0</v>
      </c>
      <c r="BU177" s="516">
        <v>0</v>
      </c>
      <c r="BV177" s="516">
        <v>0</v>
      </c>
      <c r="BW177" s="516">
        <v>0</v>
      </c>
      <c r="BX177" s="516">
        <v>0</v>
      </c>
      <c r="BY177" s="516">
        <v>0</v>
      </c>
      <c r="BZ177" s="516">
        <v>0</v>
      </c>
      <c r="CA177" s="516">
        <v>0</v>
      </c>
      <c r="CB177" s="516">
        <v>0</v>
      </c>
    </row>
    <row r="178" spans="1:80" x14ac:dyDescent="0.25">
      <c r="A178" s="860">
        <v>528</v>
      </c>
      <c r="B178" s="846">
        <v>528</v>
      </c>
      <c r="C178" s="860" t="s">
        <v>338</v>
      </c>
      <c r="D178" s="860" t="s">
        <v>562</v>
      </c>
      <c r="E178" s="516">
        <v>969744</v>
      </c>
      <c r="F178" s="516">
        <v>6603819</v>
      </c>
      <c r="G178" s="516">
        <v>0</v>
      </c>
      <c r="H178" s="516">
        <v>21545967</v>
      </c>
      <c r="I178" s="516">
        <v>2011677</v>
      </c>
      <c r="J178" s="516">
        <v>124107</v>
      </c>
      <c r="K178" s="516">
        <v>570860</v>
      </c>
      <c r="L178" s="516">
        <v>829548</v>
      </c>
      <c r="M178" s="516">
        <v>23699912</v>
      </c>
      <c r="N178" s="516">
        <v>21291</v>
      </c>
      <c r="O178" s="516">
        <v>327557</v>
      </c>
      <c r="P178" s="516">
        <v>766767</v>
      </c>
      <c r="Q178" s="516">
        <v>16305361</v>
      </c>
      <c r="R178" s="516">
        <v>8029332</v>
      </c>
      <c r="S178" s="516">
        <v>2437750</v>
      </c>
      <c r="T178" s="516">
        <v>7220030</v>
      </c>
      <c r="U178" s="516">
        <v>0</v>
      </c>
      <c r="V178" s="516">
        <v>8674595</v>
      </c>
      <c r="W178" s="516">
        <v>7281</v>
      </c>
      <c r="X178" s="516">
        <v>3873821</v>
      </c>
      <c r="Y178" s="516">
        <v>6971260</v>
      </c>
      <c r="Z178" s="516">
        <v>2856721</v>
      </c>
      <c r="AA178" s="516">
        <v>606139</v>
      </c>
      <c r="AB178" s="516">
        <v>3095899</v>
      </c>
      <c r="AC178" s="516">
        <v>583787</v>
      </c>
      <c r="AD178" s="516">
        <v>192812</v>
      </c>
      <c r="AE178" s="516">
        <v>0</v>
      </c>
      <c r="AF178" s="516">
        <v>1261074</v>
      </c>
      <c r="AG178" s="516">
        <v>24981</v>
      </c>
      <c r="AH178" s="516">
        <v>8375</v>
      </c>
      <c r="AI178" s="516">
        <v>32516</v>
      </c>
      <c r="AJ178" s="516">
        <v>1540296</v>
      </c>
      <c r="AK178" s="516">
        <v>3040399</v>
      </c>
      <c r="AL178" s="516">
        <v>43592</v>
      </c>
      <c r="AM178" s="516">
        <v>8536</v>
      </c>
      <c r="AN178" s="516">
        <v>5186100</v>
      </c>
      <c r="AO178" s="516">
        <v>8129555</v>
      </c>
      <c r="AP178" s="516">
        <v>112533</v>
      </c>
      <c r="AQ178" s="516">
        <v>2185822</v>
      </c>
      <c r="AR178" s="516">
        <v>9383918</v>
      </c>
      <c r="AS178" s="516">
        <v>1060587</v>
      </c>
      <c r="AT178" s="516">
        <v>72350</v>
      </c>
      <c r="AU178" s="516">
        <v>1635881</v>
      </c>
      <c r="AV178" s="516">
        <v>4475112</v>
      </c>
      <c r="AW178" s="516">
        <v>24900</v>
      </c>
      <c r="AX178" s="516">
        <v>199114</v>
      </c>
      <c r="AY178" s="516">
        <v>1449382</v>
      </c>
      <c r="AZ178" s="516">
        <v>1442021</v>
      </c>
      <c r="BA178" s="516">
        <v>1204367</v>
      </c>
      <c r="BB178" s="516">
        <v>23708</v>
      </c>
      <c r="BC178" s="516">
        <v>0</v>
      </c>
      <c r="BD178" s="516">
        <v>0</v>
      </c>
      <c r="BE178" s="516">
        <v>31252</v>
      </c>
      <c r="BF178" s="516">
        <v>0</v>
      </c>
      <c r="BG178" s="516">
        <v>58096</v>
      </c>
      <c r="BH178" s="516">
        <v>13303</v>
      </c>
      <c r="BI178" s="516">
        <v>1532170</v>
      </c>
      <c r="BJ178" s="516">
        <v>1653361</v>
      </c>
      <c r="BK178" s="516">
        <v>0</v>
      </c>
      <c r="BL178" s="516">
        <v>6074686</v>
      </c>
      <c r="BM178" s="516">
        <v>2058883</v>
      </c>
      <c r="BN178" s="516">
        <v>0</v>
      </c>
      <c r="BO178" s="516">
        <v>2246427</v>
      </c>
      <c r="BP178" s="516">
        <v>520493</v>
      </c>
      <c r="BQ178" s="516">
        <v>423791</v>
      </c>
      <c r="BR178" s="516">
        <v>893827</v>
      </c>
      <c r="BS178" s="516">
        <v>556578</v>
      </c>
      <c r="BT178" s="516">
        <v>11477840</v>
      </c>
      <c r="BU178" s="516">
        <v>689312</v>
      </c>
      <c r="BV178" s="516">
        <v>1348702</v>
      </c>
      <c r="BW178" s="516">
        <v>225535</v>
      </c>
      <c r="BX178" s="516">
        <v>437346</v>
      </c>
      <c r="BY178" s="516">
        <v>1840</v>
      </c>
      <c r="BZ178" s="516">
        <v>8175</v>
      </c>
      <c r="CA178" s="516">
        <v>9675740</v>
      </c>
      <c r="CB178" s="516">
        <v>42906</v>
      </c>
    </row>
    <row r="179" spans="1:80" x14ac:dyDescent="0.25">
      <c r="A179" s="860">
        <v>529</v>
      </c>
      <c r="B179" s="846">
        <v>529</v>
      </c>
      <c r="C179" s="860" t="s">
        <v>339</v>
      </c>
      <c r="D179" s="860" t="s">
        <v>563</v>
      </c>
      <c r="E179" s="516">
        <v>10902</v>
      </c>
      <c r="F179" s="516">
        <v>863639</v>
      </c>
      <c r="G179" s="516">
        <v>0</v>
      </c>
      <c r="H179" s="516">
        <v>2135749</v>
      </c>
      <c r="I179" s="516">
        <v>197305</v>
      </c>
      <c r="J179" s="516">
        <v>23678</v>
      </c>
      <c r="K179" s="516">
        <v>45059</v>
      </c>
      <c r="L179" s="516">
        <v>127607</v>
      </c>
      <c r="M179" s="516">
        <v>2412808</v>
      </c>
      <c r="N179" s="516">
        <v>4901</v>
      </c>
      <c r="O179" s="516">
        <v>33696</v>
      </c>
      <c r="P179" s="516">
        <v>55578</v>
      </c>
      <c r="Q179" s="516">
        <v>1550822</v>
      </c>
      <c r="R179" s="516">
        <v>328649</v>
      </c>
      <c r="S179" s="516">
        <v>258625</v>
      </c>
      <c r="T179" s="516">
        <v>333673</v>
      </c>
      <c r="U179" s="516">
        <v>0</v>
      </c>
      <c r="V179" s="516">
        <v>961605</v>
      </c>
      <c r="W179" s="516">
        <v>1284</v>
      </c>
      <c r="X179" s="516">
        <v>187746</v>
      </c>
      <c r="Y179" s="516">
        <v>687911</v>
      </c>
      <c r="Z179" s="516">
        <v>84737</v>
      </c>
      <c r="AA179" s="516">
        <v>99901</v>
      </c>
      <c r="AB179" s="516">
        <v>56837</v>
      </c>
      <c r="AC179" s="516">
        <v>84558</v>
      </c>
      <c r="AD179" s="516">
        <v>2254</v>
      </c>
      <c r="AE179" s="516">
        <v>27035</v>
      </c>
      <c r="AF179" s="516">
        <v>149176</v>
      </c>
      <c r="AG179" s="516">
        <v>3798</v>
      </c>
      <c r="AH179" s="516">
        <v>1481</v>
      </c>
      <c r="AI179" s="516">
        <v>5130</v>
      </c>
      <c r="AJ179" s="516">
        <v>110675</v>
      </c>
      <c r="AK179" s="516">
        <v>382618</v>
      </c>
      <c r="AL179" s="516">
        <v>8929</v>
      </c>
      <c r="AM179" s="516">
        <v>1525</v>
      </c>
      <c r="AN179" s="516">
        <v>535615</v>
      </c>
      <c r="AO179" s="516">
        <v>784269</v>
      </c>
      <c r="AP179" s="516">
        <v>17528</v>
      </c>
      <c r="AQ179" s="516">
        <v>265584</v>
      </c>
      <c r="AR179" s="516">
        <v>779372</v>
      </c>
      <c r="AS179" s="516">
        <v>136829</v>
      </c>
      <c r="AT179" s="516">
        <v>14714</v>
      </c>
      <c r="AU179" s="516">
        <v>252097</v>
      </c>
      <c r="AV179" s="516">
        <v>450797</v>
      </c>
      <c r="AW179" s="516">
        <v>3391</v>
      </c>
      <c r="AX179" s="516">
        <v>40125</v>
      </c>
      <c r="AY179" s="516">
        <v>139297</v>
      </c>
      <c r="AZ179" s="516">
        <v>162971</v>
      </c>
      <c r="BA179" s="516">
        <v>85336</v>
      </c>
      <c r="BB179" s="516">
        <v>2786</v>
      </c>
      <c r="BC179" s="516">
        <v>0</v>
      </c>
      <c r="BD179" s="516">
        <v>0</v>
      </c>
      <c r="BE179" s="516">
        <v>3555</v>
      </c>
      <c r="BF179" s="516">
        <v>0</v>
      </c>
      <c r="BG179" s="516">
        <v>13885</v>
      </c>
      <c r="BH179" s="516">
        <v>2220</v>
      </c>
      <c r="BI179" s="516">
        <v>121591</v>
      </c>
      <c r="BJ179" s="516">
        <v>88199</v>
      </c>
      <c r="BK179" s="516">
        <v>0</v>
      </c>
      <c r="BL179" s="516">
        <v>112192</v>
      </c>
      <c r="BM179" s="516">
        <v>81901</v>
      </c>
      <c r="BN179" s="516">
        <v>0</v>
      </c>
      <c r="BO179" s="516">
        <v>203301</v>
      </c>
      <c r="BP179" s="516">
        <v>51658</v>
      </c>
      <c r="BQ179" s="516">
        <v>26013</v>
      </c>
      <c r="BR179" s="516">
        <v>98050</v>
      </c>
      <c r="BS179" s="516">
        <v>51335</v>
      </c>
      <c r="BT179" s="516">
        <v>1663774</v>
      </c>
      <c r="BU179" s="516">
        <v>101305</v>
      </c>
      <c r="BV179" s="516">
        <v>92276</v>
      </c>
      <c r="BW179" s="516">
        <v>31492</v>
      </c>
      <c r="BX179" s="516">
        <v>27670</v>
      </c>
      <c r="BY179" s="516">
        <v>211</v>
      </c>
      <c r="BZ179" s="516">
        <v>1582</v>
      </c>
      <c r="CA179" s="516">
        <v>707468</v>
      </c>
      <c r="CB179" s="516">
        <v>6231</v>
      </c>
    </row>
    <row r="180" spans="1:80" x14ac:dyDescent="0.25">
      <c r="A180" s="860">
        <v>530</v>
      </c>
      <c r="B180" s="846">
        <v>530</v>
      </c>
      <c r="C180" s="860" t="s">
        <v>340</v>
      </c>
      <c r="D180" s="860" t="s">
        <v>564</v>
      </c>
      <c r="E180" s="516">
        <v>4583</v>
      </c>
      <c r="F180" s="516">
        <v>18428</v>
      </c>
      <c r="G180" s="516">
        <v>0</v>
      </c>
      <c r="H180" s="516">
        <v>155852</v>
      </c>
      <c r="I180" s="516">
        <v>9348</v>
      </c>
      <c r="J180" s="516">
        <v>11900</v>
      </c>
      <c r="K180" s="516">
        <v>30049</v>
      </c>
      <c r="L180" s="516">
        <v>30742</v>
      </c>
      <c r="M180" s="516">
        <v>440157</v>
      </c>
      <c r="N180" s="516">
        <v>1556</v>
      </c>
      <c r="O180" s="516">
        <v>10457</v>
      </c>
      <c r="P180" s="516">
        <v>3860</v>
      </c>
      <c r="Q180" s="516">
        <v>115088</v>
      </c>
      <c r="R180" s="516">
        <v>33857</v>
      </c>
      <c r="S180" s="516">
        <v>38567</v>
      </c>
      <c r="T180" s="516">
        <v>48161</v>
      </c>
      <c r="U180" s="516">
        <v>0</v>
      </c>
      <c r="V180" s="516">
        <v>247107</v>
      </c>
      <c r="W180" s="516">
        <v>538</v>
      </c>
      <c r="X180" s="516">
        <v>26460</v>
      </c>
      <c r="Y180" s="516">
        <v>15966</v>
      </c>
      <c r="Z180" s="516">
        <v>5911</v>
      </c>
      <c r="AA180" s="516">
        <v>30157</v>
      </c>
      <c r="AB180" s="516">
        <v>38679</v>
      </c>
      <c r="AC180" s="516">
        <v>5288</v>
      </c>
      <c r="AD180" s="516">
        <v>1116</v>
      </c>
      <c r="AE180" s="516">
        <v>5141</v>
      </c>
      <c r="AF180" s="516">
        <v>57252</v>
      </c>
      <c r="AG180" s="516">
        <v>2467</v>
      </c>
      <c r="AH180" s="516">
        <v>130</v>
      </c>
      <c r="AI180" s="516">
        <v>584</v>
      </c>
      <c r="AJ180" s="516">
        <v>6243</v>
      </c>
      <c r="AK180" s="516">
        <v>186275</v>
      </c>
      <c r="AL180" s="516">
        <v>1859</v>
      </c>
      <c r="AM180" s="516">
        <v>320</v>
      </c>
      <c r="AN180" s="516">
        <v>34599</v>
      </c>
      <c r="AO180" s="516">
        <v>376918</v>
      </c>
      <c r="AP180" s="516">
        <v>6686</v>
      </c>
      <c r="AQ180" s="516">
        <v>7611</v>
      </c>
      <c r="AR180" s="516">
        <v>320034</v>
      </c>
      <c r="AS180" s="516">
        <v>15819</v>
      </c>
      <c r="AT180" s="516">
        <v>4922</v>
      </c>
      <c r="AU180" s="516">
        <v>3285</v>
      </c>
      <c r="AV180" s="516">
        <v>80015</v>
      </c>
      <c r="AW180" s="516">
        <v>932</v>
      </c>
      <c r="AX180" s="516">
        <v>6062</v>
      </c>
      <c r="AY180" s="516">
        <v>27064</v>
      </c>
      <c r="AZ180" s="516">
        <v>44431</v>
      </c>
      <c r="BA180" s="516">
        <v>17935</v>
      </c>
      <c r="BB180" s="516">
        <v>1971</v>
      </c>
      <c r="BC180" s="516">
        <v>0</v>
      </c>
      <c r="BD180" s="516">
        <v>0</v>
      </c>
      <c r="BE180" s="516">
        <v>1204</v>
      </c>
      <c r="BF180" s="516">
        <v>0</v>
      </c>
      <c r="BG180" s="516">
        <v>7424</v>
      </c>
      <c r="BH180" s="516">
        <v>673</v>
      </c>
      <c r="BI180" s="516">
        <v>9456</v>
      </c>
      <c r="BJ180" s="516">
        <v>60457</v>
      </c>
      <c r="BK180" s="516">
        <v>0</v>
      </c>
      <c r="BL180" s="516">
        <v>19075</v>
      </c>
      <c r="BM180" s="516">
        <v>11583</v>
      </c>
      <c r="BN180" s="516">
        <v>0</v>
      </c>
      <c r="BO180" s="516">
        <v>22306</v>
      </c>
      <c r="BP180" s="516">
        <v>15363</v>
      </c>
      <c r="BQ180" s="516">
        <v>13977</v>
      </c>
      <c r="BR180" s="516">
        <v>16271</v>
      </c>
      <c r="BS180" s="516">
        <v>1087</v>
      </c>
      <c r="BT180" s="516">
        <v>45755</v>
      </c>
      <c r="BU180" s="516">
        <v>106155</v>
      </c>
      <c r="BV180" s="516">
        <v>11211</v>
      </c>
      <c r="BW180" s="516">
        <v>11141</v>
      </c>
      <c r="BX180" s="516">
        <v>1123</v>
      </c>
      <c r="BY180" s="516">
        <v>160</v>
      </c>
      <c r="BZ180" s="516">
        <v>323</v>
      </c>
      <c r="CA180" s="516">
        <v>49138</v>
      </c>
      <c r="CB180" s="516">
        <v>5284</v>
      </c>
    </row>
    <row r="181" spans="1:80" x14ac:dyDescent="0.25">
      <c r="A181" s="860">
        <v>531</v>
      </c>
      <c r="B181" s="846">
        <v>531</v>
      </c>
      <c r="C181" s="860" t="s">
        <v>341</v>
      </c>
      <c r="D181" s="860" t="s">
        <v>565</v>
      </c>
      <c r="E181" s="516">
        <v>0</v>
      </c>
      <c r="F181" s="516">
        <v>0</v>
      </c>
      <c r="G181" s="516">
        <v>0</v>
      </c>
      <c r="H181" s="516">
        <v>0</v>
      </c>
      <c r="I181" s="516">
        <v>0</v>
      </c>
      <c r="J181" s="516">
        <v>214</v>
      </c>
      <c r="K181" s="516">
        <v>0</v>
      </c>
      <c r="L181" s="516">
        <v>0</v>
      </c>
      <c r="M181" s="516">
        <v>0</v>
      </c>
      <c r="N181" s="516">
        <v>0</v>
      </c>
      <c r="O181" s="516">
        <v>0</v>
      </c>
      <c r="P181" s="516">
        <v>0</v>
      </c>
      <c r="Q181" s="516">
        <v>0</v>
      </c>
      <c r="R181" s="516">
        <v>0</v>
      </c>
      <c r="S181" s="516">
        <v>918</v>
      </c>
      <c r="T181" s="516">
        <v>0</v>
      </c>
      <c r="U181" s="516">
        <v>0</v>
      </c>
      <c r="V181" s="516">
        <v>0</v>
      </c>
      <c r="W181" s="516">
        <v>0</v>
      </c>
      <c r="X181" s="516">
        <v>0</v>
      </c>
      <c r="Y181" s="516">
        <v>4597</v>
      </c>
      <c r="Z181" s="516">
        <v>0</v>
      </c>
      <c r="AA181" s="516">
        <v>0</v>
      </c>
      <c r="AB181" s="516">
        <v>0</v>
      </c>
      <c r="AC181" s="516">
        <v>0</v>
      </c>
      <c r="AD181" s="516">
        <v>0</v>
      </c>
      <c r="AE181" s="516">
        <v>0</v>
      </c>
      <c r="AF181" s="516">
        <v>0</v>
      </c>
      <c r="AG181" s="516">
        <v>0</v>
      </c>
      <c r="AH181" s="516">
        <v>0</v>
      </c>
      <c r="AI181" s="516">
        <v>0</v>
      </c>
      <c r="AJ181" s="516">
        <v>581</v>
      </c>
      <c r="AK181" s="516">
        <v>0</v>
      </c>
      <c r="AL181" s="516">
        <v>0</v>
      </c>
      <c r="AM181" s="516">
        <v>0</v>
      </c>
      <c r="AN181" s="516">
        <v>0</v>
      </c>
      <c r="AO181" s="516">
        <v>0</v>
      </c>
      <c r="AP181" s="516">
        <v>0</v>
      </c>
      <c r="AQ181" s="516">
        <v>0</v>
      </c>
      <c r="AR181" s="516">
        <v>0</v>
      </c>
      <c r="AS181" s="516">
        <v>232</v>
      </c>
      <c r="AT181" s="516">
        <v>0</v>
      </c>
      <c r="AU181" s="516">
        <v>0</v>
      </c>
      <c r="AV181" s="516">
        <v>0</v>
      </c>
      <c r="AW181" s="516">
        <v>0</v>
      </c>
      <c r="AX181" s="516">
        <v>0</v>
      </c>
      <c r="AY181" s="516">
        <v>0</v>
      </c>
      <c r="AZ181" s="516">
        <v>0</v>
      </c>
      <c r="BA181" s="516">
        <v>0</v>
      </c>
      <c r="BB181" s="516">
        <v>0</v>
      </c>
      <c r="BC181" s="516">
        <v>0</v>
      </c>
      <c r="BD181" s="516">
        <v>0</v>
      </c>
      <c r="BE181" s="516">
        <v>0</v>
      </c>
      <c r="BF181" s="516">
        <v>0</v>
      </c>
      <c r="BG181" s="516">
        <v>0</v>
      </c>
      <c r="BH181" s="516">
        <v>8</v>
      </c>
      <c r="BI181" s="516">
        <v>0</v>
      </c>
      <c r="BJ181" s="516">
        <v>708</v>
      </c>
      <c r="BK181" s="516">
        <v>0</v>
      </c>
      <c r="BL181" s="516">
        <v>0</v>
      </c>
      <c r="BM181" s="516">
        <v>0</v>
      </c>
      <c r="BN181" s="516">
        <v>0</v>
      </c>
      <c r="BO181" s="516">
        <v>0</v>
      </c>
      <c r="BP181" s="516">
        <v>0</v>
      </c>
      <c r="BQ181" s="516">
        <v>0</v>
      </c>
      <c r="BR181" s="516">
        <v>0</v>
      </c>
      <c r="BS181" s="516">
        <v>0</v>
      </c>
      <c r="BT181" s="516">
        <v>0</v>
      </c>
      <c r="BU181" s="516">
        <v>1317</v>
      </c>
      <c r="BV181" s="516">
        <v>0</v>
      </c>
      <c r="BW181" s="516">
        <v>1219</v>
      </c>
      <c r="BX181" s="516">
        <v>0</v>
      </c>
      <c r="BY181" s="516">
        <v>0</v>
      </c>
      <c r="BZ181" s="516">
        <v>0</v>
      </c>
      <c r="CA181" s="516">
        <v>7114</v>
      </c>
      <c r="CB181" s="516">
        <v>0</v>
      </c>
    </row>
    <row r="182" spans="1:80" x14ac:dyDescent="0.25">
      <c r="A182" s="860">
        <v>532</v>
      </c>
      <c r="B182" s="846">
        <v>532</v>
      </c>
      <c r="C182" s="860" t="s">
        <v>666</v>
      </c>
      <c r="D182" s="860" t="s">
        <v>566</v>
      </c>
      <c r="E182" s="516">
        <v>2082244</v>
      </c>
      <c r="F182" s="516">
        <v>11823681</v>
      </c>
      <c r="G182" s="516">
        <v>0</v>
      </c>
      <c r="H182" s="516">
        <v>40041495</v>
      </c>
      <c r="I182" s="516">
        <v>4069835</v>
      </c>
      <c r="J182" s="516">
        <v>249092</v>
      </c>
      <c r="K182" s="516">
        <v>1073524</v>
      </c>
      <c r="L182" s="516">
        <v>2466989</v>
      </c>
      <c r="M182" s="516">
        <v>39760928</v>
      </c>
      <c r="N182" s="516">
        <v>88033</v>
      </c>
      <c r="O182" s="516">
        <v>865904</v>
      </c>
      <c r="P182" s="516">
        <v>1520015</v>
      </c>
      <c r="Q182" s="516">
        <v>31622382</v>
      </c>
      <c r="R182" s="516">
        <v>18686438</v>
      </c>
      <c r="S182" s="516">
        <v>8087094</v>
      </c>
      <c r="T182" s="516">
        <v>15768054</v>
      </c>
      <c r="U182" s="516">
        <v>0</v>
      </c>
      <c r="V182" s="516">
        <v>21052422</v>
      </c>
      <c r="W182" s="516">
        <v>25435</v>
      </c>
      <c r="X182" s="516">
        <v>9132087</v>
      </c>
      <c r="Y182" s="516">
        <v>15012730</v>
      </c>
      <c r="Z182" s="516">
        <v>6173676</v>
      </c>
      <c r="AA182" s="516">
        <v>1509388</v>
      </c>
      <c r="AB182" s="516">
        <v>5140038</v>
      </c>
      <c r="AC182" s="516">
        <v>1318645</v>
      </c>
      <c r="AD182" s="516">
        <v>326323</v>
      </c>
      <c r="AE182" s="516">
        <v>1374559</v>
      </c>
      <c r="AF182" s="516">
        <v>3437670</v>
      </c>
      <c r="AG182" s="516">
        <v>128079</v>
      </c>
      <c r="AH182" s="516">
        <v>37979</v>
      </c>
      <c r="AI182" s="516">
        <v>93921</v>
      </c>
      <c r="AJ182" s="516">
        <v>2723970</v>
      </c>
      <c r="AK182" s="516">
        <v>8031508</v>
      </c>
      <c r="AL182" s="516">
        <v>364368</v>
      </c>
      <c r="AM182" s="516">
        <v>23239</v>
      </c>
      <c r="AN182" s="516">
        <v>20084625</v>
      </c>
      <c r="AO182" s="516">
        <v>17314687</v>
      </c>
      <c r="AP182" s="516">
        <v>436564</v>
      </c>
      <c r="AQ182" s="516">
        <v>3886189</v>
      </c>
      <c r="AR182" s="516">
        <v>21698209</v>
      </c>
      <c r="AS182" s="516">
        <v>2604104</v>
      </c>
      <c r="AT182" s="516">
        <v>626679</v>
      </c>
      <c r="AU182" s="516">
        <v>7645088</v>
      </c>
      <c r="AV182" s="516">
        <v>11174683</v>
      </c>
      <c r="AW182" s="516">
        <v>304107</v>
      </c>
      <c r="AX182" s="516">
        <v>565179</v>
      </c>
      <c r="AY182" s="516">
        <v>2837575</v>
      </c>
      <c r="AZ182" s="516">
        <v>3998779</v>
      </c>
      <c r="BA182" s="516">
        <v>4007317</v>
      </c>
      <c r="BB182" s="516">
        <v>111857</v>
      </c>
      <c r="BC182" s="516">
        <v>0</v>
      </c>
      <c r="BD182" s="516">
        <v>0</v>
      </c>
      <c r="BE182" s="516">
        <v>75709</v>
      </c>
      <c r="BF182" s="516">
        <v>0</v>
      </c>
      <c r="BG182" s="516">
        <v>386743</v>
      </c>
      <c r="BH182" s="516">
        <v>55165</v>
      </c>
      <c r="BI182" s="516">
        <v>2986916</v>
      </c>
      <c r="BJ182" s="516">
        <v>2463025</v>
      </c>
      <c r="BK182" s="516">
        <v>0</v>
      </c>
      <c r="BL182" s="516">
        <v>9401916</v>
      </c>
      <c r="BM182" s="516">
        <v>4036431</v>
      </c>
      <c r="BN182" s="516">
        <v>41493</v>
      </c>
      <c r="BO182" s="516">
        <v>6753630</v>
      </c>
      <c r="BP182" s="516">
        <v>1863224</v>
      </c>
      <c r="BQ182" s="516">
        <v>915657</v>
      </c>
      <c r="BR182" s="516">
        <v>1823332</v>
      </c>
      <c r="BS182" s="516">
        <v>952432</v>
      </c>
      <c r="BT182" s="516">
        <v>22520066</v>
      </c>
      <c r="BU182" s="516">
        <v>1914813</v>
      </c>
      <c r="BV182" s="516">
        <v>2712514</v>
      </c>
      <c r="BW182" s="516">
        <v>1131937</v>
      </c>
      <c r="BX182" s="516">
        <v>1047055</v>
      </c>
      <c r="BY182" s="516">
        <v>27004</v>
      </c>
      <c r="BZ182" s="516">
        <v>44264</v>
      </c>
      <c r="CA182" s="516">
        <v>16171443</v>
      </c>
      <c r="CB182" s="516">
        <v>65366</v>
      </c>
    </row>
    <row r="183" spans="1:80" x14ac:dyDescent="0.25">
      <c r="A183" s="860">
        <v>533</v>
      </c>
      <c r="B183" s="846">
        <v>533</v>
      </c>
      <c r="C183" s="860" t="s">
        <v>667</v>
      </c>
      <c r="D183" s="860" t="s">
        <v>567</v>
      </c>
      <c r="E183" s="516">
        <v>11203</v>
      </c>
      <c r="F183" s="516">
        <v>0</v>
      </c>
      <c r="G183" s="516">
        <v>0</v>
      </c>
      <c r="H183" s="516">
        <v>1140255</v>
      </c>
      <c r="I183" s="516">
        <v>0</v>
      </c>
      <c r="J183" s="516">
        <v>0</v>
      </c>
      <c r="K183" s="516">
        <v>0</v>
      </c>
      <c r="L183" s="516">
        <v>0</v>
      </c>
      <c r="M183" s="516">
        <v>0</v>
      </c>
      <c r="N183" s="516">
        <v>0</v>
      </c>
      <c r="O183" s="516">
        <v>0</v>
      </c>
      <c r="P183" s="516">
        <v>13333</v>
      </c>
      <c r="Q183" s="516">
        <v>2849150</v>
      </c>
      <c r="R183" s="516">
        <v>828481</v>
      </c>
      <c r="S183" s="516">
        <v>1296541</v>
      </c>
      <c r="T183" s="516">
        <v>660154</v>
      </c>
      <c r="U183" s="516">
        <v>0</v>
      </c>
      <c r="V183" s="516">
        <v>172443</v>
      </c>
      <c r="W183" s="516">
        <v>0</v>
      </c>
      <c r="X183" s="516">
        <v>0</v>
      </c>
      <c r="Y183" s="516">
        <v>91800</v>
      </c>
      <c r="Z183" s="516">
        <v>233412</v>
      </c>
      <c r="AA183" s="516">
        <v>0</v>
      </c>
      <c r="AB183" s="516">
        <v>100225</v>
      </c>
      <c r="AC183" s="516">
        <v>0</v>
      </c>
      <c r="AD183" s="516">
        <v>0</v>
      </c>
      <c r="AE183" s="516">
        <v>0</v>
      </c>
      <c r="AF183" s="516">
        <v>0</v>
      </c>
      <c r="AG183" s="516">
        <v>0</v>
      </c>
      <c r="AH183" s="516">
        <v>0</v>
      </c>
      <c r="AI183" s="516">
        <v>0</v>
      </c>
      <c r="AJ183" s="516">
        <v>0</v>
      </c>
      <c r="AK183" s="516">
        <v>0</v>
      </c>
      <c r="AL183" s="516">
        <v>0</v>
      </c>
      <c r="AM183" s="516">
        <v>0</v>
      </c>
      <c r="AN183" s="516">
        <v>0</v>
      </c>
      <c r="AO183" s="516">
        <v>0</v>
      </c>
      <c r="AP183" s="516">
        <v>0</v>
      </c>
      <c r="AQ183" s="516">
        <v>0</v>
      </c>
      <c r="AR183" s="516">
        <v>0</v>
      </c>
      <c r="AS183" s="516">
        <v>0</v>
      </c>
      <c r="AT183" s="516">
        <v>0</v>
      </c>
      <c r="AU183" s="516">
        <v>1500000</v>
      </c>
      <c r="AV183" s="516">
        <v>0</v>
      </c>
      <c r="AW183" s="516">
        <v>0</v>
      </c>
      <c r="AX183" s="516">
        <v>0</v>
      </c>
      <c r="AY183" s="516">
        <v>0</v>
      </c>
      <c r="AZ183" s="516">
        <v>535000</v>
      </c>
      <c r="BA183" s="516">
        <v>275000</v>
      </c>
      <c r="BB183" s="516">
        <v>0</v>
      </c>
      <c r="BC183" s="516">
        <v>0</v>
      </c>
      <c r="BD183" s="516">
        <v>0</v>
      </c>
      <c r="BE183" s="516">
        <v>0</v>
      </c>
      <c r="BF183" s="516">
        <v>0</v>
      </c>
      <c r="BG183" s="516">
        <v>0</v>
      </c>
      <c r="BH183" s="516">
        <v>0</v>
      </c>
      <c r="BI183" s="516">
        <v>0</v>
      </c>
      <c r="BJ183" s="516">
        <v>0</v>
      </c>
      <c r="BK183" s="516">
        <v>0</v>
      </c>
      <c r="BL183" s="516">
        <v>0</v>
      </c>
      <c r="BM183" s="516">
        <v>0</v>
      </c>
      <c r="BN183" s="516">
        <v>0</v>
      </c>
      <c r="BO183" s="516">
        <v>0</v>
      </c>
      <c r="BP183" s="516">
        <v>0</v>
      </c>
      <c r="BQ183" s="516">
        <v>0</v>
      </c>
      <c r="BR183" s="516">
        <v>0</v>
      </c>
      <c r="BS183" s="516">
        <v>0</v>
      </c>
      <c r="BT183" s="516">
        <v>0</v>
      </c>
      <c r="BU183" s="516">
        <v>110000</v>
      </c>
      <c r="BV183" s="516">
        <v>0</v>
      </c>
      <c r="BW183" s="516">
        <v>0</v>
      </c>
      <c r="BX183" s="516">
        <v>0</v>
      </c>
      <c r="BY183" s="516">
        <v>0</v>
      </c>
      <c r="BZ183" s="516">
        <v>0</v>
      </c>
      <c r="CA183" s="516">
        <v>735468</v>
      </c>
      <c r="CB183" s="516">
        <v>0</v>
      </c>
    </row>
    <row r="184" spans="1:80" x14ac:dyDescent="0.25">
      <c r="A184" s="860"/>
      <c r="B184" s="846">
        <v>534</v>
      </c>
      <c r="C184" s="860" t="s">
        <v>342</v>
      </c>
      <c r="D184" s="860" t="s">
        <v>568</v>
      </c>
      <c r="E184" s="516"/>
      <c r="F184" s="516"/>
      <c r="G184" s="516"/>
      <c r="H184" s="516"/>
      <c r="I184" s="516"/>
      <c r="J184" s="516"/>
      <c r="K184" s="516"/>
      <c r="L184" s="516"/>
      <c r="M184" s="516"/>
      <c r="N184" s="516"/>
      <c r="O184" s="516"/>
      <c r="P184" s="516"/>
      <c r="Q184" s="516"/>
      <c r="R184" s="516"/>
      <c r="S184" s="516"/>
      <c r="T184" s="516"/>
      <c r="U184" s="516"/>
      <c r="V184" s="516"/>
      <c r="W184" s="516"/>
      <c r="X184" s="516"/>
      <c r="Y184" s="516"/>
      <c r="Z184" s="516"/>
      <c r="AA184" s="516"/>
      <c r="AB184" s="516"/>
      <c r="AC184" s="516"/>
      <c r="AD184" s="516"/>
      <c r="AE184" s="516"/>
      <c r="AF184" s="516"/>
      <c r="AG184" s="516"/>
      <c r="AH184" s="516"/>
      <c r="AI184" s="516"/>
      <c r="AJ184" s="516"/>
      <c r="AK184" s="516"/>
      <c r="AL184" s="516"/>
      <c r="AM184" s="516"/>
      <c r="AN184" s="516"/>
      <c r="AO184" s="516"/>
      <c r="AP184" s="516"/>
      <c r="AQ184" s="516"/>
      <c r="AR184" s="516"/>
      <c r="AS184" s="516"/>
      <c r="AT184" s="516"/>
      <c r="AU184" s="516"/>
      <c r="AV184" s="516"/>
      <c r="AW184" s="516"/>
      <c r="AX184" s="516"/>
      <c r="AY184" s="516"/>
      <c r="AZ184" s="516"/>
      <c r="BA184" s="516"/>
      <c r="BB184" s="516"/>
      <c r="BC184" s="516"/>
      <c r="BD184" s="516"/>
      <c r="BE184" s="516"/>
      <c r="BF184" s="516"/>
      <c r="BG184" s="516"/>
      <c r="BH184" s="516"/>
      <c r="BI184" s="516"/>
      <c r="BJ184" s="516"/>
      <c r="BK184" s="516"/>
      <c r="BL184" s="516"/>
      <c r="BM184" s="516"/>
      <c r="BN184" s="516"/>
      <c r="BO184" s="516"/>
      <c r="BP184" s="516"/>
      <c r="BQ184" s="516"/>
      <c r="BR184" s="516"/>
      <c r="BS184" s="516"/>
      <c r="BT184" s="516"/>
      <c r="BU184" s="516"/>
      <c r="BV184" s="516"/>
      <c r="BW184" s="516"/>
      <c r="BX184" s="516"/>
      <c r="BY184" s="516"/>
      <c r="BZ184" s="516"/>
      <c r="CA184" s="516"/>
      <c r="CB184" s="516"/>
    </row>
    <row r="185" spans="1:80" x14ac:dyDescent="0.25">
      <c r="A185" s="860">
        <v>535</v>
      </c>
      <c r="B185" s="846">
        <v>535</v>
      </c>
      <c r="C185" s="860" t="s">
        <v>320</v>
      </c>
      <c r="D185" s="860" t="s">
        <v>569</v>
      </c>
      <c r="E185" s="516">
        <v>0</v>
      </c>
      <c r="F185" s="516">
        <v>1749541</v>
      </c>
      <c r="G185" s="516">
        <v>0</v>
      </c>
      <c r="H185" s="516">
        <v>7170251</v>
      </c>
      <c r="I185" s="516">
        <v>0</v>
      </c>
      <c r="J185" s="516">
        <v>0</v>
      </c>
      <c r="K185" s="516">
        <v>0</v>
      </c>
      <c r="L185" s="516">
        <v>0</v>
      </c>
      <c r="M185" s="516">
        <v>42259291</v>
      </c>
      <c r="N185" s="516">
        <v>0</v>
      </c>
      <c r="O185" s="516">
        <v>0</v>
      </c>
      <c r="P185" s="516">
        <v>0</v>
      </c>
      <c r="Q185" s="516">
        <v>1588588</v>
      </c>
      <c r="R185" s="516">
        <v>510018</v>
      </c>
      <c r="S185" s="516">
        <v>0</v>
      </c>
      <c r="T185" s="516">
        <v>0</v>
      </c>
      <c r="U185" s="516">
        <v>0</v>
      </c>
      <c r="V185" s="516">
        <v>0</v>
      </c>
      <c r="W185" s="516">
        <v>0</v>
      </c>
      <c r="X185" s="516">
        <v>0</v>
      </c>
      <c r="Y185" s="516">
        <v>1216647</v>
      </c>
      <c r="Z185" s="516">
        <v>0</v>
      </c>
      <c r="AA185" s="516">
        <v>0</v>
      </c>
      <c r="AB185" s="516">
        <v>129859</v>
      </c>
      <c r="AC185" s="516">
        <v>0</v>
      </c>
      <c r="AD185" s="516">
        <v>0</v>
      </c>
      <c r="AE185" s="516">
        <v>0</v>
      </c>
      <c r="AF185" s="516">
        <v>0</v>
      </c>
      <c r="AG185" s="516">
        <v>0</v>
      </c>
      <c r="AH185" s="516">
        <v>0</v>
      </c>
      <c r="AI185" s="516">
        <v>0</v>
      </c>
      <c r="AJ185" s="516">
        <v>0</v>
      </c>
      <c r="AK185" s="516">
        <v>0</v>
      </c>
      <c r="AL185" s="516">
        <v>0</v>
      </c>
      <c r="AM185" s="516">
        <v>0</v>
      </c>
      <c r="AN185" s="516">
        <v>1462748</v>
      </c>
      <c r="AO185" s="516">
        <v>0</v>
      </c>
      <c r="AP185" s="516">
        <v>0</v>
      </c>
      <c r="AQ185" s="516">
        <v>0</v>
      </c>
      <c r="AR185" s="516">
        <v>287412</v>
      </c>
      <c r="AS185" s="516">
        <v>0</v>
      </c>
      <c r="AT185" s="516">
        <v>0</v>
      </c>
      <c r="AU185" s="516">
        <v>0</v>
      </c>
      <c r="AV185" s="516">
        <v>0</v>
      </c>
      <c r="AW185" s="516">
        <v>0</v>
      </c>
      <c r="AX185" s="516">
        <v>0</v>
      </c>
      <c r="AY185" s="516">
        <v>0</v>
      </c>
      <c r="AZ185" s="516">
        <v>0</v>
      </c>
      <c r="BA185" s="516">
        <v>0</v>
      </c>
      <c r="BB185" s="516">
        <v>0</v>
      </c>
      <c r="BC185" s="516">
        <v>0</v>
      </c>
      <c r="BD185" s="516">
        <v>0</v>
      </c>
      <c r="BE185" s="516">
        <v>0</v>
      </c>
      <c r="BF185" s="516">
        <v>0</v>
      </c>
      <c r="BG185" s="516">
        <v>0</v>
      </c>
      <c r="BH185" s="516">
        <v>0</v>
      </c>
      <c r="BI185" s="516">
        <v>0</v>
      </c>
      <c r="BJ185" s="516">
        <v>0</v>
      </c>
      <c r="BK185" s="516">
        <v>0</v>
      </c>
      <c r="BL185" s="516">
        <v>0</v>
      </c>
      <c r="BM185" s="516">
        <v>0</v>
      </c>
      <c r="BN185" s="516">
        <v>0</v>
      </c>
      <c r="BO185" s="516">
        <v>0</v>
      </c>
      <c r="BP185" s="516">
        <v>0</v>
      </c>
      <c r="BQ185" s="516">
        <v>0</v>
      </c>
      <c r="BR185" s="516">
        <v>0</v>
      </c>
      <c r="BS185" s="516">
        <v>0</v>
      </c>
      <c r="BT185" s="516">
        <v>0</v>
      </c>
      <c r="BU185" s="516">
        <v>1</v>
      </c>
      <c r="BV185" s="516">
        <v>0</v>
      </c>
      <c r="BW185" s="516">
        <v>0</v>
      </c>
      <c r="BX185" s="516">
        <v>0</v>
      </c>
      <c r="BY185" s="516">
        <v>0</v>
      </c>
      <c r="BZ185" s="516">
        <v>0</v>
      </c>
      <c r="CA185" s="516">
        <v>0</v>
      </c>
      <c r="CB185" s="516">
        <v>0</v>
      </c>
    </row>
    <row r="186" spans="1:80" x14ac:dyDescent="0.25">
      <c r="A186" s="860">
        <v>536</v>
      </c>
      <c r="B186" s="846">
        <v>536</v>
      </c>
      <c r="C186" s="860" t="s">
        <v>266</v>
      </c>
      <c r="D186" s="860" t="s">
        <v>570</v>
      </c>
      <c r="E186" s="516">
        <v>0</v>
      </c>
      <c r="F186" s="516">
        <v>2407357</v>
      </c>
      <c r="G186" s="516">
        <v>0</v>
      </c>
      <c r="H186" s="516">
        <v>4170728</v>
      </c>
      <c r="I186" s="516">
        <v>448379</v>
      </c>
      <c r="J186" s="516">
        <v>111447</v>
      </c>
      <c r="K186" s="516">
        <v>2829</v>
      </c>
      <c r="L186" s="516">
        <v>36363</v>
      </c>
      <c r="M186" s="516">
        <v>8144147</v>
      </c>
      <c r="N186" s="516">
        <v>32537</v>
      </c>
      <c r="O186" s="516">
        <v>151344</v>
      </c>
      <c r="P186" s="516">
        <v>145741</v>
      </c>
      <c r="Q186" s="516">
        <v>1710362</v>
      </c>
      <c r="R186" s="516">
        <v>3770384</v>
      </c>
      <c r="S186" s="516">
        <v>610</v>
      </c>
      <c r="T186" s="516">
        <v>325415</v>
      </c>
      <c r="U186" s="516">
        <v>0</v>
      </c>
      <c r="V186" s="516">
        <v>0</v>
      </c>
      <c r="W186" s="516">
        <v>102379</v>
      </c>
      <c r="X186" s="516">
        <v>2961035</v>
      </c>
      <c r="Y186" s="516">
        <v>805313</v>
      </c>
      <c r="Z186" s="516">
        <v>337927</v>
      </c>
      <c r="AA186" s="516">
        <v>279057</v>
      </c>
      <c r="AB186" s="516">
        <v>3668</v>
      </c>
      <c r="AC186" s="516">
        <v>150429</v>
      </c>
      <c r="AD186" s="516">
        <v>71311</v>
      </c>
      <c r="AE186" s="516">
        <v>297721</v>
      </c>
      <c r="AF186" s="516">
        <v>790558</v>
      </c>
      <c r="AG186" s="516">
        <v>14029</v>
      </c>
      <c r="AH186" s="516">
        <v>18433</v>
      </c>
      <c r="AI186" s="516">
        <v>157407</v>
      </c>
      <c r="AJ186" s="516">
        <v>0</v>
      </c>
      <c r="AK186" s="516">
        <v>24741</v>
      </c>
      <c r="AL186" s="516">
        <v>25590</v>
      </c>
      <c r="AM186" s="516">
        <v>0</v>
      </c>
      <c r="AN186" s="516">
        <v>1492839</v>
      </c>
      <c r="AO186" s="516">
        <v>0</v>
      </c>
      <c r="AP186" s="516">
        <v>71299</v>
      </c>
      <c r="AQ186" s="516">
        <v>731863</v>
      </c>
      <c r="AR186" s="516">
        <v>264789</v>
      </c>
      <c r="AS186" s="516">
        <v>239235</v>
      </c>
      <c r="AT186" s="516">
        <v>22368</v>
      </c>
      <c r="AU186" s="516">
        <v>147872</v>
      </c>
      <c r="AV186" s="516">
        <v>439672</v>
      </c>
      <c r="AW186" s="516">
        <v>1418</v>
      </c>
      <c r="AX186" s="516">
        <v>173934</v>
      </c>
      <c r="AY186" s="516">
        <v>585366</v>
      </c>
      <c r="AZ186" s="516">
        <v>737829</v>
      </c>
      <c r="BA186" s="516">
        <v>47146</v>
      </c>
      <c r="BB186" s="516">
        <v>28903</v>
      </c>
      <c r="BC186" s="516">
        <v>0</v>
      </c>
      <c r="BD186" s="516">
        <v>0</v>
      </c>
      <c r="BE186" s="516">
        <v>12833</v>
      </c>
      <c r="BF186" s="516">
        <v>0</v>
      </c>
      <c r="BG186" s="516">
        <v>73618</v>
      </c>
      <c r="BH186" s="516">
        <v>18670</v>
      </c>
      <c r="BI186" s="516">
        <v>0</v>
      </c>
      <c r="BJ186" s="516">
        <v>143197</v>
      </c>
      <c r="BK186" s="516">
        <v>0</v>
      </c>
      <c r="BL186" s="516">
        <v>177006</v>
      </c>
      <c r="BM186" s="516">
        <v>32700</v>
      </c>
      <c r="BN186" s="516">
        <v>0</v>
      </c>
      <c r="BO186" s="516">
        <v>291511</v>
      </c>
      <c r="BP186" s="516">
        <v>111153</v>
      </c>
      <c r="BQ186" s="516">
        <v>126546</v>
      </c>
      <c r="BR186" s="516">
        <v>172763</v>
      </c>
      <c r="BS186" s="516">
        <v>33020</v>
      </c>
      <c r="BT186" s="516">
        <v>679477</v>
      </c>
      <c r="BU186" s="516">
        <v>92639</v>
      </c>
      <c r="BV186" s="516">
        <v>188283</v>
      </c>
      <c r="BW186" s="516">
        <v>34257</v>
      </c>
      <c r="BX186" s="516">
        <v>56018</v>
      </c>
      <c r="BY186" s="516">
        <v>19797</v>
      </c>
      <c r="BZ186" s="516">
        <v>14754</v>
      </c>
      <c r="CA186" s="516">
        <v>769571</v>
      </c>
      <c r="CB186" s="516">
        <v>35194</v>
      </c>
    </row>
    <row r="187" spans="1:80" x14ac:dyDescent="0.25">
      <c r="A187" s="860">
        <v>537</v>
      </c>
      <c r="B187" s="846">
        <v>537</v>
      </c>
      <c r="C187" s="860" t="s">
        <v>1182</v>
      </c>
      <c r="D187" s="860" t="s">
        <v>571</v>
      </c>
      <c r="E187" s="862">
        <v>2</v>
      </c>
      <c r="F187" s="862">
        <v>0</v>
      </c>
      <c r="G187" s="862">
        <v>0</v>
      </c>
      <c r="H187" s="862">
        <v>1</v>
      </c>
      <c r="I187" s="862">
        <v>1</v>
      </c>
      <c r="J187" s="862">
        <v>1</v>
      </c>
      <c r="K187" s="862">
        <v>2</v>
      </c>
      <c r="L187" s="862">
        <v>1</v>
      </c>
      <c r="M187" s="862">
        <v>2</v>
      </c>
      <c r="N187" s="862">
        <v>2</v>
      </c>
      <c r="O187" s="862">
        <v>2</v>
      </c>
      <c r="P187" s="862">
        <v>2</v>
      </c>
      <c r="Q187" s="862">
        <v>2</v>
      </c>
      <c r="R187" s="862">
        <v>1</v>
      </c>
      <c r="S187" s="862">
        <v>1</v>
      </c>
      <c r="T187" s="862">
        <v>2</v>
      </c>
      <c r="U187" s="862">
        <v>0</v>
      </c>
      <c r="V187" s="862">
        <v>2</v>
      </c>
      <c r="W187" s="862">
        <v>0</v>
      </c>
      <c r="X187" s="862">
        <v>0</v>
      </c>
      <c r="Y187" s="862">
        <v>1</v>
      </c>
      <c r="Z187" s="862">
        <v>1</v>
      </c>
      <c r="AA187" s="862">
        <v>1</v>
      </c>
      <c r="AB187" s="862">
        <v>2</v>
      </c>
      <c r="AC187" s="862">
        <v>0</v>
      </c>
      <c r="AD187" s="862">
        <v>1</v>
      </c>
      <c r="AE187" s="862">
        <v>2</v>
      </c>
      <c r="AF187" s="862">
        <v>2</v>
      </c>
      <c r="AG187" s="862">
        <v>2</v>
      </c>
      <c r="AH187" s="862">
        <v>0</v>
      </c>
      <c r="AI187" s="862">
        <v>2</v>
      </c>
      <c r="AJ187" s="862">
        <v>1</v>
      </c>
      <c r="AK187" s="862">
        <v>2</v>
      </c>
      <c r="AL187" s="862">
        <v>2</v>
      </c>
      <c r="AM187" s="862">
        <v>2</v>
      </c>
      <c r="AN187" s="862">
        <v>2</v>
      </c>
      <c r="AO187" s="862">
        <v>1</v>
      </c>
      <c r="AP187" s="862">
        <v>2</v>
      </c>
      <c r="AQ187" s="862">
        <v>0</v>
      </c>
      <c r="AR187" s="862">
        <v>1</v>
      </c>
      <c r="AS187" s="862">
        <v>2</v>
      </c>
      <c r="AT187" s="862">
        <v>1</v>
      </c>
      <c r="AU187" s="862">
        <v>2</v>
      </c>
      <c r="AV187" s="862">
        <v>2</v>
      </c>
      <c r="AW187" s="862">
        <v>1</v>
      </c>
      <c r="AX187" s="862">
        <v>2</v>
      </c>
      <c r="AY187" s="862">
        <v>2</v>
      </c>
      <c r="AZ187" s="862">
        <v>1</v>
      </c>
      <c r="BA187" s="862">
        <v>2</v>
      </c>
      <c r="BB187" s="862">
        <v>0</v>
      </c>
      <c r="BC187" s="862">
        <v>0</v>
      </c>
      <c r="BD187" s="862">
        <v>0</v>
      </c>
      <c r="BE187" s="862">
        <v>0</v>
      </c>
      <c r="BF187" s="862">
        <v>0</v>
      </c>
      <c r="BG187" s="862">
        <v>1</v>
      </c>
      <c r="BH187" s="862">
        <v>2</v>
      </c>
      <c r="BI187" s="862">
        <v>2</v>
      </c>
      <c r="BJ187" s="862">
        <v>1</v>
      </c>
      <c r="BK187" s="862">
        <v>0</v>
      </c>
      <c r="BL187" s="862">
        <v>2</v>
      </c>
      <c r="BM187" s="862">
        <v>2</v>
      </c>
      <c r="BN187" s="862">
        <v>0</v>
      </c>
      <c r="BO187" s="862">
        <v>1</v>
      </c>
      <c r="BP187" s="862">
        <v>1</v>
      </c>
      <c r="BQ187" s="862">
        <v>1</v>
      </c>
      <c r="BR187" s="862">
        <v>2</v>
      </c>
      <c r="BS187" s="862">
        <v>2</v>
      </c>
      <c r="BT187" s="862">
        <v>2</v>
      </c>
      <c r="BU187" s="862">
        <v>2</v>
      </c>
      <c r="BV187" s="862">
        <v>1</v>
      </c>
      <c r="BW187" s="862">
        <v>2</v>
      </c>
      <c r="BX187" s="862">
        <v>1</v>
      </c>
      <c r="BY187" s="862">
        <v>0</v>
      </c>
      <c r="BZ187" s="862">
        <v>0</v>
      </c>
      <c r="CA187" s="862">
        <v>1</v>
      </c>
      <c r="CB187" s="862">
        <v>0</v>
      </c>
    </row>
    <row r="188" spans="1:80" x14ac:dyDescent="0.25">
      <c r="A188" s="860">
        <v>538</v>
      </c>
      <c r="B188" s="846">
        <v>538</v>
      </c>
      <c r="C188" s="860" t="s">
        <v>1183</v>
      </c>
      <c r="D188" s="860" t="s">
        <v>572</v>
      </c>
      <c r="E188" s="862">
        <v>2</v>
      </c>
      <c r="F188" s="862">
        <v>0</v>
      </c>
      <c r="G188" s="862">
        <v>0</v>
      </c>
      <c r="H188" s="862">
        <v>1</v>
      </c>
      <c r="I188" s="862">
        <v>1</v>
      </c>
      <c r="J188" s="862">
        <v>2</v>
      </c>
      <c r="K188" s="862">
        <v>2</v>
      </c>
      <c r="L188" s="862">
        <v>1</v>
      </c>
      <c r="M188" s="862">
        <v>1</v>
      </c>
      <c r="N188" s="862">
        <v>2</v>
      </c>
      <c r="O188" s="862">
        <v>2</v>
      </c>
      <c r="P188" s="862">
        <v>2</v>
      </c>
      <c r="Q188" s="862">
        <v>2</v>
      </c>
      <c r="R188" s="862">
        <v>1</v>
      </c>
      <c r="S188" s="862">
        <v>1</v>
      </c>
      <c r="T188" s="862">
        <v>2</v>
      </c>
      <c r="U188" s="862">
        <v>0</v>
      </c>
      <c r="V188" s="862">
        <v>2</v>
      </c>
      <c r="W188" s="862">
        <v>0</v>
      </c>
      <c r="X188" s="862">
        <v>0</v>
      </c>
      <c r="Y188" s="862">
        <v>2</v>
      </c>
      <c r="Z188" s="862">
        <v>1</v>
      </c>
      <c r="AA188" s="862">
        <v>2</v>
      </c>
      <c r="AB188" s="862">
        <v>2</v>
      </c>
      <c r="AC188" s="862">
        <v>0</v>
      </c>
      <c r="AD188" s="862">
        <v>2</v>
      </c>
      <c r="AE188" s="862">
        <v>2</v>
      </c>
      <c r="AF188" s="862">
        <v>2</v>
      </c>
      <c r="AG188" s="862">
        <v>2</v>
      </c>
      <c r="AH188" s="862">
        <v>0</v>
      </c>
      <c r="AI188" s="862">
        <v>2</v>
      </c>
      <c r="AJ188" s="862">
        <v>2</v>
      </c>
      <c r="AK188" s="862">
        <v>2</v>
      </c>
      <c r="AL188" s="862">
        <v>2</v>
      </c>
      <c r="AM188" s="862">
        <v>2</v>
      </c>
      <c r="AN188" s="862">
        <v>2</v>
      </c>
      <c r="AO188" s="862">
        <v>1</v>
      </c>
      <c r="AP188" s="862">
        <v>2</v>
      </c>
      <c r="AQ188" s="862">
        <v>0</v>
      </c>
      <c r="AR188" s="862">
        <v>1</v>
      </c>
      <c r="AS188" s="862">
        <v>2</v>
      </c>
      <c r="AT188" s="862">
        <v>1</v>
      </c>
      <c r="AU188" s="862">
        <v>1</v>
      </c>
      <c r="AV188" s="862">
        <v>2</v>
      </c>
      <c r="AW188" s="862">
        <v>2</v>
      </c>
      <c r="AX188" s="862">
        <v>2</v>
      </c>
      <c r="AY188" s="862">
        <v>2</v>
      </c>
      <c r="AZ188" s="862">
        <v>1</v>
      </c>
      <c r="BA188" s="862">
        <v>2</v>
      </c>
      <c r="BB188" s="862">
        <v>0</v>
      </c>
      <c r="BC188" s="862">
        <v>0</v>
      </c>
      <c r="BD188" s="862">
        <v>0</v>
      </c>
      <c r="BE188" s="862">
        <v>0</v>
      </c>
      <c r="BF188" s="862">
        <v>0</v>
      </c>
      <c r="BG188" s="862">
        <v>2</v>
      </c>
      <c r="BH188" s="862">
        <v>2</v>
      </c>
      <c r="BI188" s="862">
        <v>2</v>
      </c>
      <c r="BJ188" s="862">
        <v>2</v>
      </c>
      <c r="BK188" s="862">
        <v>0</v>
      </c>
      <c r="BL188" s="862">
        <v>2</v>
      </c>
      <c r="BM188" s="862">
        <v>2</v>
      </c>
      <c r="BN188" s="862">
        <v>0</v>
      </c>
      <c r="BO188" s="862">
        <v>1</v>
      </c>
      <c r="BP188" s="862">
        <v>1</v>
      </c>
      <c r="BQ188" s="862">
        <v>1</v>
      </c>
      <c r="BR188" s="862">
        <v>2</v>
      </c>
      <c r="BS188" s="862">
        <v>2</v>
      </c>
      <c r="BT188" s="862">
        <v>2</v>
      </c>
      <c r="BU188" s="862">
        <v>2</v>
      </c>
      <c r="BV188" s="862">
        <v>1</v>
      </c>
      <c r="BW188" s="862">
        <v>2</v>
      </c>
      <c r="BX188" s="862">
        <v>2</v>
      </c>
      <c r="BY188" s="862">
        <v>0</v>
      </c>
      <c r="BZ188" s="862">
        <v>0</v>
      </c>
      <c r="CA188" s="862">
        <v>2</v>
      </c>
      <c r="CB188" s="862">
        <v>0</v>
      </c>
    </row>
    <row r="189" spans="1:80" x14ac:dyDescent="0.25">
      <c r="A189" s="860"/>
      <c r="B189" s="846">
        <v>539</v>
      </c>
      <c r="C189" s="860" t="s">
        <v>1184</v>
      </c>
      <c r="D189" s="860" t="s">
        <v>573</v>
      </c>
      <c r="E189" s="516"/>
      <c r="F189" s="516"/>
      <c r="G189" s="516"/>
      <c r="H189" s="516"/>
      <c r="I189" s="516"/>
      <c r="J189" s="516"/>
      <c r="K189" s="516"/>
      <c r="L189" s="516"/>
      <c r="M189" s="516"/>
      <c r="N189" s="516"/>
      <c r="O189" s="516"/>
      <c r="P189" s="516"/>
      <c r="Q189" s="516"/>
      <c r="R189" s="516"/>
      <c r="S189" s="516"/>
      <c r="T189" s="516"/>
      <c r="U189" s="516"/>
      <c r="V189" s="516"/>
      <c r="W189" s="516"/>
      <c r="X189" s="516"/>
      <c r="Y189" s="516"/>
      <c r="Z189" s="516"/>
      <c r="AA189" s="516"/>
      <c r="AB189" s="516"/>
      <c r="AC189" s="516"/>
      <c r="AD189" s="516"/>
      <c r="AE189" s="516"/>
      <c r="AF189" s="516"/>
      <c r="AG189" s="516"/>
      <c r="AH189" s="516"/>
      <c r="AI189" s="516"/>
      <c r="AJ189" s="516"/>
      <c r="AK189" s="516"/>
      <c r="AL189" s="516"/>
      <c r="AM189" s="516"/>
      <c r="AN189" s="516"/>
      <c r="AO189" s="516"/>
      <c r="AP189" s="516"/>
      <c r="AQ189" s="516"/>
      <c r="AR189" s="516"/>
      <c r="AS189" s="516"/>
      <c r="AT189" s="516"/>
      <c r="AU189" s="516"/>
      <c r="AV189" s="516"/>
      <c r="AW189" s="516"/>
      <c r="AX189" s="516"/>
      <c r="AY189" s="516"/>
      <c r="AZ189" s="516"/>
      <c r="BA189" s="516"/>
      <c r="BB189" s="516"/>
      <c r="BC189" s="516"/>
      <c r="BD189" s="516"/>
      <c r="BE189" s="516"/>
      <c r="BF189" s="516"/>
      <c r="BG189" s="516"/>
      <c r="BH189" s="516"/>
      <c r="BI189" s="516"/>
      <c r="BJ189" s="516"/>
      <c r="BK189" s="516"/>
      <c r="BL189" s="516"/>
      <c r="BM189" s="516"/>
      <c r="BN189" s="516"/>
      <c r="BO189" s="516"/>
      <c r="BP189" s="516"/>
      <c r="BQ189" s="516"/>
      <c r="BR189" s="516"/>
      <c r="BS189" s="516"/>
      <c r="BT189" s="516"/>
      <c r="BU189" s="516"/>
      <c r="BV189" s="516"/>
      <c r="BW189" s="516"/>
      <c r="BX189" s="516"/>
      <c r="BY189" s="516"/>
      <c r="BZ189" s="516"/>
      <c r="CA189" s="516"/>
      <c r="CB189" s="516"/>
    </row>
    <row r="190" spans="1:80" x14ac:dyDescent="0.25">
      <c r="A190" s="860">
        <v>540</v>
      </c>
      <c r="B190" s="846">
        <v>540</v>
      </c>
      <c r="C190" s="860" t="s">
        <v>1185</v>
      </c>
      <c r="D190" s="860" t="s">
        <v>574</v>
      </c>
      <c r="E190" s="516">
        <v>0</v>
      </c>
      <c r="F190" s="516">
        <v>0</v>
      </c>
      <c r="G190" s="516">
        <v>0</v>
      </c>
      <c r="H190" s="516">
        <v>1488977</v>
      </c>
      <c r="I190" s="516">
        <v>546859</v>
      </c>
      <c r="J190" s="516">
        <v>4000</v>
      </c>
      <c r="K190" s="516">
        <v>714567</v>
      </c>
      <c r="L190" s="516">
        <v>72196</v>
      </c>
      <c r="M190" s="516">
        <v>0</v>
      </c>
      <c r="N190" s="516">
        <v>65608</v>
      </c>
      <c r="O190" s="516">
        <v>0</v>
      </c>
      <c r="P190" s="516">
        <v>50000</v>
      </c>
      <c r="Q190" s="516">
        <v>0</v>
      </c>
      <c r="R190" s="516">
        <v>1178473</v>
      </c>
      <c r="S190" s="516">
        <v>393125</v>
      </c>
      <c r="T190" s="516">
        <v>0</v>
      </c>
      <c r="U190" s="516">
        <v>0</v>
      </c>
      <c r="V190" s="516">
        <v>477070</v>
      </c>
      <c r="W190" s="516">
        <v>0</v>
      </c>
      <c r="X190" s="516">
        <v>0</v>
      </c>
      <c r="Y190" s="516">
        <v>700000</v>
      </c>
      <c r="Z190" s="516">
        <v>0</v>
      </c>
      <c r="AA190" s="516">
        <v>0</v>
      </c>
      <c r="AB190" s="516">
        <v>0</v>
      </c>
      <c r="AC190" s="516">
        <v>30986</v>
      </c>
      <c r="AD190" s="516">
        <v>0</v>
      </c>
      <c r="AE190" s="516">
        <v>80715</v>
      </c>
      <c r="AF190" s="516">
        <v>0</v>
      </c>
      <c r="AG190" s="516">
        <v>0</v>
      </c>
      <c r="AH190" s="516">
        <v>0</v>
      </c>
      <c r="AI190" s="516">
        <v>0</v>
      </c>
      <c r="AJ190" s="516">
        <v>0</v>
      </c>
      <c r="AK190" s="516">
        <v>544931</v>
      </c>
      <c r="AL190" s="516">
        <v>0</v>
      </c>
      <c r="AM190" s="516">
        <v>0</v>
      </c>
      <c r="AN190" s="516">
        <v>0</v>
      </c>
      <c r="AO190" s="516">
        <v>0</v>
      </c>
      <c r="AP190" s="516">
        <v>0</v>
      </c>
      <c r="AQ190" s="516">
        <v>75505</v>
      </c>
      <c r="AR190" s="516">
        <v>1564396</v>
      </c>
      <c r="AS190" s="516">
        <v>0</v>
      </c>
      <c r="AT190" s="516">
        <v>0</v>
      </c>
      <c r="AU190" s="516">
        <v>0</v>
      </c>
      <c r="AV190" s="516">
        <v>237000</v>
      </c>
      <c r="AW190" s="516">
        <v>0</v>
      </c>
      <c r="AX190" s="516">
        <v>0</v>
      </c>
      <c r="AY190" s="516">
        <v>0</v>
      </c>
      <c r="AZ190" s="516">
        <v>0</v>
      </c>
      <c r="BA190" s="516">
        <v>0</v>
      </c>
      <c r="BB190" s="516">
        <v>0</v>
      </c>
      <c r="BC190" s="516">
        <v>0</v>
      </c>
      <c r="BD190" s="516">
        <v>0</v>
      </c>
      <c r="BE190" s="516">
        <v>31975</v>
      </c>
      <c r="BF190" s="516">
        <v>0</v>
      </c>
      <c r="BG190" s="516">
        <v>0</v>
      </c>
      <c r="BH190" s="516">
        <v>0</v>
      </c>
      <c r="BI190" s="516">
        <v>0</v>
      </c>
      <c r="BJ190" s="516">
        <v>165331</v>
      </c>
      <c r="BK190" s="516">
        <v>0</v>
      </c>
      <c r="BL190" s="516">
        <v>151726</v>
      </c>
      <c r="BM190" s="516">
        <v>363444</v>
      </c>
      <c r="BN190" s="516">
        <v>0</v>
      </c>
      <c r="BO190" s="516">
        <v>426608</v>
      </c>
      <c r="BP190" s="516">
        <v>120000</v>
      </c>
      <c r="BQ190" s="516">
        <v>231848</v>
      </c>
      <c r="BR190" s="516">
        <v>285522</v>
      </c>
      <c r="BS190" s="516">
        <v>0</v>
      </c>
      <c r="BT190" s="516">
        <v>1350000</v>
      </c>
      <c r="BU190" s="516">
        <v>282000</v>
      </c>
      <c r="BV190" s="516">
        <v>0</v>
      </c>
      <c r="BW190" s="516">
        <v>0</v>
      </c>
      <c r="BX190" s="516">
        <v>0</v>
      </c>
      <c r="BY190" s="516">
        <v>0</v>
      </c>
      <c r="BZ190" s="516">
        <v>0</v>
      </c>
      <c r="CA190" s="516">
        <v>1500000</v>
      </c>
      <c r="CB190" s="516">
        <v>0</v>
      </c>
    </row>
    <row r="191" spans="1:80" x14ac:dyDescent="0.25">
      <c r="A191" s="860">
        <v>541</v>
      </c>
      <c r="B191" s="846">
        <v>541</v>
      </c>
      <c r="C191" s="860" t="s">
        <v>1186</v>
      </c>
      <c r="D191" s="860" t="s">
        <v>575</v>
      </c>
      <c r="E191" s="516">
        <v>0</v>
      </c>
      <c r="F191" s="516">
        <v>0</v>
      </c>
      <c r="G191" s="516">
        <v>0</v>
      </c>
      <c r="H191" s="516">
        <v>6376893</v>
      </c>
      <c r="I191" s="516">
        <v>1658793</v>
      </c>
      <c r="J191" s="516">
        <v>15302</v>
      </c>
      <c r="K191" s="516">
        <v>559421</v>
      </c>
      <c r="L191" s="516">
        <v>89506</v>
      </c>
      <c r="M191" s="516">
        <v>-180205</v>
      </c>
      <c r="N191" s="516">
        <v>0</v>
      </c>
      <c r="O191" s="516">
        <v>-70271</v>
      </c>
      <c r="P191" s="516">
        <v>35682</v>
      </c>
      <c r="Q191" s="516">
        <v>0</v>
      </c>
      <c r="R191" s="516">
        <v>70829</v>
      </c>
      <c r="S191" s="516">
        <v>725400</v>
      </c>
      <c r="T191" s="516">
        <v>2712837</v>
      </c>
      <c r="U191" s="516">
        <v>0</v>
      </c>
      <c r="V191" s="516">
        <v>-1875915</v>
      </c>
      <c r="W191" s="516">
        <v>0</v>
      </c>
      <c r="X191" s="516">
        <v>0</v>
      </c>
      <c r="Y191" s="516">
        <v>-58878</v>
      </c>
      <c r="Z191" s="516">
        <v>188173</v>
      </c>
      <c r="AA191" s="516">
        <v>265349</v>
      </c>
      <c r="AB191" s="516">
        <v>395768</v>
      </c>
      <c r="AC191" s="516">
        <v>0</v>
      </c>
      <c r="AD191" s="516">
        <v>-4096</v>
      </c>
      <c r="AE191" s="516">
        <v>88617</v>
      </c>
      <c r="AF191" s="516">
        <v>302028</v>
      </c>
      <c r="AG191" s="516">
        <v>12900</v>
      </c>
      <c r="AH191" s="516">
        <v>0</v>
      </c>
      <c r="AI191" s="516">
        <v>0</v>
      </c>
      <c r="AJ191" s="516">
        <v>79539</v>
      </c>
      <c r="AK191" s="516">
        <v>975656</v>
      </c>
      <c r="AL191" s="516">
        <v>5353</v>
      </c>
      <c r="AM191" s="516">
        <v>0</v>
      </c>
      <c r="AN191" s="516">
        <v>2907656</v>
      </c>
      <c r="AO191" s="516">
        <v>1435173</v>
      </c>
      <c r="AP191" s="516">
        <v>39773</v>
      </c>
      <c r="AQ191" s="516">
        <v>0</v>
      </c>
      <c r="AR191" s="516">
        <v>2081762</v>
      </c>
      <c r="AS191" s="516">
        <v>62673</v>
      </c>
      <c r="AT191" s="516">
        <v>15586</v>
      </c>
      <c r="AU191" s="516">
        <v>-537362</v>
      </c>
      <c r="AV191" s="516">
        <v>2335057</v>
      </c>
      <c r="AW191" s="516">
        <v>100736</v>
      </c>
      <c r="AX191" s="516">
        <v>-1008</v>
      </c>
      <c r="AY191" s="516">
        <v>271653</v>
      </c>
      <c r="AZ191" s="516">
        <v>246501</v>
      </c>
      <c r="BA191" s="516">
        <v>-16896</v>
      </c>
      <c r="BB191" s="516">
        <v>0</v>
      </c>
      <c r="BC191" s="516">
        <v>0</v>
      </c>
      <c r="BD191" s="516">
        <v>0</v>
      </c>
      <c r="BE191" s="516">
        <v>0</v>
      </c>
      <c r="BF191" s="516">
        <v>0</v>
      </c>
      <c r="BG191" s="516">
        <v>3956</v>
      </c>
      <c r="BH191" s="516">
        <v>0</v>
      </c>
      <c r="BI191" s="516">
        <v>-181820</v>
      </c>
      <c r="BJ191" s="516">
        <v>129033</v>
      </c>
      <c r="BK191" s="516">
        <v>0</v>
      </c>
      <c r="BL191" s="516">
        <v>145605</v>
      </c>
      <c r="BM191" s="516">
        <v>233787</v>
      </c>
      <c r="BN191" s="516">
        <v>0</v>
      </c>
      <c r="BO191" s="516">
        <v>271742</v>
      </c>
      <c r="BP191" s="516">
        <v>280417</v>
      </c>
      <c r="BQ191" s="516">
        <v>32608</v>
      </c>
      <c r="BR191" s="516">
        <v>211075</v>
      </c>
      <c r="BS191" s="516">
        <v>0</v>
      </c>
      <c r="BT191" s="516">
        <v>0</v>
      </c>
      <c r="BU191" s="516">
        <v>169475</v>
      </c>
      <c r="BV191" s="516">
        <v>149663</v>
      </c>
      <c r="BW191" s="516">
        <v>68253</v>
      </c>
      <c r="BX191" s="516">
        <v>168947</v>
      </c>
      <c r="BY191" s="516">
        <v>0</v>
      </c>
      <c r="BZ191" s="516">
        <v>0</v>
      </c>
      <c r="CA191" s="516">
        <v>251380</v>
      </c>
      <c r="CB191" s="516">
        <v>0</v>
      </c>
    </row>
    <row r="192" spans="1:80" x14ac:dyDescent="0.25">
      <c r="A192" s="860">
        <v>542</v>
      </c>
      <c r="B192" s="846">
        <v>542</v>
      </c>
      <c r="C192" s="860" t="s">
        <v>1187</v>
      </c>
      <c r="D192" s="860" t="s">
        <v>576</v>
      </c>
      <c r="E192" s="516">
        <v>0</v>
      </c>
      <c r="F192" s="516">
        <v>0</v>
      </c>
      <c r="G192" s="516">
        <v>0</v>
      </c>
      <c r="H192" s="516">
        <v>1279331</v>
      </c>
      <c r="I192" s="516">
        <v>370305</v>
      </c>
      <c r="J192" s="516">
        <v>0</v>
      </c>
      <c r="K192" s="516">
        <v>0</v>
      </c>
      <c r="L192" s="516">
        <v>0</v>
      </c>
      <c r="M192" s="516">
        <v>0</v>
      </c>
      <c r="N192" s="516">
        <v>0</v>
      </c>
      <c r="O192" s="516">
        <v>0</v>
      </c>
      <c r="P192" s="516">
        <v>0</v>
      </c>
      <c r="Q192" s="516">
        <v>0</v>
      </c>
      <c r="R192" s="516">
        <v>0</v>
      </c>
      <c r="S192" s="516">
        <v>0</v>
      </c>
      <c r="T192" s="516">
        <v>0</v>
      </c>
      <c r="U192" s="516">
        <v>0</v>
      </c>
      <c r="V192" s="516">
        <v>0</v>
      </c>
      <c r="W192" s="516">
        <v>0</v>
      </c>
      <c r="X192" s="516">
        <v>0</v>
      </c>
      <c r="Y192" s="516">
        <v>0</v>
      </c>
      <c r="Z192" s="516">
        <v>0</v>
      </c>
      <c r="AA192" s="516">
        <v>0</v>
      </c>
      <c r="AB192" s="516">
        <v>0</v>
      </c>
      <c r="AC192" s="516">
        <v>0</v>
      </c>
      <c r="AD192" s="516">
        <v>0</v>
      </c>
      <c r="AE192" s="516">
        <v>0</v>
      </c>
      <c r="AF192" s="516">
        <v>0</v>
      </c>
      <c r="AG192" s="516">
        <v>0</v>
      </c>
      <c r="AH192" s="516">
        <v>0</v>
      </c>
      <c r="AI192" s="516">
        <v>0</v>
      </c>
      <c r="AJ192" s="516">
        <v>53297</v>
      </c>
      <c r="AK192" s="516">
        <v>5111763</v>
      </c>
      <c r="AL192" s="516">
        <v>0</v>
      </c>
      <c r="AM192" s="516">
        <v>0</v>
      </c>
      <c r="AN192" s="516">
        <v>0</v>
      </c>
      <c r="AO192" s="516">
        <v>0</v>
      </c>
      <c r="AP192" s="516">
        <v>0</v>
      </c>
      <c r="AQ192" s="516">
        <v>0</v>
      </c>
      <c r="AR192" s="516">
        <v>0</v>
      </c>
      <c r="AS192" s="516">
        <v>0</v>
      </c>
      <c r="AT192" s="516">
        <v>0</v>
      </c>
      <c r="AU192" s="516">
        <v>0</v>
      </c>
      <c r="AV192" s="516">
        <v>0</v>
      </c>
      <c r="AW192" s="516">
        <v>0</v>
      </c>
      <c r="AX192" s="516">
        <v>0</v>
      </c>
      <c r="AY192" s="516">
        <v>0</v>
      </c>
      <c r="AZ192" s="516">
        <v>0</v>
      </c>
      <c r="BA192" s="516">
        <v>0</v>
      </c>
      <c r="BB192" s="516">
        <v>0</v>
      </c>
      <c r="BC192" s="516">
        <v>0</v>
      </c>
      <c r="BD192" s="516">
        <v>0</v>
      </c>
      <c r="BE192" s="516">
        <v>0</v>
      </c>
      <c r="BF192" s="516">
        <v>0</v>
      </c>
      <c r="BG192" s="516">
        <v>0</v>
      </c>
      <c r="BH192" s="516">
        <v>0</v>
      </c>
      <c r="BI192" s="516">
        <v>0</v>
      </c>
      <c r="BJ192" s="516">
        <v>0</v>
      </c>
      <c r="BK192" s="516">
        <v>0</v>
      </c>
      <c r="BL192" s="516">
        <v>34935</v>
      </c>
      <c r="BM192" s="516">
        <v>297000</v>
      </c>
      <c r="BN192" s="516">
        <v>0</v>
      </c>
      <c r="BO192" s="516">
        <v>304571</v>
      </c>
      <c r="BP192" s="516">
        <v>25000</v>
      </c>
      <c r="BQ192" s="516">
        <v>0</v>
      </c>
      <c r="BR192" s="516">
        <v>0</v>
      </c>
      <c r="BS192" s="516">
        <v>0</v>
      </c>
      <c r="BT192" s="516">
        <v>0</v>
      </c>
      <c r="BU192" s="516">
        <v>0</v>
      </c>
      <c r="BV192" s="516">
        <v>350000</v>
      </c>
      <c r="BW192" s="516">
        <v>0</v>
      </c>
      <c r="BX192" s="516">
        <v>0</v>
      </c>
      <c r="BY192" s="516">
        <v>0</v>
      </c>
      <c r="BZ192" s="516">
        <v>0</v>
      </c>
      <c r="CA192" s="516">
        <v>2327400</v>
      </c>
      <c r="CB192" s="516">
        <v>0</v>
      </c>
    </row>
    <row r="193" spans="1:80" x14ac:dyDescent="0.25">
      <c r="A193" s="860"/>
      <c r="B193" s="846">
        <v>543</v>
      </c>
      <c r="C193" s="860" t="s">
        <v>1188</v>
      </c>
      <c r="D193" s="860" t="s">
        <v>577</v>
      </c>
      <c r="E193" s="516">
        <v>0</v>
      </c>
      <c r="F193" s="516">
        <v>0</v>
      </c>
      <c r="G193" s="516">
        <v>0</v>
      </c>
      <c r="H193" s="516">
        <v>0</v>
      </c>
      <c r="I193" s="516">
        <v>0</v>
      </c>
      <c r="J193" s="516">
        <v>0</v>
      </c>
      <c r="K193" s="516">
        <v>0</v>
      </c>
      <c r="L193" s="516">
        <v>0</v>
      </c>
      <c r="M193" s="516">
        <v>0</v>
      </c>
      <c r="N193" s="516">
        <v>0</v>
      </c>
      <c r="O193" s="516">
        <v>0</v>
      </c>
      <c r="P193" s="516">
        <v>0</v>
      </c>
      <c r="Q193" s="516">
        <v>0</v>
      </c>
      <c r="R193" s="516">
        <v>0</v>
      </c>
      <c r="S193" s="516">
        <v>0</v>
      </c>
      <c r="T193" s="516">
        <v>0</v>
      </c>
      <c r="U193" s="516">
        <v>0</v>
      </c>
      <c r="V193" s="516">
        <v>0</v>
      </c>
      <c r="W193" s="516">
        <v>0</v>
      </c>
      <c r="X193" s="516">
        <v>0</v>
      </c>
      <c r="Y193" s="516">
        <v>0</v>
      </c>
      <c r="Z193" s="516">
        <v>0</v>
      </c>
      <c r="AA193" s="516">
        <v>0</v>
      </c>
      <c r="AB193" s="516">
        <v>0</v>
      </c>
      <c r="AC193" s="516">
        <v>0</v>
      </c>
      <c r="AD193" s="516">
        <v>0</v>
      </c>
      <c r="AE193" s="516">
        <v>0</v>
      </c>
      <c r="AF193" s="516">
        <v>0</v>
      </c>
      <c r="AG193" s="516">
        <v>0</v>
      </c>
      <c r="AH193" s="516">
        <v>0</v>
      </c>
      <c r="AI193" s="516">
        <v>0</v>
      </c>
      <c r="AJ193" s="516">
        <v>0</v>
      </c>
      <c r="AK193" s="516">
        <v>0</v>
      </c>
      <c r="AL193" s="516">
        <v>0</v>
      </c>
      <c r="AM193" s="516">
        <v>0</v>
      </c>
      <c r="AN193" s="516">
        <v>0</v>
      </c>
      <c r="AO193" s="516">
        <v>0</v>
      </c>
      <c r="AP193" s="516">
        <v>0</v>
      </c>
      <c r="AQ193" s="516">
        <v>0</v>
      </c>
      <c r="AR193" s="516">
        <v>0</v>
      </c>
      <c r="AS193" s="516">
        <v>0</v>
      </c>
      <c r="AT193" s="516">
        <v>0</v>
      </c>
      <c r="AU193" s="516">
        <v>0</v>
      </c>
      <c r="AV193" s="516">
        <v>0</v>
      </c>
      <c r="AW193" s="516">
        <v>0</v>
      </c>
      <c r="AX193" s="516">
        <v>0</v>
      </c>
      <c r="AY193" s="516">
        <v>0</v>
      </c>
      <c r="AZ193" s="516">
        <v>0</v>
      </c>
      <c r="BA193" s="516">
        <v>0</v>
      </c>
      <c r="BB193" s="516">
        <v>0</v>
      </c>
      <c r="BC193" s="516">
        <v>0</v>
      </c>
      <c r="BD193" s="516">
        <v>0</v>
      </c>
      <c r="BE193" s="516">
        <v>0</v>
      </c>
      <c r="BF193" s="516">
        <v>0</v>
      </c>
      <c r="BG193" s="516">
        <v>0</v>
      </c>
      <c r="BH193" s="516">
        <v>0</v>
      </c>
      <c r="BI193" s="516">
        <v>0</v>
      </c>
      <c r="BJ193" s="516">
        <v>0</v>
      </c>
      <c r="BK193" s="516">
        <v>0</v>
      </c>
      <c r="BL193" s="516">
        <v>0</v>
      </c>
      <c r="BM193" s="516">
        <v>0</v>
      </c>
      <c r="BN193" s="516">
        <v>0</v>
      </c>
      <c r="BO193" s="516">
        <v>0</v>
      </c>
      <c r="BP193" s="516">
        <v>0</v>
      </c>
      <c r="BQ193" s="516">
        <v>0</v>
      </c>
      <c r="BR193" s="516">
        <v>0</v>
      </c>
      <c r="BS193" s="516">
        <v>0</v>
      </c>
      <c r="BT193" s="516">
        <v>0</v>
      </c>
      <c r="BU193" s="516">
        <v>0</v>
      </c>
      <c r="BV193" s="516">
        <v>0</v>
      </c>
      <c r="BW193" s="516">
        <v>0</v>
      </c>
      <c r="BX193" s="516">
        <v>0</v>
      </c>
      <c r="BY193" s="516">
        <v>0</v>
      </c>
      <c r="BZ193" s="516">
        <v>0</v>
      </c>
      <c r="CA193" s="516">
        <v>0</v>
      </c>
      <c r="CB193" s="516">
        <v>0</v>
      </c>
    </row>
    <row r="194" spans="1:80" x14ac:dyDescent="0.25">
      <c r="A194" s="860">
        <v>544</v>
      </c>
      <c r="B194" s="846">
        <v>544</v>
      </c>
      <c r="C194" s="860" t="s">
        <v>60</v>
      </c>
      <c r="D194" s="860" t="s">
        <v>578</v>
      </c>
      <c r="E194" s="862">
        <v>0</v>
      </c>
      <c r="F194" s="862">
        <v>0</v>
      </c>
      <c r="G194" s="862">
        <v>0</v>
      </c>
      <c r="H194" s="862">
        <v>0</v>
      </c>
      <c r="I194" s="862">
        <v>0</v>
      </c>
      <c r="J194" s="862">
        <v>0.03</v>
      </c>
      <c r="K194" s="862">
        <v>0.01</v>
      </c>
      <c r="L194" s="862">
        <v>0</v>
      </c>
      <c r="M194" s="862">
        <v>0</v>
      </c>
      <c r="N194" s="862">
        <v>0</v>
      </c>
      <c r="O194" s="862">
        <v>0</v>
      </c>
      <c r="P194" s="862">
        <v>0</v>
      </c>
      <c r="Q194" s="862">
        <v>0</v>
      </c>
      <c r="R194" s="862">
        <v>0</v>
      </c>
      <c r="S194" s="862">
        <v>0</v>
      </c>
      <c r="T194" s="862">
        <v>0</v>
      </c>
      <c r="U194" s="862">
        <v>0</v>
      </c>
      <c r="V194" s="862">
        <v>0</v>
      </c>
      <c r="W194" s="862">
        <v>0</v>
      </c>
      <c r="X194" s="862">
        <v>0</v>
      </c>
      <c r="Y194" s="862">
        <v>0</v>
      </c>
      <c r="Z194" s="862">
        <v>4.5</v>
      </c>
      <c r="AA194" s="862">
        <v>0</v>
      </c>
      <c r="AB194" s="862">
        <v>0.08</v>
      </c>
      <c r="AC194" s="862">
        <v>0.01</v>
      </c>
      <c r="AD194" s="862">
        <v>0</v>
      </c>
      <c r="AE194" s="862">
        <v>0</v>
      </c>
      <c r="AF194" s="862">
        <v>0</v>
      </c>
      <c r="AG194" s="862">
        <v>0</v>
      </c>
      <c r="AH194" s="862">
        <v>0</v>
      </c>
      <c r="AI194" s="862">
        <v>0</v>
      </c>
      <c r="AJ194" s="862">
        <v>0</v>
      </c>
      <c r="AK194" s="862">
        <v>0</v>
      </c>
      <c r="AL194" s="862">
        <v>0</v>
      </c>
      <c r="AM194" s="862">
        <v>0</v>
      </c>
      <c r="AN194" s="862">
        <v>0</v>
      </c>
      <c r="AO194" s="862">
        <v>0</v>
      </c>
      <c r="AP194" s="862">
        <v>0</v>
      </c>
      <c r="AQ194" s="862">
        <v>0</v>
      </c>
      <c r="AR194" s="862">
        <v>0</v>
      </c>
      <c r="AS194" s="862">
        <v>0</v>
      </c>
      <c r="AT194" s="862">
        <v>0</v>
      </c>
      <c r="AU194" s="862">
        <v>0</v>
      </c>
      <c r="AV194" s="862">
        <v>0</v>
      </c>
      <c r="AW194" s="862">
        <v>0</v>
      </c>
      <c r="AX194" s="862">
        <v>0</v>
      </c>
      <c r="AY194" s="862">
        <v>0</v>
      </c>
      <c r="AZ194" s="862">
        <v>0.05</v>
      </c>
      <c r="BA194" s="862">
        <v>0</v>
      </c>
      <c r="BB194" s="862">
        <v>0</v>
      </c>
      <c r="BC194" s="862">
        <v>0</v>
      </c>
      <c r="BD194" s="862">
        <v>0</v>
      </c>
      <c r="BE194" s="862">
        <v>0</v>
      </c>
      <c r="BF194" s="862">
        <v>0</v>
      </c>
      <c r="BG194" s="862">
        <v>0</v>
      </c>
      <c r="BH194" s="862">
        <v>0</v>
      </c>
      <c r="BI194" s="862">
        <v>0</v>
      </c>
      <c r="BJ194" s="862">
        <v>0</v>
      </c>
      <c r="BK194" s="862">
        <v>0</v>
      </c>
      <c r="BL194" s="862">
        <v>0</v>
      </c>
      <c r="BM194" s="862">
        <v>0</v>
      </c>
      <c r="BN194" s="862">
        <v>0</v>
      </c>
      <c r="BO194" s="862">
        <v>0</v>
      </c>
      <c r="BP194" s="862">
        <v>0</v>
      </c>
      <c r="BQ194" s="862">
        <v>0</v>
      </c>
      <c r="BR194" s="862">
        <v>0</v>
      </c>
      <c r="BS194" s="862">
        <v>0</v>
      </c>
      <c r="BT194" s="862">
        <v>0.02</v>
      </c>
      <c r="BU194" s="862">
        <v>0</v>
      </c>
      <c r="BV194" s="862">
        <v>0</v>
      </c>
      <c r="BW194" s="862">
        <v>0</v>
      </c>
      <c r="BX194" s="862">
        <v>0</v>
      </c>
      <c r="BY194" s="862">
        <v>0</v>
      </c>
      <c r="BZ194" s="862">
        <v>0</v>
      </c>
      <c r="CA194" s="862">
        <v>0</v>
      </c>
      <c r="CB194" s="862">
        <v>0</v>
      </c>
    </row>
    <row r="195" spans="1:80" x14ac:dyDescent="0.25">
      <c r="A195" s="860">
        <v>545</v>
      </c>
      <c r="B195" s="846">
        <v>545</v>
      </c>
      <c r="C195" s="860" t="s">
        <v>61</v>
      </c>
      <c r="D195" s="860" t="s">
        <v>579</v>
      </c>
      <c r="E195" s="862">
        <v>0.03</v>
      </c>
      <c r="F195" s="862">
        <v>0</v>
      </c>
      <c r="G195" s="862">
        <v>0</v>
      </c>
      <c r="H195" s="862">
        <v>0</v>
      </c>
      <c r="I195" s="862">
        <v>0</v>
      </c>
      <c r="J195" s="862">
        <v>0</v>
      </c>
      <c r="K195" s="862">
        <v>0.01</v>
      </c>
      <c r="L195" s="862">
        <v>0</v>
      </c>
      <c r="M195" s="862">
        <v>0</v>
      </c>
      <c r="N195" s="862">
        <v>0</v>
      </c>
      <c r="O195" s="862">
        <v>0</v>
      </c>
      <c r="P195" s="862">
        <v>0</v>
      </c>
      <c r="Q195" s="862">
        <v>0</v>
      </c>
      <c r="R195" s="862">
        <v>0</v>
      </c>
      <c r="S195" s="862">
        <v>0</v>
      </c>
      <c r="T195" s="862">
        <v>0</v>
      </c>
      <c r="U195" s="862">
        <v>0</v>
      </c>
      <c r="V195" s="862">
        <v>0.03</v>
      </c>
      <c r="W195" s="862">
        <v>0</v>
      </c>
      <c r="X195" s="862">
        <v>0</v>
      </c>
      <c r="Y195" s="862">
        <v>0</v>
      </c>
      <c r="Z195" s="862">
        <v>0</v>
      </c>
      <c r="AA195" s="862">
        <v>0</v>
      </c>
      <c r="AB195" s="862">
        <v>0</v>
      </c>
      <c r="AC195" s="862">
        <v>0</v>
      </c>
      <c r="AD195" s="862">
        <v>0</v>
      </c>
      <c r="AE195" s="862">
        <v>0</v>
      </c>
      <c r="AF195" s="862">
        <v>0</v>
      </c>
      <c r="AG195" s="862">
        <v>0.4</v>
      </c>
      <c r="AH195" s="862">
        <v>0</v>
      </c>
      <c r="AI195" s="862">
        <v>0</v>
      </c>
      <c r="AJ195" s="862">
        <v>0.01</v>
      </c>
      <c r="AK195" s="862">
        <v>0</v>
      </c>
      <c r="AL195" s="862">
        <v>0</v>
      </c>
      <c r="AM195" s="862">
        <v>0</v>
      </c>
      <c r="AN195" s="862">
        <v>0</v>
      </c>
      <c r="AO195" s="862">
        <v>0</v>
      </c>
      <c r="AP195" s="862">
        <v>0</v>
      </c>
      <c r="AQ195" s="862">
        <v>0</v>
      </c>
      <c r="AR195" s="862">
        <v>0</v>
      </c>
      <c r="AS195" s="862">
        <v>0</v>
      </c>
      <c r="AT195" s="862">
        <v>0</v>
      </c>
      <c r="AU195" s="862">
        <v>0</v>
      </c>
      <c r="AV195" s="862">
        <v>0</v>
      </c>
      <c r="AW195" s="862">
        <v>0</v>
      </c>
      <c r="AX195" s="862">
        <v>0</v>
      </c>
      <c r="AY195" s="862">
        <v>0</v>
      </c>
      <c r="AZ195" s="862">
        <v>0</v>
      </c>
      <c r="BA195" s="862">
        <v>0</v>
      </c>
      <c r="BB195" s="862">
        <v>0</v>
      </c>
      <c r="BC195" s="862">
        <v>0</v>
      </c>
      <c r="BD195" s="862">
        <v>0</v>
      </c>
      <c r="BE195" s="862">
        <v>0</v>
      </c>
      <c r="BF195" s="862">
        <v>0</v>
      </c>
      <c r="BG195" s="862">
        <v>6</v>
      </c>
      <c r="BH195" s="862">
        <v>0</v>
      </c>
      <c r="BI195" s="862">
        <v>0</v>
      </c>
      <c r="BJ195" s="862">
        <v>0</v>
      </c>
      <c r="BK195" s="862">
        <v>0</v>
      </c>
      <c r="BL195" s="862">
        <v>0</v>
      </c>
      <c r="BM195" s="862">
        <v>0</v>
      </c>
      <c r="BN195" s="862">
        <v>0</v>
      </c>
      <c r="BO195" s="862">
        <v>0</v>
      </c>
      <c r="BP195" s="862">
        <v>0</v>
      </c>
      <c r="BQ195" s="862">
        <v>0</v>
      </c>
      <c r="BR195" s="862">
        <v>0</v>
      </c>
      <c r="BS195" s="862">
        <v>0</v>
      </c>
      <c r="BT195" s="862">
        <v>0</v>
      </c>
      <c r="BU195" s="862">
        <v>0</v>
      </c>
      <c r="BV195" s="862">
        <v>0</v>
      </c>
      <c r="BW195" s="862">
        <v>0</v>
      </c>
      <c r="BX195" s="862">
        <v>0</v>
      </c>
      <c r="BY195" s="862">
        <v>0</v>
      </c>
      <c r="BZ195" s="862">
        <v>0</v>
      </c>
      <c r="CA195" s="862">
        <v>0</v>
      </c>
      <c r="CB195" s="862">
        <v>0</v>
      </c>
    </row>
    <row r="196" spans="1:80" x14ac:dyDescent="0.25">
      <c r="A196" s="860"/>
      <c r="B196" s="846">
        <v>546</v>
      </c>
      <c r="C196" s="860" t="s">
        <v>1189</v>
      </c>
      <c r="D196" s="860" t="s">
        <v>580</v>
      </c>
      <c r="E196" s="516"/>
      <c r="F196" s="516"/>
      <c r="G196" s="516"/>
      <c r="H196" s="516"/>
      <c r="I196" s="516"/>
      <c r="J196" s="516"/>
      <c r="K196" s="516"/>
      <c r="L196" s="516"/>
      <c r="M196" s="516"/>
      <c r="N196" s="516"/>
      <c r="O196" s="516"/>
      <c r="P196" s="516"/>
      <c r="Q196" s="516"/>
      <c r="R196" s="516"/>
      <c r="S196" s="516"/>
      <c r="T196" s="516"/>
      <c r="U196" s="516"/>
      <c r="V196" s="516"/>
      <c r="W196" s="516"/>
      <c r="X196" s="516"/>
      <c r="Y196" s="516"/>
      <c r="Z196" s="516"/>
      <c r="AA196" s="516"/>
      <c r="AB196" s="516"/>
      <c r="AC196" s="516"/>
      <c r="AD196" s="516"/>
      <c r="AE196" s="516"/>
      <c r="AF196" s="516"/>
      <c r="AG196" s="516"/>
      <c r="AH196" s="516"/>
      <c r="AI196" s="516"/>
      <c r="AJ196" s="516"/>
      <c r="AK196" s="516"/>
      <c r="AL196" s="516"/>
      <c r="AM196" s="516"/>
      <c r="AN196" s="516"/>
      <c r="AO196" s="516"/>
      <c r="AP196" s="516"/>
      <c r="AQ196" s="516"/>
      <c r="AR196" s="516"/>
      <c r="AS196" s="516"/>
      <c r="AT196" s="516"/>
      <c r="AU196" s="516"/>
      <c r="AV196" s="516"/>
      <c r="AW196" s="516"/>
      <c r="AX196" s="516"/>
      <c r="AY196" s="516"/>
      <c r="AZ196" s="516"/>
      <c r="BA196" s="516"/>
      <c r="BB196" s="516"/>
      <c r="BC196" s="516"/>
      <c r="BD196" s="516"/>
      <c r="BE196" s="516"/>
      <c r="BF196" s="516"/>
      <c r="BG196" s="516"/>
      <c r="BH196" s="516"/>
      <c r="BI196" s="516"/>
      <c r="BJ196" s="516"/>
      <c r="BK196" s="516"/>
      <c r="BL196" s="516"/>
      <c r="BM196" s="516"/>
      <c r="BN196" s="516"/>
      <c r="BO196" s="516"/>
      <c r="BP196" s="516"/>
      <c r="BQ196" s="516"/>
      <c r="BR196" s="516"/>
      <c r="BS196" s="516"/>
      <c r="BT196" s="516"/>
      <c r="BU196" s="516"/>
      <c r="BV196" s="516"/>
      <c r="BW196" s="516"/>
      <c r="BX196" s="516"/>
      <c r="BY196" s="516"/>
      <c r="BZ196" s="516"/>
      <c r="CA196" s="516"/>
      <c r="CB196" s="516"/>
    </row>
    <row r="197" spans="1:80" x14ac:dyDescent="0.25">
      <c r="A197" s="860">
        <v>547</v>
      </c>
      <c r="B197" s="846">
        <v>547</v>
      </c>
      <c r="C197" s="860" t="s">
        <v>1200</v>
      </c>
      <c r="D197" s="860" t="s">
        <v>581</v>
      </c>
      <c r="E197" s="516">
        <v>2</v>
      </c>
      <c r="F197" s="516">
        <v>2</v>
      </c>
      <c r="G197" s="516">
        <v>0</v>
      </c>
      <c r="H197" s="516">
        <v>1</v>
      </c>
      <c r="I197" s="516">
        <v>3</v>
      </c>
      <c r="J197" s="516">
        <v>3</v>
      </c>
      <c r="K197" s="516">
        <v>2</v>
      </c>
      <c r="L197" s="516">
        <v>3</v>
      </c>
      <c r="M197" s="516">
        <v>3</v>
      </c>
      <c r="N197" s="516">
        <v>2</v>
      </c>
      <c r="O197" s="516">
        <v>3</v>
      </c>
      <c r="P197" s="516">
        <v>2</v>
      </c>
      <c r="Q197" s="516">
        <v>3</v>
      </c>
      <c r="R197" s="516">
        <v>3</v>
      </c>
      <c r="S197" s="516">
        <v>3</v>
      </c>
      <c r="T197" s="516">
        <v>3</v>
      </c>
      <c r="U197" s="516">
        <v>0</v>
      </c>
      <c r="V197" s="516">
        <v>3</v>
      </c>
      <c r="W197" s="516">
        <v>2</v>
      </c>
      <c r="X197" s="516">
        <v>3</v>
      </c>
      <c r="Y197" s="516">
        <v>3</v>
      </c>
      <c r="Z197" s="516">
        <v>3</v>
      </c>
      <c r="AA197" s="516">
        <v>3</v>
      </c>
      <c r="AB197" s="516">
        <v>4</v>
      </c>
      <c r="AC197" s="516">
        <v>2</v>
      </c>
      <c r="AD197" s="516">
        <v>2</v>
      </c>
      <c r="AE197" s="516">
        <v>2</v>
      </c>
      <c r="AF197" s="516">
        <v>2</v>
      </c>
      <c r="AG197" s="516">
        <v>2</v>
      </c>
      <c r="AH197" s="516">
        <v>2</v>
      </c>
      <c r="AI197" s="516">
        <v>2</v>
      </c>
      <c r="AJ197" s="516">
        <v>2</v>
      </c>
      <c r="AK197" s="516">
        <v>3</v>
      </c>
      <c r="AL197" s="516">
        <v>2</v>
      </c>
      <c r="AM197" s="516">
        <v>2</v>
      </c>
      <c r="AN197" s="516">
        <v>2</v>
      </c>
      <c r="AO197" s="516">
        <v>3</v>
      </c>
      <c r="AP197" s="516">
        <v>2</v>
      </c>
      <c r="AQ197" s="516">
        <v>2</v>
      </c>
      <c r="AR197" s="516">
        <v>3</v>
      </c>
      <c r="AS197" s="516">
        <v>2</v>
      </c>
      <c r="AT197" s="516">
        <v>3</v>
      </c>
      <c r="AU197" s="516">
        <v>3</v>
      </c>
      <c r="AV197" s="516">
        <v>3</v>
      </c>
      <c r="AW197" s="516">
        <v>2</v>
      </c>
      <c r="AX197" s="516">
        <v>2</v>
      </c>
      <c r="AY197" s="516">
        <v>2</v>
      </c>
      <c r="AZ197" s="516">
        <v>1</v>
      </c>
      <c r="BA197" s="516">
        <v>3</v>
      </c>
      <c r="BB197" s="516">
        <v>2</v>
      </c>
      <c r="BC197" s="516">
        <v>0</v>
      </c>
      <c r="BD197" s="516">
        <v>0</v>
      </c>
      <c r="BE197" s="516">
        <v>2</v>
      </c>
      <c r="BF197" s="516">
        <v>0</v>
      </c>
      <c r="BG197" s="516">
        <v>2</v>
      </c>
      <c r="BH197" s="516">
        <v>2</v>
      </c>
      <c r="BI197" s="516">
        <v>3</v>
      </c>
      <c r="BJ197" s="516">
        <v>3</v>
      </c>
      <c r="BK197" s="516">
        <v>0</v>
      </c>
      <c r="BL197" s="516">
        <v>3</v>
      </c>
      <c r="BM197" s="516">
        <v>3</v>
      </c>
      <c r="BN197" s="516">
        <v>2</v>
      </c>
      <c r="BO197" s="516">
        <v>3</v>
      </c>
      <c r="BP197" s="516">
        <v>2</v>
      </c>
      <c r="BQ197" s="516">
        <v>2</v>
      </c>
      <c r="BR197" s="516">
        <v>2</v>
      </c>
      <c r="BS197" s="516">
        <v>2</v>
      </c>
      <c r="BT197" s="516">
        <v>1</v>
      </c>
      <c r="BU197" s="516">
        <v>2</v>
      </c>
      <c r="BV197" s="516">
        <v>3</v>
      </c>
      <c r="BW197" s="516">
        <v>2</v>
      </c>
      <c r="BX197" s="516">
        <v>2</v>
      </c>
      <c r="BY197" s="516">
        <v>2</v>
      </c>
      <c r="BZ197" s="516">
        <v>2</v>
      </c>
      <c r="CA197" s="516">
        <v>3</v>
      </c>
      <c r="CB197" s="516">
        <v>2</v>
      </c>
    </row>
    <row r="198" spans="1:80" x14ac:dyDescent="0.25">
      <c r="A198" s="860"/>
      <c r="B198" s="846">
        <v>548</v>
      </c>
      <c r="C198" s="860" t="s">
        <v>629</v>
      </c>
      <c r="D198" s="860" t="s">
        <v>668</v>
      </c>
      <c r="E198" s="516">
        <v>0</v>
      </c>
      <c r="F198" s="516">
        <v>0</v>
      </c>
      <c r="G198" s="516">
        <v>0</v>
      </c>
      <c r="H198" s="516">
        <v>0</v>
      </c>
      <c r="I198" s="516">
        <v>0</v>
      </c>
      <c r="J198" s="516">
        <v>0</v>
      </c>
      <c r="K198" s="516">
        <v>0</v>
      </c>
      <c r="L198" s="516">
        <v>0</v>
      </c>
      <c r="M198" s="516">
        <v>0</v>
      </c>
      <c r="N198" s="516">
        <v>0</v>
      </c>
      <c r="O198" s="516">
        <v>0</v>
      </c>
      <c r="P198" s="516">
        <v>0</v>
      </c>
      <c r="Q198" s="516">
        <v>0</v>
      </c>
      <c r="R198" s="516">
        <v>0</v>
      </c>
      <c r="S198" s="516">
        <v>0</v>
      </c>
      <c r="T198" s="516">
        <v>0</v>
      </c>
      <c r="U198" s="516">
        <v>0</v>
      </c>
      <c r="V198" s="516">
        <v>0</v>
      </c>
      <c r="W198" s="516">
        <v>0</v>
      </c>
      <c r="X198" s="516">
        <v>0</v>
      </c>
      <c r="Y198" s="516">
        <v>0</v>
      </c>
      <c r="Z198" s="516">
        <v>0</v>
      </c>
      <c r="AA198" s="516">
        <v>0</v>
      </c>
      <c r="AB198" s="516">
        <v>0</v>
      </c>
      <c r="AC198" s="516">
        <v>0</v>
      </c>
      <c r="AD198" s="516">
        <v>0</v>
      </c>
      <c r="AE198" s="516">
        <v>0</v>
      </c>
      <c r="AF198" s="516">
        <v>0</v>
      </c>
      <c r="AG198" s="516">
        <v>0</v>
      </c>
      <c r="AH198" s="516">
        <v>0</v>
      </c>
      <c r="AI198" s="516">
        <v>0</v>
      </c>
      <c r="AJ198" s="516">
        <v>0</v>
      </c>
      <c r="AK198" s="516">
        <v>0</v>
      </c>
      <c r="AL198" s="516">
        <v>0</v>
      </c>
      <c r="AM198" s="516">
        <v>0</v>
      </c>
      <c r="AN198" s="516">
        <v>0</v>
      </c>
      <c r="AO198" s="516">
        <v>0</v>
      </c>
      <c r="AP198" s="516">
        <v>0</v>
      </c>
      <c r="AQ198" s="516">
        <v>0</v>
      </c>
      <c r="AR198" s="516">
        <v>0</v>
      </c>
      <c r="AS198" s="516">
        <v>0</v>
      </c>
      <c r="AT198" s="516">
        <v>0</v>
      </c>
      <c r="AU198" s="516">
        <v>0</v>
      </c>
      <c r="AV198" s="516">
        <v>0</v>
      </c>
      <c r="AW198" s="516">
        <v>0</v>
      </c>
      <c r="AX198" s="516">
        <v>0</v>
      </c>
      <c r="AY198" s="516">
        <v>0</v>
      </c>
      <c r="AZ198" s="516">
        <v>0</v>
      </c>
      <c r="BA198" s="516">
        <v>0</v>
      </c>
      <c r="BB198" s="516">
        <v>0</v>
      </c>
      <c r="BC198" s="516">
        <v>0</v>
      </c>
      <c r="BD198" s="516">
        <v>0</v>
      </c>
      <c r="BE198" s="516">
        <v>0</v>
      </c>
      <c r="BF198" s="516">
        <v>0</v>
      </c>
      <c r="BG198" s="516">
        <v>0</v>
      </c>
      <c r="BH198" s="516">
        <v>0</v>
      </c>
      <c r="BI198" s="516">
        <v>0</v>
      </c>
      <c r="BJ198" s="516">
        <v>0</v>
      </c>
      <c r="BK198" s="516">
        <v>0</v>
      </c>
      <c r="BL198" s="516">
        <v>0</v>
      </c>
      <c r="BM198" s="516">
        <v>0</v>
      </c>
      <c r="BN198" s="516">
        <v>0</v>
      </c>
      <c r="BO198" s="516">
        <v>0</v>
      </c>
      <c r="BP198" s="516">
        <v>0</v>
      </c>
      <c r="BQ198" s="516">
        <v>0</v>
      </c>
      <c r="BR198" s="516">
        <v>0</v>
      </c>
      <c r="BS198" s="516">
        <v>0</v>
      </c>
      <c r="BT198" s="516">
        <v>0</v>
      </c>
      <c r="BU198" s="516">
        <v>0</v>
      </c>
      <c r="BV198" s="516">
        <v>0</v>
      </c>
      <c r="BW198" s="516">
        <v>0</v>
      </c>
      <c r="BX198" s="516">
        <v>0</v>
      </c>
      <c r="BY198" s="516">
        <v>0</v>
      </c>
      <c r="BZ198" s="516">
        <v>0</v>
      </c>
      <c r="CA198" s="516">
        <v>0</v>
      </c>
      <c r="CB198" s="516">
        <v>0</v>
      </c>
    </row>
    <row r="199" spans="1:80" x14ac:dyDescent="0.25">
      <c r="A199" s="860"/>
      <c r="B199" s="846">
        <v>549</v>
      </c>
      <c r="C199" s="860" t="s">
        <v>1191</v>
      </c>
      <c r="D199" s="860" t="s">
        <v>669</v>
      </c>
      <c r="E199" s="516">
        <v>0</v>
      </c>
      <c r="F199" s="516">
        <v>0</v>
      </c>
      <c r="G199" s="516">
        <v>0</v>
      </c>
      <c r="H199" s="516">
        <v>0</v>
      </c>
      <c r="I199" s="516">
        <v>0</v>
      </c>
      <c r="J199" s="516">
        <v>0</v>
      </c>
      <c r="K199" s="516">
        <v>0</v>
      </c>
      <c r="L199" s="516">
        <v>0</v>
      </c>
      <c r="M199" s="516">
        <v>0</v>
      </c>
      <c r="N199" s="516">
        <v>0</v>
      </c>
      <c r="O199" s="516">
        <v>0</v>
      </c>
      <c r="P199" s="516">
        <v>0</v>
      </c>
      <c r="Q199" s="516">
        <v>0</v>
      </c>
      <c r="R199" s="516">
        <v>0</v>
      </c>
      <c r="S199" s="516">
        <v>0</v>
      </c>
      <c r="T199" s="516">
        <v>0</v>
      </c>
      <c r="U199" s="516">
        <v>0</v>
      </c>
      <c r="V199" s="516">
        <v>0</v>
      </c>
      <c r="W199" s="516">
        <v>0</v>
      </c>
      <c r="X199" s="516">
        <v>0</v>
      </c>
      <c r="Y199" s="516">
        <v>0</v>
      </c>
      <c r="Z199" s="516">
        <v>0</v>
      </c>
      <c r="AA199" s="516">
        <v>0</v>
      </c>
      <c r="AB199" s="516">
        <v>0</v>
      </c>
      <c r="AC199" s="516">
        <v>0</v>
      </c>
      <c r="AD199" s="516">
        <v>0</v>
      </c>
      <c r="AE199" s="516">
        <v>0</v>
      </c>
      <c r="AF199" s="516">
        <v>0</v>
      </c>
      <c r="AG199" s="516">
        <v>0</v>
      </c>
      <c r="AH199" s="516">
        <v>0</v>
      </c>
      <c r="AI199" s="516">
        <v>0</v>
      </c>
      <c r="AJ199" s="516">
        <v>0</v>
      </c>
      <c r="AK199" s="516">
        <v>0</v>
      </c>
      <c r="AL199" s="516">
        <v>0</v>
      </c>
      <c r="AM199" s="516">
        <v>0</v>
      </c>
      <c r="AN199" s="516">
        <v>0</v>
      </c>
      <c r="AO199" s="516">
        <v>0</v>
      </c>
      <c r="AP199" s="516">
        <v>0</v>
      </c>
      <c r="AQ199" s="516">
        <v>0</v>
      </c>
      <c r="AR199" s="516">
        <v>0</v>
      </c>
      <c r="AS199" s="516">
        <v>0</v>
      </c>
      <c r="AT199" s="516">
        <v>0</v>
      </c>
      <c r="AU199" s="516">
        <v>0</v>
      </c>
      <c r="AV199" s="516">
        <v>0</v>
      </c>
      <c r="AW199" s="516">
        <v>0</v>
      </c>
      <c r="AX199" s="516">
        <v>0</v>
      </c>
      <c r="AY199" s="516">
        <v>0</v>
      </c>
      <c r="AZ199" s="516">
        <v>0</v>
      </c>
      <c r="BA199" s="516">
        <v>0</v>
      </c>
      <c r="BB199" s="516">
        <v>0</v>
      </c>
      <c r="BC199" s="516">
        <v>0</v>
      </c>
      <c r="BD199" s="516">
        <v>0</v>
      </c>
      <c r="BE199" s="516">
        <v>0</v>
      </c>
      <c r="BF199" s="516">
        <v>0</v>
      </c>
      <c r="BG199" s="516">
        <v>0</v>
      </c>
      <c r="BH199" s="516">
        <v>0</v>
      </c>
      <c r="BI199" s="516">
        <v>0</v>
      </c>
      <c r="BJ199" s="516">
        <v>0</v>
      </c>
      <c r="BK199" s="516">
        <v>0</v>
      </c>
      <c r="BL199" s="516">
        <v>0</v>
      </c>
      <c r="BM199" s="516">
        <v>0</v>
      </c>
      <c r="BN199" s="516">
        <v>0</v>
      </c>
      <c r="BO199" s="516">
        <v>0</v>
      </c>
      <c r="BP199" s="516">
        <v>0</v>
      </c>
      <c r="BQ199" s="516">
        <v>0</v>
      </c>
      <c r="BR199" s="516">
        <v>0</v>
      </c>
      <c r="BS199" s="516">
        <v>0</v>
      </c>
      <c r="BT199" s="516">
        <v>0</v>
      </c>
      <c r="BU199" s="516">
        <v>0</v>
      </c>
      <c r="BV199" s="516">
        <v>0</v>
      </c>
      <c r="BW199" s="516">
        <v>0</v>
      </c>
      <c r="BX199" s="516">
        <v>0</v>
      </c>
      <c r="BY199" s="516">
        <v>0</v>
      </c>
      <c r="BZ199" s="516">
        <v>0</v>
      </c>
      <c r="CA199" s="516">
        <v>0</v>
      </c>
      <c r="CB199" s="516">
        <v>0</v>
      </c>
    </row>
    <row r="200" spans="1:80" x14ac:dyDescent="0.25">
      <c r="A200" s="860"/>
      <c r="B200" s="846">
        <v>550</v>
      </c>
      <c r="C200" s="860" t="s">
        <v>670</v>
      </c>
      <c r="D200" s="860" t="s">
        <v>671</v>
      </c>
      <c r="E200" s="516">
        <v>0</v>
      </c>
      <c r="F200" s="516">
        <v>0</v>
      </c>
      <c r="G200" s="516">
        <v>0</v>
      </c>
      <c r="H200" s="516">
        <v>0</v>
      </c>
      <c r="I200" s="516">
        <v>0</v>
      </c>
      <c r="J200" s="516">
        <v>0</v>
      </c>
      <c r="K200" s="516">
        <v>0</v>
      </c>
      <c r="L200" s="516">
        <v>0</v>
      </c>
      <c r="M200" s="516">
        <v>0</v>
      </c>
      <c r="N200" s="516">
        <v>0</v>
      </c>
      <c r="O200" s="516">
        <v>0</v>
      </c>
      <c r="P200" s="516">
        <v>0</v>
      </c>
      <c r="Q200" s="516">
        <v>0</v>
      </c>
      <c r="R200" s="516">
        <v>0</v>
      </c>
      <c r="S200" s="516">
        <v>0</v>
      </c>
      <c r="T200" s="516">
        <v>0</v>
      </c>
      <c r="U200" s="516">
        <v>0</v>
      </c>
      <c r="V200" s="516">
        <v>0</v>
      </c>
      <c r="W200" s="516">
        <v>0</v>
      </c>
      <c r="X200" s="516">
        <v>0</v>
      </c>
      <c r="Y200" s="516">
        <v>0</v>
      </c>
      <c r="Z200" s="516">
        <v>0</v>
      </c>
      <c r="AA200" s="516">
        <v>0</v>
      </c>
      <c r="AB200" s="516">
        <v>0</v>
      </c>
      <c r="AC200" s="516">
        <v>0</v>
      </c>
      <c r="AD200" s="516">
        <v>0</v>
      </c>
      <c r="AE200" s="516">
        <v>0</v>
      </c>
      <c r="AF200" s="516">
        <v>0</v>
      </c>
      <c r="AG200" s="516">
        <v>0</v>
      </c>
      <c r="AH200" s="516">
        <v>0</v>
      </c>
      <c r="AI200" s="516">
        <v>0</v>
      </c>
      <c r="AJ200" s="516">
        <v>0</v>
      </c>
      <c r="AK200" s="516">
        <v>0</v>
      </c>
      <c r="AL200" s="516">
        <v>0</v>
      </c>
      <c r="AM200" s="516">
        <v>0</v>
      </c>
      <c r="AN200" s="516">
        <v>0</v>
      </c>
      <c r="AO200" s="516">
        <v>0</v>
      </c>
      <c r="AP200" s="516">
        <v>0</v>
      </c>
      <c r="AQ200" s="516">
        <v>0</v>
      </c>
      <c r="AR200" s="516">
        <v>0</v>
      </c>
      <c r="AS200" s="516">
        <v>0</v>
      </c>
      <c r="AT200" s="516">
        <v>0</v>
      </c>
      <c r="AU200" s="516">
        <v>0</v>
      </c>
      <c r="AV200" s="516">
        <v>0</v>
      </c>
      <c r="AW200" s="516">
        <v>0</v>
      </c>
      <c r="AX200" s="516">
        <v>0</v>
      </c>
      <c r="AY200" s="516">
        <v>0</v>
      </c>
      <c r="AZ200" s="516">
        <v>0</v>
      </c>
      <c r="BA200" s="516">
        <v>0</v>
      </c>
      <c r="BB200" s="516">
        <v>0</v>
      </c>
      <c r="BC200" s="516">
        <v>0</v>
      </c>
      <c r="BD200" s="516">
        <v>0</v>
      </c>
      <c r="BE200" s="516">
        <v>0</v>
      </c>
      <c r="BF200" s="516">
        <v>0</v>
      </c>
      <c r="BG200" s="516">
        <v>0</v>
      </c>
      <c r="BH200" s="516">
        <v>0</v>
      </c>
      <c r="BI200" s="516">
        <v>0</v>
      </c>
      <c r="BJ200" s="516">
        <v>0</v>
      </c>
      <c r="BK200" s="516">
        <v>0</v>
      </c>
      <c r="BL200" s="516">
        <v>0</v>
      </c>
      <c r="BM200" s="516">
        <v>0</v>
      </c>
      <c r="BN200" s="516">
        <v>0</v>
      </c>
      <c r="BO200" s="516">
        <v>0</v>
      </c>
      <c r="BP200" s="516">
        <v>0</v>
      </c>
      <c r="BQ200" s="516">
        <v>0</v>
      </c>
      <c r="BR200" s="516">
        <v>0</v>
      </c>
      <c r="BS200" s="516">
        <v>0</v>
      </c>
      <c r="BT200" s="516">
        <v>0</v>
      </c>
      <c r="BU200" s="516">
        <v>0</v>
      </c>
      <c r="BV200" s="516">
        <v>0</v>
      </c>
      <c r="BW200" s="516">
        <v>0</v>
      </c>
      <c r="BX200" s="516">
        <v>0</v>
      </c>
      <c r="BY200" s="516">
        <v>0</v>
      </c>
      <c r="BZ200" s="516">
        <v>0</v>
      </c>
      <c r="CA200" s="516">
        <v>0</v>
      </c>
      <c r="CB200" s="516">
        <v>0</v>
      </c>
    </row>
    <row r="201" spans="1:80" x14ac:dyDescent="0.25">
      <c r="A201" s="860"/>
      <c r="B201" s="846">
        <v>551</v>
      </c>
      <c r="C201" s="860" t="s">
        <v>1192</v>
      </c>
      <c r="D201" s="860" t="s">
        <v>672</v>
      </c>
      <c r="E201" s="516">
        <v>0</v>
      </c>
      <c r="F201" s="516">
        <v>0</v>
      </c>
      <c r="G201" s="516">
        <v>0</v>
      </c>
      <c r="H201" s="516">
        <v>0</v>
      </c>
      <c r="I201" s="516">
        <v>0</v>
      </c>
      <c r="J201" s="516">
        <v>0</v>
      </c>
      <c r="K201" s="516">
        <v>0</v>
      </c>
      <c r="L201" s="516">
        <v>0</v>
      </c>
      <c r="M201" s="516">
        <v>0</v>
      </c>
      <c r="N201" s="516">
        <v>0</v>
      </c>
      <c r="O201" s="516">
        <v>0</v>
      </c>
      <c r="P201" s="516">
        <v>0</v>
      </c>
      <c r="Q201" s="516">
        <v>0</v>
      </c>
      <c r="R201" s="516">
        <v>0</v>
      </c>
      <c r="S201" s="516">
        <v>0</v>
      </c>
      <c r="T201" s="516">
        <v>0</v>
      </c>
      <c r="U201" s="516">
        <v>0</v>
      </c>
      <c r="V201" s="516">
        <v>0</v>
      </c>
      <c r="W201" s="516">
        <v>0</v>
      </c>
      <c r="X201" s="516">
        <v>0</v>
      </c>
      <c r="Y201" s="516">
        <v>0</v>
      </c>
      <c r="Z201" s="516">
        <v>0</v>
      </c>
      <c r="AA201" s="516">
        <v>0</v>
      </c>
      <c r="AB201" s="516">
        <v>0</v>
      </c>
      <c r="AC201" s="516">
        <v>0</v>
      </c>
      <c r="AD201" s="516">
        <v>0</v>
      </c>
      <c r="AE201" s="516">
        <v>0</v>
      </c>
      <c r="AF201" s="516">
        <v>0</v>
      </c>
      <c r="AG201" s="516">
        <v>0</v>
      </c>
      <c r="AH201" s="516">
        <v>0</v>
      </c>
      <c r="AI201" s="516">
        <v>0</v>
      </c>
      <c r="AJ201" s="516">
        <v>0</v>
      </c>
      <c r="AK201" s="516">
        <v>0</v>
      </c>
      <c r="AL201" s="516">
        <v>0</v>
      </c>
      <c r="AM201" s="516">
        <v>0</v>
      </c>
      <c r="AN201" s="516">
        <v>0</v>
      </c>
      <c r="AO201" s="516">
        <v>0</v>
      </c>
      <c r="AP201" s="516">
        <v>0</v>
      </c>
      <c r="AQ201" s="516">
        <v>0</v>
      </c>
      <c r="AR201" s="516">
        <v>0</v>
      </c>
      <c r="AS201" s="516">
        <v>0</v>
      </c>
      <c r="AT201" s="516">
        <v>0</v>
      </c>
      <c r="AU201" s="516">
        <v>0</v>
      </c>
      <c r="AV201" s="516">
        <v>0</v>
      </c>
      <c r="AW201" s="516">
        <v>0</v>
      </c>
      <c r="AX201" s="516">
        <v>0</v>
      </c>
      <c r="AY201" s="516">
        <v>0</v>
      </c>
      <c r="AZ201" s="516">
        <v>0</v>
      </c>
      <c r="BA201" s="516">
        <v>0</v>
      </c>
      <c r="BB201" s="516">
        <v>0</v>
      </c>
      <c r="BC201" s="516">
        <v>0</v>
      </c>
      <c r="BD201" s="516">
        <v>0</v>
      </c>
      <c r="BE201" s="516">
        <v>0</v>
      </c>
      <c r="BF201" s="516">
        <v>0</v>
      </c>
      <c r="BG201" s="516">
        <v>0</v>
      </c>
      <c r="BH201" s="516">
        <v>0</v>
      </c>
      <c r="BI201" s="516">
        <v>0</v>
      </c>
      <c r="BJ201" s="516">
        <v>0</v>
      </c>
      <c r="BK201" s="516">
        <v>0</v>
      </c>
      <c r="BL201" s="516">
        <v>0</v>
      </c>
      <c r="BM201" s="516">
        <v>0</v>
      </c>
      <c r="BN201" s="516">
        <v>0</v>
      </c>
      <c r="BO201" s="516">
        <v>0</v>
      </c>
      <c r="BP201" s="516">
        <v>0</v>
      </c>
      <c r="BQ201" s="516">
        <v>0</v>
      </c>
      <c r="BR201" s="516">
        <v>0</v>
      </c>
      <c r="BS201" s="516">
        <v>0</v>
      </c>
      <c r="BT201" s="516">
        <v>0</v>
      </c>
      <c r="BU201" s="516">
        <v>0</v>
      </c>
      <c r="BV201" s="516">
        <v>0</v>
      </c>
      <c r="BW201" s="516">
        <v>0</v>
      </c>
      <c r="BX201" s="516">
        <v>0</v>
      </c>
      <c r="BY201" s="516">
        <v>0</v>
      </c>
      <c r="BZ201" s="516">
        <v>0</v>
      </c>
      <c r="CA201" s="516">
        <v>0</v>
      </c>
      <c r="CB201" s="516">
        <v>0</v>
      </c>
    </row>
    <row r="202" spans="1:80" x14ac:dyDescent="0.25">
      <c r="A202" s="860"/>
      <c r="B202" s="846">
        <v>552</v>
      </c>
      <c r="C202" s="860" t="s">
        <v>632</v>
      </c>
      <c r="D202" s="860" t="s">
        <v>673</v>
      </c>
      <c r="E202" s="516">
        <v>0</v>
      </c>
      <c r="F202" s="516">
        <v>0</v>
      </c>
      <c r="G202" s="516">
        <v>0</v>
      </c>
      <c r="H202" s="516">
        <v>0</v>
      </c>
      <c r="I202" s="516">
        <v>0</v>
      </c>
      <c r="J202" s="516">
        <v>0</v>
      </c>
      <c r="K202" s="516">
        <v>0</v>
      </c>
      <c r="L202" s="516">
        <v>0</v>
      </c>
      <c r="M202" s="516">
        <v>0</v>
      </c>
      <c r="N202" s="516">
        <v>0</v>
      </c>
      <c r="O202" s="516">
        <v>0</v>
      </c>
      <c r="P202" s="516">
        <v>0</v>
      </c>
      <c r="Q202" s="516">
        <v>0</v>
      </c>
      <c r="R202" s="516">
        <v>0</v>
      </c>
      <c r="S202" s="516">
        <v>0</v>
      </c>
      <c r="T202" s="516">
        <v>0</v>
      </c>
      <c r="U202" s="516">
        <v>0</v>
      </c>
      <c r="V202" s="516">
        <v>0</v>
      </c>
      <c r="W202" s="516">
        <v>0</v>
      </c>
      <c r="X202" s="516">
        <v>0</v>
      </c>
      <c r="Y202" s="516">
        <v>0</v>
      </c>
      <c r="Z202" s="516">
        <v>0</v>
      </c>
      <c r="AA202" s="516">
        <v>0</v>
      </c>
      <c r="AB202" s="516">
        <v>0</v>
      </c>
      <c r="AC202" s="516">
        <v>0</v>
      </c>
      <c r="AD202" s="516">
        <v>0</v>
      </c>
      <c r="AE202" s="516">
        <v>0</v>
      </c>
      <c r="AF202" s="516">
        <v>0</v>
      </c>
      <c r="AG202" s="516">
        <v>0</v>
      </c>
      <c r="AH202" s="516">
        <v>0</v>
      </c>
      <c r="AI202" s="516">
        <v>0</v>
      </c>
      <c r="AJ202" s="516">
        <v>0</v>
      </c>
      <c r="AK202" s="516">
        <v>0</v>
      </c>
      <c r="AL202" s="516">
        <v>0</v>
      </c>
      <c r="AM202" s="516">
        <v>0</v>
      </c>
      <c r="AN202" s="516">
        <v>0</v>
      </c>
      <c r="AO202" s="516">
        <v>0</v>
      </c>
      <c r="AP202" s="516">
        <v>0</v>
      </c>
      <c r="AQ202" s="516">
        <v>0</v>
      </c>
      <c r="AR202" s="516">
        <v>0</v>
      </c>
      <c r="AS202" s="516">
        <v>0</v>
      </c>
      <c r="AT202" s="516">
        <v>0</v>
      </c>
      <c r="AU202" s="516">
        <v>0</v>
      </c>
      <c r="AV202" s="516">
        <v>0</v>
      </c>
      <c r="AW202" s="516">
        <v>0</v>
      </c>
      <c r="AX202" s="516">
        <v>0</v>
      </c>
      <c r="AY202" s="516">
        <v>0</v>
      </c>
      <c r="AZ202" s="516">
        <v>0</v>
      </c>
      <c r="BA202" s="516">
        <v>0</v>
      </c>
      <c r="BB202" s="516">
        <v>0</v>
      </c>
      <c r="BC202" s="516">
        <v>0</v>
      </c>
      <c r="BD202" s="516">
        <v>0</v>
      </c>
      <c r="BE202" s="516">
        <v>0</v>
      </c>
      <c r="BF202" s="516">
        <v>0</v>
      </c>
      <c r="BG202" s="516">
        <v>0</v>
      </c>
      <c r="BH202" s="516">
        <v>0</v>
      </c>
      <c r="BI202" s="516">
        <v>0</v>
      </c>
      <c r="BJ202" s="516">
        <v>0</v>
      </c>
      <c r="BK202" s="516">
        <v>0</v>
      </c>
      <c r="BL202" s="516">
        <v>0</v>
      </c>
      <c r="BM202" s="516">
        <v>0</v>
      </c>
      <c r="BN202" s="516">
        <v>0</v>
      </c>
      <c r="BO202" s="516">
        <v>0</v>
      </c>
      <c r="BP202" s="516">
        <v>0</v>
      </c>
      <c r="BQ202" s="516">
        <v>0</v>
      </c>
      <c r="BR202" s="516">
        <v>0</v>
      </c>
      <c r="BS202" s="516">
        <v>0</v>
      </c>
      <c r="BT202" s="516">
        <v>0</v>
      </c>
      <c r="BU202" s="516">
        <v>0</v>
      </c>
      <c r="BV202" s="516">
        <v>0</v>
      </c>
      <c r="BW202" s="516">
        <v>0</v>
      </c>
      <c r="BX202" s="516">
        <v>0</v>
      </c>
      <c r="BY202" s="516">
        <v>0</v>
      </c>
      <c r="BZ202" s="516">
        <v>0</v>
      </c>
      <c r="CA202" s="516">
        <v>0</v>
      </c>
      <c r="CB202" s="516">
        <v>0</v>
      </c>
    </row>
    <row r="203" spans="1:80" x14ac:dyDescent="0.25">
      <c r="A203" s="860"/>
      <c r="B203" s="846">
        <v>553</v>
      </c>
      <c r="C203" s="860" t="s">
        <v>674</v>
      </c>
      <c r="D203" s="860" t="s">
        <v>675</v>
      </c>
      <c r="E203" s="516"/>
      <c r="F203" s="516"/>
      <c r="G203" s="516"/>
      <c r="H203" s="516"/>
      <c r="I203" s="516"/>
      <c r="J203" s="516"/>
      <c r="K203" s="516"/>
      <c r="L203" s="516"/>
      <c r="M203" s="516"/>
      <c r="N203" s="516"/>
      <c r="O203" s="516"/>
      <c r="P203" s="516"/>
      <c r="Q203" s="516"/>
      <c r="R203" s="516"/>
      <c r="S203" s="516"/>
      <c r="T203" s="516"/>
      <c r="U203" s="516"/>
      <c r="V203" s="516"/>
      <c r="W203" s="516"/>
      <c r="X203" s="516"/>
      <c r="Y203" s="516"/>
      <c r="Z203" s="516"/>
      <c r="AA203" s="516"/>
      <c r="AB203" s="516"/>
      <c r="AC203" s="516"/>
      <c r="AD203" s="516"/>
      <c r="AE203" s="516"/>
      <c r="AF203" s="516"/>
      <c r="AG203" s="516"/>
      <c r="AH203" s="516"/>
      <c r="AI203" s="516"/>
      <c r="AJ203" s="516"/>
      <c r="AK203" s="516"/>
      <c r="AL203" s="516"/>
      <c r="AM203" s="516"/>
      <c r="AN203" s="516"/>
      <c r="AO203" s="516"/>
      <c r="AP203" s="516"/>
      <c r="AQ203" s="516"/>
      <c r="AR203" s="516"/>
      <c r="AS203" s="516"/>
      <c r="AT203" s="516"/>
      <c r="AU203" s="516"/>
      <c r="AV203" s="516"/>
      <c r="AW203" s="516"/>
      <c r="AX203" s="516"/>
      <c r="AY203" s="516"/>
      <c r="AZ203" s="516"/>
      <c r="BA203" s="516"/>
      <c r="BB203" s="516"/>
      <c r="BC203" s="516"/>
      <c r="BD203" s="516"/>
      <c r="BE203" s="516"/>
      <c r="BF203" s="516"/>
      <c r="BG203" s="516"/>
      <c r="BH203" s="516"/>
      <c r="BI203" s="516"/>
      <c r="BJ203" s="516"/>
      <c r="BK203" s="516"/>
      <c r="BL203" s="516"/>
      <c r="BM203" s="516"/>
      <c r="BN203" s="516"/>
      <c r="BO203" s="516"/>
      <c r="BP203" s="516"/>
      <c r="BQ203" s="516"/>
      <c r="BR203" s="516"/>
      <c r="BS203" s="516"/>
      <c r="BT203" s="516"/>
      <c r="BU203" s="516"/>
      <c r="BV203" s="516"/>
      <c r="BW203" s="516"/>
      <c r="BX203" s="516"/>
      <c r="BY203" s="516"/>
      <c r="BZ203" s="516"/>
      <c r="CA203" s="516"/>
      <c r="CB203" s="516"/>
    </row>
    <row r="204" spans="1:80" x14ac:dyDescent="0.25">
      <c r="A204" s="860">
        <v>554</v>
      </c>
      <c r="B204" s="846">
        <v>554</v>
      </c>
      <c r="C204" s="860" t="s">
        <v>676</v>
      </c>
      <c r="D204" s="860" t="s">
        <v>677</v>
      </c>
      <c r="E204" s="516">
        <v>5755210</v>
      </c>
      <c r="F204" s="516">
        <v>0</v>
      </c>
      <c r="G204" s="516">
        <v>0</v>
      </c>
      <c r="H204" s="516">
        <v>8541056</v>
      </c>
      <c r="I204" s="516">
        <v>0</v>
      </c>
      <c r="J204" s="516">
        <v>0</v>
      </c>
      <c r="K204" s="516">
        <v>0</v>
      </c>
      <c r="L204" s="516">
        <v>100000</v>
      </c>
      <c r="M204" s="516">
        <v>1337986</v>
      </c>
      <c r="N204" s="516">
        <v>0</v>
      </c>
      <c r="O204" s="516">
        <v>0</v>
      </c>
      <c r="P204" s="516">
        <v>0</v>
      </c>
      <c r="Q204" s="516">
        <v>0</v>
      </c>
      <c r="R204" s="516">
        <v>0</v>
      </c>
      <c r="S204" s="516">
        <v>0</v>
      </c>
      <c r="T204" s="516">
        <v>585334</v>
      </c>
      <c r="U204" s="516">
        <v>0</v>
      </c>
      <c r="V204" s="516">
        <v>6475153</v>
      </c>
      <c r="W204" s="516">
        <v>0</v>
      </c>
      <c r="X204" s="516">
        <v>0</v>
      </c>
      <c r="Y204" s="516">
        <v>0</v>
      </c>
      <c r="Z204" s="516">
        <v>0</v>
      </c>
      <c r="AA204" s="516">
        <v>0</v>
      </c>
      <c r="AB204" s="516">
        <v>0</v>
      </c>
      <c r="AC204" s="516">
        <v>0</v>
      </c>
      <c r="AD204" s="516">
        <v>0</v>
      </c>
      <c r="AE204" s="516">
        <v>0</v>
      </c>
      <c r="AF204" s="516">
        <v>0</v>
      </c>
      <c r="AG204" s="516">
        <v>0</v>
      </c>
      <c r="AH204" s="516">
        <v>0</v>
      </c>
      <c r="AI204" s="516">
        <v>0</v>
      </c>
      <c r="AJ204" s="516">
        <v>0</v>
      </c>
      <c r="AK204" s="516">
        <v>1212555</v>
      </c>
      <c r="AL204" s="516">
        <v>0</v>
      </c>
      <c r="AM204" s="516">
        <v>0</v>
      </c>
      <c r="AN204" s="516">
        <v>1957507</v>
      </c>
      <c r="AO204" s="516">
        <v>2084224</v>
      </c>
      <c r="AP204" s="516">
        <v>0</v>
      </c>
      <c r="AQ204" s="516">
        <v>0</v>
      </c>
      <c r="AR204" s="516">
        <v>497358</v>
      </c>
      <c r="AS204" s="516">
        <v>0</v>
      </c>
      <c r="AT204" s="516">
        <v>0</v>
      </c>
      <c r="AU204" s="516">
        <v>0</v>
      </c>
      <c r="AV204" s="516">
        <v>136456</v>
      </c>
      <c r="AW204" s="516">
        <v>0</v>
      </c>
      <c r="AX204" s="516">
        <v>0</v>
      </c>
      <c r="AY204" s="516">
        <v>0</v>
      </c>
      <c r="AZ204" s="516">
        <v>1233361</v>
      </c>
      <c r="BA204" s="516">
        <v>0</v>
      </c>
      <c r="BB204" s="516">
        <v>0</v>
      </c>
      <c r="BC204" s="516">
        <v>0</v>
      </c>
      <c r="BD204" s="516">
        <v>0</v>
      </c>
      <c r="BE204" s="516">
        <v>0</v>
      </c>
      <c r="BF204" s="516">
        <v>0</v>
      </c>
      <c r="BG204" s="516">
        <v>0</v>
      </c>
      <c r="BH204" s="516">
        <v>0</v>
      </c>
      <c r="BI204" s="516">
        <v>0</v>
      </c>
      <c r="BJ204" s="516">
        <v>0</v>
      </c>
      <c r="BK204" s="516">
        <v>0</v>
      </c>
      <c r="BL204" s="516">
        <v>0</v>
      </c>
      <c r="BM204" s="516">
        <v>0</v>
      </c>
      <c r="BN204" s="516">
        <v>0</v>
      </c>
      <c r="BO204" s="516">
        <v>515018</v>
      </c>
      <c r="BP204" s="516">
        <v>0</v>
      </c>
      <c r="BQ204" s="516">
        <v>940469</v>
      </c>
      <c r="BR204" s="516">
        <v>0</v>
      </c>
      <c r="BS204" s="516">
        <v>0</v>
      </c>
      <c r="BT204" s="516">
        <v>202704</v>
      </c>
      <c r="BU204" s="516">
        <v>0</v>
      </c>
      <c r="BV204" s="516">
        <v>0</v>
      </c>
      <c r="BW204" s="516">
        <v>0</v>
      </c>
      <c r="BX204" s="516">
        <v>0</v>
      </c>
      <c r="BY204" s="516">
        <v>0</v>
      </c>
      <c r="BZ204" s="516">
        <v>0</v>
      </c>
      <c r="CA204" s="516">
        <v>0</v>
      </c>
      <c r="CB204" s="516">
        <v>0</v>
      </c>
    </row>
    <row r="205" spans="1:80" x14ac:dyDescent="0.25">
      <c r="A205" s="860">
        <v>555</v>
      </c>
      <c r="B205" s="846">
        <v>555</v>
      </c>
      <c r="C205" s="860" t="s">
        <v>678</v>
      </c>
      <c r="D205" s="860" t="s">
        <v>679</v>
      </c>
      <c r="E205" s="516">
        <v>5613341</v>
      </c>
      <c r="F205" s="516">
        <v>0</v>
      </c>
      <c r="G205" s="516">
        <v>0</v>
      </c>
      <c r="H205" s="516">
        <v>5614986</v>
      </c>
      <c r="I205" s="516">
        <v>0</v>
      </c>
      <c r="J205" s="516">
        <v>0</v>
      </c>
      <c r="K205" s="516">
        <v>0</v>
      </c>
      <c r="L205" s="516">
        <v>0</v>
      </c>
      <c r="M205" s="516">
        <v>629254</v>
      </c>
      <c r="N205" s="516">
        <v>0</v>
      </c>
      <c r="O205" s="516">
        <v>0</v>
      </c>
      <c r="P205" s="516">
        <v>0</v>
      </c>
      <c r="Q205" s="516">
        <v>0</v>
      </c>
      <c r="R205" s="516">
        <v>0</v>
      </c>
      <c r="S205" s="516">
        <v>0</v>
      </c>
      <c r="T205" s="516">
        <v>0</v>
      </c>
      <c r="U205" s="516">
        <v>0</v>
      </c>
      <c r="V205" s="516">
        <v>3253373</v>
      </c>
      <c r="W205" s="516">
        <v>0</v>
      </c>
      <c r="X205" s="516">
        <v>0</v>
      </c>
      <c r="Y205" s="516">
        <v>0</v>
      </c>
      <c r="Z205" s="516">
        <v>0</v>
      </c>
      <c r="AA205" s="516">
        <v>0</v>
      </c>
      <c r="AB205" s="516">
        <v>0</v>
      </c>
      <c r="AC205" s="516">
        <v>0</v>
      </c>
      <c r="AD205" s="516">
        <v>0</v>
      </c>
      <c r="AE205" s="516">
        <v>0</v>
      </c>
      <c r="AF205" s="516">
        <v>0</v>
      </c>
      <c r="AG205" s="516">
        <v>0</v>
      </c>
      <c r="AH205" s="516">
        <v>0</v>
      </c>
      <c r="AI205" s="516">
        <v>0</v>
      </c>
      <c r="AJ205" s="516">
        <v>0</v>
      </c>
      <c r="AK205" s="516">
        <v>1075706</v>
      </c>
      <c r="AL205" s="516">
        <v>0</v>
      </c>
      <c r="AM205" s="516">
        <v>0</v>
      </c>
      <c r="AN205" s="516">
        <v>1732147</v>
      </c>
      <c r="AO205" s="516">
        <v>1750610</v>
      </c>
      <c r="AP205" s="516">
        <v>0</v>
      </c>
      <c r="AQ205" s="516">
        <v>0</v>
      </c>
      <c r="AR205" s="516">
        <v>0</v>
      </c>
      <c r="AS205" s="516">
        <v>0</v>
      </c>
      <c r="AT205" s="516">
        <v>0</v>
      </c>
      <c r="AU205" s="516">
        <v>0</v>
      </c>
      <c r="AV205" s="516">
        <v>0</v>
      </c>
      <c r="AW205" s="516">
        <v>0</v>
      </c>
      <c r="AX205" s="516">
        <v>0</v>
      </c>
      <c r="AY205" s="516">
        <v>0</v>
      </c>
      <c r="AZ205" s="516">
        <v>1233361</v>
      </c>
      <c r="BA205" s="516">
        <v>0</v>
      </c>
      <c r="BB205" s="516">
        <v>0</v>
      </c>
      <c r="BC205" s="516">
        <v>0</v>
      </c>
      <c r="BD205" s="516">
        <v>0</v>
      </c>
      <c r="BE205" s="516">
        <v>0</v>
      </c>
      <c r="BF205" s="516">
        <v>0</v>
      </c>
      <c r="BG205" s="516">
        <v>0</v>
      </c>
      <c r="BH205" s="516">
        <v>0</v>
      </c>
      <c r="BI205" s="516">
        <v>0</v>
      </c>
      <c r="BJ205" s="516">
        <v>0</v>
      </c>
      <c r="BK205" s="516">
        <v>0</v>
      </c>
      <c r="BL205" s="516">
        <v>0</v>
      </c>
      <c r="BM205" s="516">
        <v>0</v>
      </c>
      <c r="BN205" s="516">
        <v>0</v>
      </c>
      <c r="BO205" s="516">
        <v>0</v>
      </c>
      <c r="BP205" s="516">
        <v>0</v>
      </c>
      <c r="BQ205" s="516">
        <v>740474</v>
      </c>
      <c r="BR205" s="516">
        <v>0</v>
      </c>
      <c r="BS205" s="516">
        <v>0</v>
      </c>
      <c r="BT205" s="516">
        <v>0</v>
      </c>
      <c r="BU205" s="516">
        <v>0</v>
      </c>
      <c r="BV205" s="516">
        <v>0</v>
      </c>
      <c r="BW205" s="516">
        <v>0</v>
      </c>
      <c r="BX205" s="516">
        <v>0</v>
      </c>
      <c r="BY205" s="516">
        <v>0</v>
      </c>
      <c r="BZ205" s="516">
        <v>0</v>
      </c>
      <c r="CA205" s="516">
        <v>0</v>
      </c>
      <c r="CB205" s="516">
        <v>0</v>
      </c>
    </row>
    <row r="206" spans="1:80" x14ac:dyDescent="0.25">
      <c r="A206" s="860">
        <v>556</v>
      </c>
      <c r="B206" s="846">
        <v>556</v>
      </c>
      <c r="C206" s="860" t="s">
        <v>680</v>
      </c>
      <c r="D206" s="860" t="s">
        <v>681</v>
      </c>
      <c r="E206" s="516">
        <v>1871114</v>
      </c>
      <c r="F206" s="516">
        <v>1101704</v>
      </c>
      <c r="G206" s="516">
        <v>0</v>
      </c>
      <c r="H206" s="516">
        <v>4632295</v>
      </c>
      <c r="I206" s="516">
        <v>0</v>
      </c>
      <c r="J206" s="516">
        <v>0</v>
      </c>
      <c r="K206" s="516">
        <v>0</v>
      </c>
      <c r="L206" s="516">
        <v>556385</v>
      </c>
      <c r="M206" s="516">
        <v>3192870</v>
      </c>
      <c r="N206" s="516">
        <v>0</v>
      </c>
      <c r="O206" s="516">
        <v>0</v>
      </c>
      <c r="P206" s="516">
        <v>0</v>
      </c>
      <c r="Q206" s="516">
        <v>1166252</v>
      </c>
      <c r="R206" s="516">
        <v>0</v>
      </c>
      <c r="S206" s="516">
        <v>0</v>
      </c>
      <c r="T206" s="516">
        <v>816391</v>
      </c>
      <c r="U206" s="516">
        <v>0</v>
      </c>
      <c r="V206" s="516">
        <v>849732</v>
      </c>
      <c r="W206" s="516">
        <v>0</v>
      </c>
      <c r="X206" s="516">
        <v>0</v>
      </c>
      <c r="Y206" s="516">
        <v>0</v>
      </c>
      <c r="Z206" s="516">
        <v>0</v>
      </c>
      <c r="AA206" s="516">
        <v>0</v>
      </c>
      <c r="AB206" s="516">
        <v>0</v>
      </c>
      <c r="AC206" s="516">
        <v>0</v>
      </c>
      <c r="AD206" s="516">
        <v>0</v>
      </c>
      <c r="AE206" s="516">
        <v>0</v>
      </c>
      <c r="AF206" s="516">
        <v>0</v>
      </c>
      <c r="AG206" s="516">
        <v>0</v>
      </c>
      <c r="AH206" s="516">
        <v>0</v>
      </c>
      <c r="AI206" s="516">
        <v>0</v>
      </c>
      <c r="AJ206" s="516">
        <v>0</v>
      </c>
      <c r="AK206" s="516">
        <v>1583908</v>
      </c>
      <c r="AL206" s="516">
        <v>0</v>
      </c>
      <c r="AM206" s="516">
        <v>0</v>
      </c>
      <c r="AN206" s="516">
        <v>1284976</v>
      </c>
      <c r="AO206" s="516">
        <v>904526</v>
      </c>
      <c r="AP206" s="516">
        <v>0</v>
      </c>
      <c r="AQ206" s="516">
        <v>0</v>
      </c>
      <c r="AR206" s="516">
        <v>983818</v>
      </c>
      <c r="AS206" s="516">
        <v>0</v>
      </c>
      <c r="AT206" s="516">
        <v>0</v>
      </c>
      <c r="AU206" s="516">
        <v>0</v>
      </c>
      <c r="AV206" s="516">
        <v>1012947</v>
      </c>
      <c r="AW206" s="516">
        <v>0</v>
      </c>
      <c r="AX206" s="516">
        <v>0</v>
      </c>
      <c r="AY206" s="516">
        <v>0</v>
      </c>
      <c r="AZ206" s="516">
        <v>0</v>
      </c>
      <c r="BA206" s="516">
        <v>0</v>
      </c>
      <c r="BB206" s="516">
        <v>0</v>
      </c>
      <c r="BC206" s="516">
        <v>0</v>
      </c>
      <c r="BD206" s="516">
        <v>0</v>
      </c>
      <c r="BE206" s="516">
        <v>0</v>
      </c>
      <c r="BF206" s="516">
        <v>0</v>
      </c>
      <c r="BG206" s="516">
        <v>0</v>
      </c>
      <c r="BH206" s="516">
        <v>0</v>
      </c>
      <c r="BI206" s="516">
        <v>0</v>
      </c>
      <c r="BJ206" s="516">
        <v>0</v>
      </c>
      <c r="BK206" s="516">
        <v>0</v>
      </c>
      <c r="BL206" s="516">
        <v>0</v>
      </c>
      <c r="BM206" s="516">
        <v>0</v>
      </c>
      <c r="BN206" s="516">
        <v>0</v>
      </c>
      <c r="BO206" s="516">
        <v>627146</v>
      </c>
      <c r="BP206" s="516">
        <v>0</v>
      </c>
      <c r="BQ206" s="516">
        <v>506368</v>
      </c>
      <c r="BR206" s="516">
        <v>0</v>
      </c>
      <c r="BS206" s="516">
        <v>0</v>
      </c>
      <c r="BT206" s="516">
        <v>1220880</v>
      </c>
      <c r="BU206" s="516">
        <v>0</v>
      </c>
      <c r="BV206" s="516">
        <v>0</v>
      </c>
      <c r="BW206" s="516">
        <v>0</v>
      </c>
      <c r="BX206" s="516">
        <v>961308</v>
      </c>
      <c r="BY206" s="516">
        <v>0</v>
      </c>
      <c r="BZ206" s="516">
        <v>0</v>
      </c>
      <c r="CA206" s="516">
        <v>750141</v>
      </c>
      <c r="CB206" s="516">
        <v>0</v>
      </c>
    </row>
    <row r="207" spans="1:80" x14ac:dyDescent="0.25">
      <c r="A207" s="860">
        <v>557</v>
      </c>
      <c r="B207" s="846">
        <v>557</v>
      </c>
      <c r="C207" s="860" t="s">
        <v>682</v>
      </c>
      <c r="D207" s="860" t="s">
        <v>683</v>
      </c>
      <c r="E207" s="516">
        <v>1871114</v>
      </c>
      <c r="F207" s="516">
        <v>1101704</v>
      </c>
      <c r="G207" s="516">
        <v>0</v>
      </c>
      <c r="H207" s="516">
        <v>2187697</v>
      </c>
      <c r="I207" s="516">
        <v>0</v>
      </c>
      <c r="J207" s="516">
        <v>0</v>
      </c>
      <c r="K207" s="516">
        <v>0</v>
      </c>
      <c r="L207" s="516">
        <v>450000</v>
      </c>
      <c r="M207" s="516">
        <v>2394007</v>
      </c>
      <c r="N207" s="516">
        <v>0</v>
      </c>
      <c r="O207" s="516">
        <v>0</v>
      </c>
      <c r="P207" s="516">
        <v>0</v>
      </c>
      <c r="Q207" s="516">
        <v>649335</v>
      </c>
      <c r="R207" s="516">
        <v>0</v>
      </c>
      <c r="S207" s="516">
        <v>0</v>
      </c>
      <c r="T207" s="516">
        <v>467234</v>
      </c>
      <c r="U207" s="516">
        <v>0</v>
      </c>
      <c r="V207" s="516">
        <v>602607</v>
      </c>
      <c r="W207" s="516">
        <v>0</v>
      </c>
      <c r="X207" s="516">
        <v>0</v>
      </c>
      <c r="Y207" s="516">
        <v>0</v>
      </c>
      <c r="Z207" s="516">
        <v>0</v>
      </c>
      <c r="AA207" s="516">
        <v>0</v>
      </c>
      <c r="AB207" s="516">
        <v>0</v>
      </c>
      <c r="AC207" s="516">
        <v>0</v>
      </c>
      <c r="AD207" s="516">
        <v>0</v>
      </c>
      <c r="AE207" s="516">
        <v>0</v>
      </c>
      <c r="AF207" s="516">
        <v>0</v>
      </c>
      <c r="AG207" s="516">
        <v>0</v>
      </c>
      <c r="AH207" s="516">
        <v>0</v>
      </c>
      <c r="AI207" s="516">
        <v>0</v>
      </c>
      <c r="AJ207" s="516">
        <v>0</v>
      </c>
      <c r="AK207" s="516">
        <v>959013</v>
      </c>
      <c r="AL207" s="516">
        <v>0</v>
      </c>
      <c r="AM207" s="516">
        <v>0</v>
      </c>
      <c r="AN207" s="516">
        <v>1260765</v>
      </c>
      <c r="AO207" s="516">
        <v>553191</v>
      </c>
      <c r="AP207" s="516">
        <v>0</v>
      </c>
      <c r="AQ207" s="516">
        <v>0</v>
      </c>
      <c r="AR207" s="516">
        <v>414358</v>
      </c>
      <c r="AS207" s="516">
        <v>0</v>
      </c>
      <c r="AT207" s="516">
        <v>0</v>
      </c>
      <c r="AU207" s="516">
        <v>0</v>
      </c>
      <c r="AV207" s="516">
        <v>554152</v>
      </c>
      <c r="AW207" s="516">
        <v>0</v>
      </c>
      <c r="AX207" s="516">
        <v>0</v>
      </c>
      <c r="AY207" s="516">
        <v>0</v>
      </c>
      <c r="AZ207" s="516">
        <v>0</v>
      </c>
      <c r="BA207" s="516">
        <v>0</v>
      </c>
      <c r="BB207" s="516">
        <v>0</v>
      </c>
      <c r="BC207" s="516">
        <v>0</v>
      </c>
      <c r="BD207" s="516">
        <v>0</v>
      </c>
      <c r="BE207" s="516">
        <v>0</v>
      </c>
      <c r="BF207" s="516">
        <v>0</v>
      </c>
      <c r="BG207" s="516">
        <v>0</v>
      </c>
      <c r="BH207" s="516">
        <v>0</v>
      </c>
      <c r="BI207" s="516">
        <v>0</v>
      </c>
      <c r="BJ207" s="516">
        <v>0</v>
      </c>
      <c r="BK207" s="516">
        <v>0</v>
      </c>
      <c r="BL207" s="516">
        <v>0</v>
      </c>
      <c r="BM207" s="516">
        <v>0</v>
      </c>
      <c r="BN207" s="516">
        <v>0</v>
      </c>
      <c r="BO207" s="516">
        <v>450000</v>
      </c>
      <c r="BP207" s="516">
        <v>0</v>
      </c>
      <c r="BQ207" s="516">
        <v>500000</v>
      </c>
      <c r="BR207" s="516">
        <v>0</v>
      </c>
      <c r="BS207" s="516">
        <v>0</v>
      </c>
      <c r="BT207" s="516">
        <v>942500</v>
      </c>
      <c r="BU207" s="516">
        <v>0</v>
      </c>
      <c r="BV207" s="516">
        <v>0</v>
      </c>
      <c r="BW207" s="516">
        <v>0</v>
      </c>
      <c r="BX207" s="516">
        <v>916037</v>
      </c>
      <c r="BY207" s="516">
        <v>0</v>
      </c>
      <c r="BZ207" s="516">
        <v>0</v>
      </c>
      <c r="CA207" s="516">
        <v>707737</v>
      </c>
      <c r="CB207" s="516">
        <v>0</v>
      </c>
    </row>
    <row r="208" spans="1:80" x14ac:dyDescent="0.25">
      <c r="A208" s="860"/>
      <c r="B208" s="860">
        <v>558</v>
      </c>
      <c r="C208" s="860"/>
      <c r="D208" s="860" t="s">
        <v>684</v>
      </c>
      <c r="E208" s="516"/>
      <c r="F208" s="516"/>
      <c r="G208" s="516"/>
      <c r="H208" s="516"/>
      <c r="I208" s="516"/>
      <c r="J208" s="516"/>
      <c r="K208" s="516"/>
      <c r="L208" s="516"/>
      <c r="M208" s="516"/>
      <c r="N208" s="516"/>
      <c r="O208" s="516"/>
      <c r="P208" s="516"/>
      <c r="Q208" s="516"/>
      <c r="R208" s="516"/>
      <c r="S208" s="516"/>
      <c r="T208" s="516"/>
      <c r="U208" s="516"/>
      <c r="V208" s="516"/>
      <c r="W208" s="516"/>
      <c r="X208" s="516"/>
      <c r="Y208" s="516"/>
      <c r="Z208" s="516"/>
      <c r="AA208" s="516"/>
      <c r="AB208" s="516"/>
      <c r="AC208" s="516"/>
      <c r="AD208" s="516"/>
      <c r="AE208" s="516"/>
      <c r="AF208" s="516"/>
      <c r="AG208" s="516"/>
      <c r="AH208" s="516"/>
      <c r="AI208" s="516"/>
      <c r="AJ208" s="516"/>
      <c r="AK208" s="516"/>
      <c r="AL208" s="516"/>
      <c r="AM208" s="516"/>
      <c r="AN208" s="516"/>
      <c r="AO208" s="516"/>
      <c r="AP208" s="516"/>
      <c r="AQ208" s="516"/>
      <c r="AR208" s="516"/>
      <c r="AS208" s="516"/>
      <c r="AT208" s="516"/>
      <c r="AU208" s="516"/>
      <c r="AV208" s="516"/>
      <c r="AW208" s="516"/>
      <c r="AX208" s="516"/>
      <c r="AY208" s="516"/>
      <c r="AZ208" s="516"/>
      <c r="BA208" s="516"/>
      <c r="BB208" s="516"/>
      <c r="BC208" s="516"/>
      <c r="BD208" s="516"/>
      <c r="BE208" s="516"/>
      <c r="BF208" s="516"/>
      <c r="BG208" s="516"/>
      <c r="BH208" s="516"/>
      <c r="BI208" s="516"/>
      <c r="BJ208" s="516"/>
      <c r="BK208" s="516"/>
      <c r="BL208" s="516"/>
      <c r="BM208" s="516"/>
      <c r="BN208" s="516"/>
      <c r="BO208" s="516"/>
      <c r="BP208" s="516"/>
      <c r="BQ208" s="516"/>
      <c r="BR208" s="516"/>
      <c r="BS208" s="516"/>
      <c r="BT208" s="516"/>
      <c r="BU208" s="516"/>
      <c r="BV208" s="516"/>
      <c r="BW208" s="516"/>
      <c r="BX208" s="516"/>
      <c r="BY208" s="516"/>
      <c r="BZ208" s="516"/>
      <c r="CA208" s="516"/>
      <c r="CB208" s="516"/>
    </row>
    <row r="209" spans="1:80" x14ac:dyDescent="0.25">
      <c r="A209" s="860"/>
      <c r="B209" s="860">
        <v>559</v>
      </c>
      <c r="C209" s="860"/>
      <c r="D209" s="860" t="s">
        <v>685</v>
      </c>
      <c r="E209" s="516"/>
      <c r="F209" s="516"/>
      <c r="G209" s="516"/>
      <c r="H209" s="516"/>
      <c r="I209" s="516"/>
      <c r="J209" s="516"/>
      <c r="K209" s="516"/>
      <c r="L209" s="516"/>
      <c r="M209" s="516"/>
      <c r="N209" s="516"/>
      <c r="O209" s="516"/>
      <c r="P209" s="516"/>
      <c r="Q209" s="516"/>
      <c r="R209" s="516"/>
      <c r="S209" s="516"/>
      <c r="T209" s="516"/>
      <c r="U209" s="516"/>
      <c r="V209" s="516"/>
      <c r="W209" s="516"/>
      <c r="X209" s="516"/>
      <c r="Y209" s="516"/>
      <c r="Z209" s="516"/>
      <c r="AA209" s="516"/>
      <c r="AB209" s="516"/>
      <c r="AC209" s="516"/>
      <c r="AD209" s="516"/>
      <c r="AE209" s="516"/>
      <c r="AF209" s="516"/>
      <c r="AG209" s="516"/>
      <c r="AH209" s="516"/>
      <c r="AI209" s="516"/>
      <c r="AJ209" s="516"/>
      <c r="AK209" s="516"/>
      <c r="AL209" s="516"/>
      <c r="AM209" s="516"/>
      <c r="AN209" s="516"/>
      <c r="AO209" s="516"/>
      <c r="AP209" s="516"/>
      <c r="AQ209" s="516"/>
      <c r="AR209" s="516"/>
      <c r="AS209" s="516"/>
      <c r="AT209" s="516"/>
      <c r="AU209" s="516"/>
      <c r="AV209" s="516"/>
      <c r="AW209" s="516"/>
      <c r="AX209" s="516"/>
      <c r="AY209" s="516"/>
      <c r="AZ209" s="516"/>
      <c r="BA209" s="516"/>
      <c r="BB209" s="516"/>
      <c r="BC209" s="516"/>
      <c r="BD209" s="516"/>
      <c r="BE209" s="516"/>
      <c r="BF209" s="516"/>
      <c r="BG209" s="516"/>
      <c r="BH209" s="516"/>
      <c r="BI209" s="516"/>
      <c r="BJ209" s="516"/>
      <c r="BK209" s="516"/>
      <c r="BL209" s="516"/>
      <c r="BM209" s="516"/>
      <c r="BN209" s="516"/>
      <c r="BO209" s="516"/>
      <c r="BP209" s="516"/>
      <c r="BQ209" s="516"/>
      <c r="BR209" s="516"/>
      <c r="BS209" s="516"/>
      <c r="BT209" s="516"/>
      <c r="BU209" s="516"/>
      <c r="BV209" s="516"/>
      <c r="BW209" s="516"/>
      <c r="BX209" s="516"/>
      <c r="BY209" s="516"/>
      <c r="BZ209" s="516"/>
      <c r="CA209" s="516"/>
      <c r="CB209" s="516"/>
    </row>
    <row r="210" spans="1:80" x14ac:dyDescent="0.25">
      <c r="A210" s="860"/>
      <c r="B210" s="860">
        <v>560</v>
      </c>
      <c r="C210" s="860"/>
      <c r="D210" s="860" t="s">
        <v>686</v>
      </c>
      <c r="E210" s="516"/>
      <c r="F210" s="516"/>
      <c r="G210" s="516"/>
      <c r="H210" s="516"/>
      <c r="I210" s="516"/>
      <c r="J210" s="516"/>
      <c r="K210" s="516"/>
      <c r="L210" s="516"/>
      <c r="M210" s="516"/>
      <c r="N210" s="516"/>
      <c r="O210" s="516"/>
      <c r="P210" s="516"/>
      <c r="Q210" s="516"/>
      <c r="R210" s="516"/>
      <c r="S210" s="516"/>
      <c r="T210" s="516"/>
      <c r="U210" s="516"/>
      <c r="V210" s="516"/>
      <c r="W210" s="516"/>
      <c r="X210" s="516"/>
      <c r="Y210" s="516"/>
      <c r="Z210" s="516"/>
      <c r="AA210" s="516"/>
      <c r="AB210" s="516"/>
      <c r="AC210" s="516"/>
      <c r="AD210" s="516"/>
      <c r="AE210" s="516"/>
      <c r="AF210" s="516"/>
      <c r="AG210" s="516"/>
      <c r="AH210" s="516"/>
      <c r="AI210" s="516"/>
      <c r="AJ210" s="516"/>
      <c r="AK210" s="516"/>
      <c r="AL210" s="516"/>
      <c r="AM210" s="516"/>
      <c r="AN210" s="516"/>
      <c r="AO210" s="516"/>
      <c r="AP210" s="516"/>
      <c r="AQ210" s="516"/>
      <c r="AR210" s="516"/>
      <c r="AS210" s="516"/>
      <c r="AT210" s="516"/>
      <c r="AU210" s="516"/>
      <c r="AV210" s="516"/>
      <c r="AW210" s="516"/>
      <c r="AX210" s="516"/>
      <c r="AY210" s="516"/>
      <c r="AZ210" s="516"/>
      <c r="BA210" s="516"/>
      <c r="BB210" s="516"/>
      <c r="BC210" s="516"/>
      <c r="BD210" s="516"/>
      <c r="BE210" s="516"/>
      <c r="BF210" s="516"/>
      <c r="BG210" s="516"/>
      <c r="BH210" s="516"/>
      <c r="BI210" s="516"/>
      <c r="BJ210" s="516"/>
      <c r="BK210" s="516"/>
      <c r="BL210" s="516"/>
      <c r="BM210" s="516"/>
      <c r="BN210" s="516"/>
      <c r="BO210" s="516"/>
      <c r="BP210" s="516"/>
      <c r="BQ210" s="516"/>
      <c r="BR210" s="516"/>
      <c r="BS210" s="516"/>
      <c r="BT210" s="516"/>
      <c r="BU210" s="516"/>
      <c r="BV210" s="516"/>
      <c r="BW210" s="516"/>
      <c r="BX210" s="516"/>
      <c r="BY210" s="516"/>
      <c r="BZ210" s="516"/>
      <c r="CA210" s="516"/>
      <c r="CB210" s="516"/>
    </row>
    <row r="211" spans="1:80" x14ac:dyDescent="0.25">
      <c r="A211" s="860"/>
      <c r="B211" s="860">
        <v>561</v>
      </c>
      <c r="C211" s="860"/>
      <c r="D211" s="860" t="s">
        <v>687</v>
      </c>
      <c r="E211" s="516"/>
      <c r="F211" s="516"/>
      <c r="G211" s="516"/>
      <c r="H211" s="516"/>
      <c r="I211" s="516"/>
      <c r="J211" s="516"/>
      <c r="K211" s="516"/>
      <c r="L211" s="516"/>
      <c r="M211" s="516"/>
      <c r="N211" s="516"/>
      <c r="O211" s="516"/>
      <c r="P211" s="516"/>
      <c r="Q211" s="516"/>
      <c r="R211" s="516"/>
      <c r="S211" s="516"/>
      <c r="T211" s="516"/>
      <c r="U211" s="516"/>
      <c r="V211" s="516"/>
      <c r="W211" s="516"/>
      <c r="X211" s="516"/>
      <c r="Y211" s="516"/>
      <c r="Z211" s="516"/>
      <c r="AA211" s="516"/>
      <c r="AB211" s="516"/>
      <c r="AC211" s="516"/>
      <c r="AD211" s="516"/>
      <c r="AE211" s="516"/>
      <c r="AF211" s="516"/>
      <c r="AG211" s="516"/>
      <c r="AH211" s="516"/>
      <c r="AI211" s="516"/>
      <c r="AJ211" s="516"/>
      <c r="AK211" s="516"/>
      <c r="AL211" s="516"/>
      <c r="AM211" s="516"/>
      <c r="AN211" s="516"/>
      <c r="AO211" s="516"/>
      <c r="AP211" s="516"/>
      <c r="AQ211" s="516"/>
      <c r="AR211" s="516"/>
      <c r="AS211" s="516"/>
      <c r="AT211" s="516"/>
      <c r="AU211" s="516"/>
      <c r="AV211" s="516"/>
      <c r="AW211" s="516"/>
      <c r="AX211" s="516"/>
      <c r="AY211" s="516"/>
      <c r="AZ211" s="516"/>
      <c r="BA211" s="516"/>
      <c r="BB211" s="516"/>
      <c r="BC211" s="516"/>
      <c r="BD211" s="516"/>
      <c r="BE211" s="516"/>
      <c r="BF211" s="516"/>
      <c r="BG211" s="516"/>
      <c r="BH211" s="516"/>
      <c r="BI211" s="516"/>
      <c r="BJ211" s="516"/>
      <c r="BK211" s="516"/>
      <c r="BL211" s="516"/>
      <c r="BM211" s="516"/>
      <c r="BN211" s="516"/>
      <c r="BO211" s="516"/>
      <c r="BP211" s="516"/>
      <c r="BQ211" s="516"/>
      <c r="BR211" s="516"/>
      <c r="BS211" s="516"/>
      <c r="BT211" s="516"/>
      <c r="BU211" s="516"/>
      <c r="BV211" s="516"/>
      <c r="BW211" s="516"/>
      <c r="BX211" s="516"/>
      <c r="BY211" s="516"/>
      <c r="BZ211" s="516"/>
      <c r="CA211" s="516"/>
      <c r="CB211" s="516"/>
    </row>
    <row r="212" spans="1:80" x14ac:dyDescent="0.25">
      <c r="A212" s="860"/>
      <c r="B212" s="860">
        <v>562</v>
      </c>
      <c r="C212" s="860"/>
      <c r="D212" s="860" t="s">
        <v>688</v>
      </c>
      <c r="E212" s="516"/>
      <c r="F212" s="516"/>
      <c r="G212" s="516"/>
      <c r="H212" s="516"/>
      <c r="I212" s="516"/>
      <c r="J212" s="516"/>
      <c r="K212" s="516"/>
      <c r="L212" s="516"/>
      <c r="M212" s="516"/>
      <c r="N212" s="516"/>
      <c r="O212" s="516"/>
      <c r="P212" s="516"/>
      <c r="Q212" s="516"/>
      <c r="R212" s="516"/>
      <c r="S212" s="516"/>
      <c r="T212" s="516"/>
      <c r="U212" s="516"/>
      <c r="V212" s="516"/>
      <c r="W212" s="516"/>
      <c r="X212" s="516"/>
      <c r="Y212" s="516"/>
      <c r="Z212" s="516"/>
      <c r="AA212" s="516"/>
      <c r="AB212" s="516"/>
      <c r="AC212" s="516"/>
      <c r="AD212" s="516"/>
      <c r="AE212" s="516"/>
      <c r="AF212" s="516"/>
      <c r="AG212" s="516"/>
      <c r="AH212" s="516"/>
      <c r="AI212" s="516"/>
      <c r="AJ212" s="516"/>
      <c r="AK212" s="516"/>
      <c r="AL212" s="516"/>
      <c r="AM212" s="516"/>
      <c r="AN212" s="516"/>
      <c r="AO212" s="516"/>
      <c r="AP212" s="516"/>
      <c r="AQ212" s="516"/>
      <c r="AR212" s="516"/>
      <c r="AS212" s="516"/>
      <c r="AT212" s="516"/>
      <c r="AU212" s="516"/>
      <c r="AV212" s="516"/>
      <c r="AW212" s="516"/>
      <c r="AX212" s="516"/>
      <c r="AY212" s="516"/>
      <c r="AZ212" s="516"/>
      <c r="BA212" s="516"/>
      <c r="BB212" s="516"/>
      <c r="BC212" s="516"/>
      <c r="BD212" s="516"/>
      <c r="BE212" s="516"/>
      <c r="BF212" s="516"/>
      <c r="BG212" s="516"/>
      <c r="BH212" s="516"/>
      <c r="BI212" s="516"/>
      <c r="BJ212" s="516"/>
      <c r="BK212" s="516"/>
      <c r="BL212" s="516"/>
      <c r="BM212" s="516"/>
      <c r="BN212" s="516"/>
      <c r="BO212" s="516"/>
      <c r="BP212" s="516"/>
      <c r="BQ212" s="516"/>
      <c r="BR212" s="516"/>
      <c r="BS212" s="516"/>
      <c r="BT212" s="516"/>
      <c r="BU212" s="516"/>
      <c r="BV212" s="516"/>
      <c r="BW212" s="516"/>
      <c r="BX212" s="516"/>
      <c r="BY212" s="516"/>
      <c r="BZ212" s="516"/>
      <c r="CA212" s="516"/>
      <c r="CB212" s="516"/>
    </row>
    <row r="213" spans="1:80" x14ac:dyDescent="0.25">
      <c r="A213" s="860"/>
      <c r="B213" s="860">
        <v>563</v>
      </c>
      <c r="C213" s="860"/>
      <c r="D213" s="860" t="s">
        <v>689</v>
      </c>
      <c r="E213" s="516"/>
      <c r="F213" s="516"/>
      <c r="G213" s="516"/>
      <c r="H213" s="516"/>
      <c r="I213" s="516"/>
      <c r="J213" s="516"/>
      <c r="K213" s="516"/>
      <c r="L213" s="516"/>
      <c r="M213" s="516"/>
      <c r="N213" s="516"/>
      <c r="O213" s="516"/>
      <c r="P213" s="516"/>
      <c r="Q213" s="516"/>
      <c r="R213" s="516"/>
      <c r="S213" s="516"/>
      <c r="T213" s="516"/>
      <c r="U213" s="516"/>
      <c r="V213" s="516"/>
      <c r="W213" s="516"/>
      <c r="X213" s="516"/>
      <c r="Y213" s="516"/>
      <c r="Z213" s="516"/>
      <c r="AA213" s="516"/>
      <c r="AB213" s="516"/>
      <c r="AC213" s="516"/>
      <c r="AD213" s="516"/>
      <c r="AE213" s="516"/>
      <c r="AF213" s="516"/>
      <c r="AG213" s="516"/>
      <c r="AH213" s="516"/>
      <c r="AI213" s="516"/>
      <c r="AJ213" s="516"/>
      <c r="AK213" s="516"/>
      <c r="AL213" s="516"/>
      <c r="AM213" s="516"/>
      <c r="AN213" s="516"/>
      <c r="AO213" s="516"/>
      <c r="AP213" s="516"/>
      <c r="AQ213" s="516"/>
      <c r="AR213" s="516"/>
      <c r="AS213" s="516"/>
      <c r="AT213" s="516"/>
      <c r="AU213" s="516"/>
      <c r="AV213" s="516"/>
      <c r="AW213" s="516"/>
      <c r="AX213" s="516"/>
      <c r="AY213" s="516"/>
      <c r="AZ213" s="516"/>
      <c r="BA213" s="516"/>
      <c r="BB213" s="516"/>
      <c r="BC213" s="516"/>
      <c r="BD213" s="516"/>
      <c r="BE213" s="516"/>
      <c r="BF213" s="516"/>
      <c r="BG213" s="516"/>
      <c r="BH213" s="516"/>
      <c r="BI213" s="516"/>
      <c r="BJ213" s="516"/>
      <c r="BK213" s="516"/>
      <c r="BL213" s="516"/>
      <c r="BM213" s="516"/>
      <c r="BN213" s="516"/>
      <c r="BO213" s="516"/>
      <c r="BP213" s="516"/>
      <c r="BQ213" s="516"/>
      <c r="BR213" s="516"/>
      <c r="BS213" s="516"/>
      <c r="BT213" s="516"/>
      <c r="BU213" s="516"/>
      <c r="BV213" s="516"/>
      <c r="BW213" s="516"/>
      <c r="BX213" s="516"/>
      <c r="BY213" s="516"/>
      <c r="BZ213" s="516"/>
      <c r="CA213" s="516"/>
      <c r="CB213" s="516"/>
    </row>
    <row r="214" spans="1:80" x14ac:dyDescent="0.25">
      <c r="A214" s="860"/>
      <c r="B214" s="860">
        <v>564</v>
      </c>
      <c r="C214" s="860"/>
      <c r="D214" s="860" t="s">
        <v>690</v>
      </c>
      <c r="E214" s="516"/>
      <c r="F214" s="516"/>
      <c r="G214" s="516"/>
      <c r="H214" s="516"/>
      <c r="I214" s="516"/>
      <c r="J214" s="516"/>
      <c r="K214" s="516"/>
      <c r="L214" s="516"/>
      <c r="M214" s="516"/>
      <c r="N214" s="516"/>
      <c r="O214" s="516"/>
      <c r="P214" s="516"/>
      <c r="Q214" s="516"/>
      <c r="R214" s="516"/>
      <c r="S214" s="516"/>
      <c r="T214" s="516"/>
      <c r="U214" s="516"/>
      <c r="V214" s="516"/>
      <c r="W214" s="516"/>
      <c r="X214" s="516"/>
      <c r="Y214" s="516"/>
      <c r="Z214" s="516"/>
      <c r="AA214" s="516"/>
      <c r="AB214" s="516"/>
      <c r="AC214" s="516"/>
      <c r="AD214" s="516"/>
      <c r="AE214" s="516"/>
      <c r="AF214" s="516"/>
      <c r="AG214" s="516"/>
      <c r="AH214" s="516"/>
      <c r="AI214" s="516"/>
      <c r="AJ214" s="516"/>
      <c r="AK214" s="516"/>
      <c r="AL214" s="516"/>
      <c r="AM214" s="516"/>
      <c r="AN214" s="516"/>
      <c r="AO214" s="516"/>
      <c r="AP214" s="516"/>
      <c r="AQ214" s="516"/>
      <c r="AR214" s="516"/>
      <c r="AS214" s="516"/>
      <c r="AT214" s="516"/>
      <c r="AU214" s="516"/>
      <c r="AV214" s="516"/>
      <c r="AW214" s="516"/>
      <c r="AX214" s="516"/>
      <c r="AY214" s="516"/>
      <c r="AZ214" s="516"/>
      <c r="BA214" s="516"/>
      <c r="BB214" s="516"/>
      <c r="BC214" s="516"/>
      <c r="BD214" s="516"/>
      <c r="BE214" s="516"/>
      <c r="BF214" s="516"/>
      <c r="BG214" s="516"/>
      <c r="BH214" s="516"/>
      <c r="BI214" s="516"/>
      <c r="BJ214" s="516"/>
      <c r="BK214" s="516"/>
      <c r="BL214" s="516"/>
      <c r="BM214" s="516"/>
      <c r="BN214" s="516"/>
      <c r="BO214" s="516"/>
      <c r="BP214" s="516"/>
      <c r="BQ214" s="516"/>
      <c r="BR214" s="516"/>
      <c r="BS214" s="516"/>
      <c r="BT214" s="516"/>
      <c r="BU214" s="516"/>
      <c r="BV214" s="516"/>
      <c r="BW214" s="516"/>
      <c r="BX214" s="516"/>
      <c r="BY214" s="516"/>
      <c r="BZ214" s="516"/>
      <c r="CA214" s="516"/>
      <c r="CB214" s="516"/>
    </row>
    <row r="215" spans="1:80" x14ac:dyDescent="0.25">
      <c r="A215" s="860"/>
      <c r="B215" s="860">
        <v>565</v>
      </c>
      <c r="C215" s="860"/>
      <c r="D215" s="860" t="s">
        <v>691</v>
      </c>
      <c r="E215" s="516"/>
      <c r="F215" s="516"/>
      <c r="G215" s="516"/>
      <c r="H215" s="516"/>
      <c r="I215" s="516"/>
      <c r="J215" s="516"/>
      <c r="K215" s="516"/>
      <c r="L215" s="516"/>
      <c r="M215" s="516"/>
      <c r="N215" s="516"/>
      <c r="O215" s="516"/>
      <c r="P215" s="516"/>
      <c r="Q215" s="516"/>
      <c r="R215" s="516"/>
      <c r="S215" s="516"/>
      <c r="T215" s="516"/>
      <c r="U215" s="516"/>
      <c r="V215" s="516"/>
      <c r="W215" s="516"/>
      <c r="X215" s="516"/>
      <c r="Y215" s="516"/>
      <c r="Z215" s="516"/>
      <c r="AA215" s="516"/>
      <c r="AB215" s="516"/>
      <c r="AC215" s="516"/>
      <c r="AD215" s="516"/>
      <c r="AE215" s="516"/>
      <c r="AF215" s="516"/>
      <c r="AG215" s="516"/>
      <c r="AH215" s="516"/>
      <c r="AI215" s="516"/>
      <c r="AJ215" s="516"/>
      <c r="AK215" s="516"/>
      <c r="AL215" s="516"/>
      <c r="AM215" s="516"/>
      <c r="AN215" s="516"/>
      <c r="AO215" s="516"/>
      <c r="AP215" s="516"/>
      <c r="AQ215" s="516"/>
      <c r="AR215" s="516"/>
      <c r="AS215" s="516"/>
      <c r="AT215" s="516"/>
      <c r="AU215" s="516"/>
      <c r="AV215" s="516"/>
      <c r="AW215" s="516"/>
      <c r="AX215" s="516"/>
      <c r="AY215" s="516"/>
      <c r="AZ215" s="516"/>
      <c r="BA215" s="516"/>
      <c r="BB215" s="516"/>
      <c r="BC215" s="516"/>
      <c r="BD215" s="516"/>
      <c r="BE215" s="516"/>
      <c r="BF215" s="516"/>
      <c r="BG215" s="516"/>
      <c r="BH215" s="516"/>
      <c r="BI215" s="516"/>
      <c r="BJ215" s="516"/>
      <c r="BK215" s="516"/>
      <c r="BL215" s="516"/>
      <c r="BM215" s="516"/>
      <c r="BN215" s="516"/>
      <c r="BO215" s="516"/>
      <c r="BP215" s="516"/>
      <c r="BQ215" s="516"/>
      <c r="BR215" s="516"/>
      <c r="BS215" s="516"/>
      <c r="BT215" s="516"/>
      <c r="BU215" s="516"/>
      <c r="BV215" s="516"/>
      <c r="BW215" s="516"/>
      <c r="BX215" s="516"/>
      <c r="BY215" s="516"/>
      <c r="BZ215" s="516"/>
      <c r="CA215" s="516"/>
      <c r="CB215" s="516"/>
    </row>
    <row r="216" spans="1:80" x14ac:dyDescent="0.25">
      <c r="A216" s="860"/>
      <c r="B216" s="860">
        <v>566</v>
      </c>
      <c r="C216" s="860"/>
      <c r="D216" s="860" t="s">
        <v>692</v>
      </c>
      <c r="E216" s="516"/>
      <c r="F216" s="516"/>
      <c r="G216" s="516"/>
      <c r="H216" s="516"/>
      <c r="I216" s="516"/>
      <c r="J216" s="516"/>
      <c r="K216" s="516"/>
      <c r="L216" s="516"/>
      <c r="M216" s="516"/>
      <c r="N216" s="516"/>
      <c r="O216" s="516"/>
      <c r="P216" s="516"/>
      <c r="Q216" s="516"/>
      <c r="R216" s="516"/>
      <c r="S216" s="516"/>
      <c r="T216" s="516"/>
      <c r="U216" s="516"/>
      <c r="V216" s="516"/>
      <c r="W216" s="516"/>
      <c r="X216" s="516"/>
      <c r="Y216" s="516"/>
      <c r="Z216" s="516"/>
      <c r="AA216" s="516"/>
      <c r="AB216" s="516"/>
      <c r="AC216" s="516"/>
      <c r="AD216" s="516"/>
      <c r="AE216" s="516"/>
      <c r="AF216" s="516"/>
      <c r="AG216" s="516"/>
      <c r="AH216" s="516"/>
      <c r="AI216" s="516"/>
      <c r="AJ216" s="516"/>
      <c r="AK216" s="516"/>
      <c r="AL216" s="516"/>
      <c r="AM216" s="516"/>
      <c r="AN216" s="516"/>
      <c r="AO216" s="516"/>
      <c r="AP216" s="516"/>
      <c r="AQ216" s="516"/>
      <c r="AR216" s="516"/>
      <c r="AS216" s="516"/>
      <c r="AT216" s="516"/>
      <c r="AU216" s="516"/>
      <c r="AV216" s="516"/>
      <c r="AW216" s="516"/>
      <c r="AX216" s="516"/>
      <c r="AY216" s="516"/>
      <c r="AZ216" s="516"/>
      <c r="BA216" s="516"/>
      <c r="BB216" s="516"/>
      <c r="BC216" s="516"/>
      <c r="BD216" s="516"/>
      <c r="BE216" s="516"/>
      <c r="BF216" s="516"/>
      <c r="BG216" s="516"/>
      <c r="BH216" s="516"/>
      <c r="BI216" s="516"/>
      <c r="BJ216" s="516"/>
      <c r="BK216" s="516"/>
      <c r="BL216" s="516"/>
      <c r="BM216" s="516"/>
      <c r="BN216" s="516"/>
      <c r="BO216" s="516"/>
      <c r="BP216" s="516"/>
      <c r="BQ216" s="516"/>
      <c r="BR216" s="516"/>
      <c r="BS216" s="516"/>
      <c r="BT216" s="516"/>
      <c r="BU216" s="516"/>
      <c r="BV216" s="516"/>
      <c r="BW216" s="516"/>
      <c r="BX216" s="516"/>
      <c r="BY216" s="516"/>
      <c r="BZ216" s="516"/>
      <c r="CA216" s="516"/>
      <c r="CB216" s="516"/>
    </row>
    <row r="217" spans="1:80" x14ac:dyDescent="0.25">
      <c r="A217" s="860"/>
      <c r="B217" s="860">
        <v>567</v>
      </c>
      <c r="C217" s="860"/>
      <c r="D217" s="860" t="s">
        <v>693</v>
      </c>
      <c r="E217" s="516"/>
      <c r="F217" s="516"/>
      <c r="G217" s="516"/>
      <c r="H217" s="516"/>
      <c r="I217" s="516"/>
      <c r="J217" s="516"/>
      <c r="K217" s="516"/>
      <c r="L217" s="516"/>
      <c r="M217" s="516"/>
      <c r="N217" s="516"/>
      <c r="O217" s="516"/>
      <c r="P217" s="516"/>
      <c r="Q217" s="516"/>
      <c r="R217" s="516"/>
      <c r="S217" s="516"/>
      <c r="T217" s="516"/>
      <c r="U217" s="516"/>
      <c r="V217" s="516"/>
      <c r="W217" s="516"/>
      <c r="X217" s="516"/>
      <c r="Y217" s="516"/>
      <c r="Z217" s="516"/>
      <c r="AA217" s="516"/>
      <c r="AB217" s="516"/>
      <c r="AC217" s="516"/>
      <c r="AD217" s="516"/>
      <c r="AE217" s="516"/>
      <c r="AF217" s="516"/>
      <c r="AG217" s="516"/>
      <c r="AH217" s="516"/>
      <c r="AI217" s="516"/>
      <c r="AJ217" s="516"/>
      <c r="AK217" s="516"/>
      <c r="AL217" s="516"/>
      <c r="AM217" s="516"/>
      <c r="AN217" s="516"/>
      <c r="AO217" s="516"/>
      <c r="AP217" s="516"/>
      <c r="AQ217" s="516"/>
      <c r="AR217" s="516"/>
      <c r="AS217" s="516"/>
      <c r="AT217" s="516"/>
      <c r="AU217" s="516"/>
      <c r="AV217" s="516"/>
      <c r="AW217" s="516"/>
      <c r="AX217" s="516"/>
      <c r="AY217" s="516"/>
      <c r="AZ217" s="516"/>
      <c r="BA217" s="516"/>
      <c r="BB217" s="516"/>
      <c r="BC217" s="516"/>
      <c r="BD217" s="516"/>
      <c r="BE217" s="516"/>
      <c r="BF217" s="516"/>
      <c r="BG217" s="516"/>
      <c r="BH217" s="516"/>
      <c r="BI217" s="516"/>
      <c r="BJ217" s="516"/>
      <c r="BK217" s="516"/>
      <c r="BL217" s="516"/>
      <c r="BM217" s="516"/>
      <c r="BN217" s="516"/>
      <c r="BO217" s="516"/>
      <c r="BP217" s="516"/>
      <c r="BQ217" s="516"/>
      <c r="BR217" s="516"/>
      <c r="BS217" s="516"/>
      <c r="BT217" s="516"/>
      <c r="BU217" s="516"/>
      <c r="BV217" s="516"/>
      <c r="BW217" s="516"/>
      <c r="BX217" s="516"/>
      <c r="BY217" s="516"/>
      <c r="BZ217" s="516"/>
      <c r="CA217" s="516"/>
      <c r="CB217" s="516"/>
    </row>
    <row r="218" spans="1:80" x14ac:dyDescent="0.25">
      <c r="A218" s="860"/>
      <c r="B218" s="860">
        <v>568</v>
      </c>
      <c r="C218" s="860"/>
      <c r="D218" s="860" t="s">
        <v>694</v>
      </c>
      <c r="E218" s="516"/>
      <c r="F218" s="516"/>
      <c r="G218" s="516"/>
      <c r="H218" s="516"/>
      <c r="I218" s="516"/>
      <c r="J218" s="516"/>
      <c r="K218" s="516"/>
      <c r="L218" s="516"/>
      <c r="M218" s="516"/>
      <c r="N218" s="516"/>
      <c r="O218" s="516"/>
      <c r="P218" s="516"/>
      <c r="Q218" s="516"/>
      <c r="R218" s="516"/>
      <c r="S218" s="516"/>
      <c r="T218" s="516"/>
      <c r="U218" s="516"/>
      <c r="V218" s="516"/>
      <c r="W218" s="516"/>
      <c r="X218" s="516"/>
      <c r="Y218" s="516"/>
      <c r="Z218" s="516"/>
      <c r="AA218" s="516"/>
      <c r="AB218" s="516"/>
      <c r="AC218" s="516"/>
      <c r="AD218" s="516"/>
      <c r="AE218" s="516"/>
      <c r="AF218" s="516"/>
      <c r="AG218" s="516"/>
      <c r="AH218" s="516"/>
      <c r="AI218" s="516"/>
      <c r="AJ218" s="516"/>
      <c r="AK218" s="516"/>
      <c r="AL218" s="516"/>
      <c r="AM218" s="516"/>
      <c r="AN218" s="516"/>
      <c r="AO218" s="516"/>
      <c r="AP218" s="516"/>
      <c r="AQ218" s="516"/>
      <c r="AR218" s="516"/>
      <c r="AS218" s="516"/>
      <c r="AT218" s="516"/>
      <c r="AU218" s="516"/>
      <c r="AV218" s="516"/>
      <c r="AW218" s="516"/>
      <c r="AX218" s="516"/>
      <c r="AY218" s="516"/>
      <c r="AZ218" s="516"/>
      <c r="BA218" s="516"/>
      <c r="BB218" s="516"/>
      <c r="BC218" s="516"/>
      <c r="BD218" s="516"/>
      <c r="BE218" s="516"/>
      <c r="BF218" s="516"/>
      <c r="BG218" s="516"/>
      <c r="BH218" s="516"/>
      <c r="BI218" s="516"/>
      <c r="BJ218" s="516"/>
      <c r="BK218" s="516"/>
      <c r="BL218" s="516"/>
      <c r="BM218" s="516"/>
      <c r="BN218" s="516"/>
      <c r="BO218" s="516"/>
      <c r="BP218" s="516"/>
      <c r="BQ218" s="516"/>
      <c r="BR218" s="516"/>
      <c r="BS218" s="516"/>
      <c r="BT218" s="516"/>
      <c r="BU218" s="516"/>
      <c r="BV218" s="516"/>
      <c r="BW218" s="516"/>
      <c r="BX218" s="516"/>
      <c r="BY218" s="516"/>
      <c r="BZ218" s="516"/>
      <c r="CA218" s="516"/>
      <c r="CB218" s="516"/>
    </row>
    <row r="219" spans="1:80" x14ac:dyDescent="0.25">
      <c r="A219" s="860"/>
      <c r="B219" s="860">
        <v>569</v>
      </c>
      <c r="C219" s="860"/>
      <c r="D219" s="860" t="s">
        <v>695</v>
      </c>
      <c r="E219" s="516"/>
      <c r="F219" s="516"/>
      <c r="G219" s="516"/>
      <c r="H219" s="516"/>
      <c r="I219" s="516"/>
      <c r="J219" s="516"/>
      <c r="K219" s="516"/>
      <c r="L219" s="516"/>
      <c r="M219" s="516"/>
      <c r="N219" s="516"/>
      <c r="O219" s="516"/>
      <c r="P219" s="516"/>
      <c r="Q219" s="516"/>
      <c r="R219" s="516"/>
      <c r="S219" s="516"/>
      <c r="T219" s="516"/>
      <c r="U219" s="516"/>
      <c r="V219" s="516"/>
      <c r="W219" s="516"/>
      <c r="X219" s="516"/>
      <c r="Y219" s="516"/>
      <c r="Z219" s="516"/>
      <c r="AA219" s="516"/>
      <c r="AB219" s="516"/>
      <c r="AC219" s="516"/>
      <c r="AD219" s="516"/>
      <c r="AE219" s="516"/>
      <c r="AF219" s="516"/>
      <c r="AG219" s="516"/>
      <c r="AH219" s="516"/>
      <c r="AI219" s="516"/>
      <c r="AJ219" s="516"/>
      <c r="AK219" s="516"/>
      <c r="AL219" s="516"/>
      <c r="AM219" s="516"/>
      <c r="AN219" s="516"/>
      <c r="AO219" s="516"/>
      <c r="AP219" s="516"/>
      <c r="AQ219" s="516"/>
      <c r="AR219" s="516"/>
      <c r="AS219" s="516"/>
      <c r="AT219" s="516"/>
      <c r="AU219" s="516"/>
      <c r="AV219" s="516"/>
      <c r="AW219" s="516"/>
      <c r="AX219" s="516"/>
      <c r="AY219" s="516"/>
      <c r="AZ219" s="516"/>
      <c r="BA219" s="516"/>
      <c r="BB219" s="516"/>
      <c r="BC219" s="516"/>
      <c r="BD219" s="516"/>
      <c r="BE219" s="516"/>
      <c r="BF219" s="516"/>
      <c r="BG219" s="516"/>
      <c r="BH219" s="516"/>
      <c r="BI219" s="516"/>
      <c r="BJ219" s="516"/>
      <c r="BK219" s="516"/>
      <c r="BL219" s="516"/>
      <c r="BM219" s="516"/>
      <c r="BN219" s="516"/>
      <c r="BO219" s="516"/>
      <c r="BP219" s="516"/>
      <c r="BQ219" s="516"/>
      <c r="BR219" s="516"/>
      <c r="BS219" s="516"/>
      <c r="BT219" s="516"/>
      <c r="BU219" s="516"/>
      <c r="BV219" s="516"/>
      <c r="BW219" s="516"/>
      <c r="BX219" s="516"/>
      <c r="BY219" s="516"/>
      <c r="BZ219" s="516"/>
      <c r="CA219" s="516"/>
      <c r="CB219" s="516"/>
    </row>
    <row r="220" spans="1:80" x14ac:dyDescent="0.25">
      <c r="A220" s="860"/>
      <c r="B220" s="860">
        <v>570</v>
      </c>
      <c r="C220" s="860"/>
      <c r="D220" s="860" t="s">
        <v>696</v>
      </c>
      <c r="E220" s="516"/>
      <c r="F220" s="516"/>
      <c r="G220" s="516"/>
      <c r="H220" s="516"/>
      <c r="I220" s="516"/>
      <c r="J220" s="516"/>
      <c r="K220" s="516"/>
      <c r="L220" s="516"/>
      <c r="M220" s="516"/>
      <c r="N220" s="516"/>
      <c r="O220" s="516"/>
      <c r="P220" s="516"/>
      <c r="Q220" s="516"/>
      <c r="R220" s="516"/>
      <c r="S220" s="516"/>
      <c r="T220" s="516"/>
      <c r="U220" s="516"/>
      <c r="V220" s="516"/>
      <c r="W220" s="516"/>
      <c r="X220" s="516"/>
      <c r="Y220" s="516"/>
      <c r="Z220" s="516"/>
      <c r="AA220" s="516"/>
      <c r="AB220" s="516"/>
      <c r="AC220" s="516"/>
      <c r="AD220" s="516"/>
      <c r="AE220" s="516"/>
      <c r="AF220" s="516"/>
      <c r="AG220" s="516"/>
      <c r="AH220" s="516"/>
      <c r="AI220" s="516"/>
      <c r="AJ220" s="516"/>
      <c r="AK220" s="516"/>
      <c r="AL220" s="516"/>
      <c r="AM220" s="516"/>
      <c r="AN220" s="516"/>
      <c r="AO220" s="516"/>
      <c r="AP220" s="516"/>
      <c r="AQ220" s="516"/>
      <c r="AR220" s="516"/>
      <c r="AS220" s="516"/>
      <c r="AT220" s="516"/>
      <c r="AU220" s="516"/>
      <c r="AV220" s="516"/>
      <c r="AW220" s="516"/>
      <c r="AX220" s="516"/>
      <c r="AY220" s="516"/>
      <c r="AZ220" s="516"/>
      <c r="BA220" s="516"/>
      <c r="BB220" s="516"/>
      <c r="BC220" s="516"/>
      <c r="BD220" s="516"/>
      <c r="BE220" s="516"/>
      <c r="BF220" s="516"/>
      <c r="BG220" s="516"/>
      <c r="BH220" s="516"/>
      <c r="BI220" s="516"/>
      <c r="BJ220" s="516"/>
      <c r="BK220" s="516"/>
      <c r="BL220" s="516"/>
      <c r="BM220" s="516"/>
      <c r="BN220" s="516"/>
      <c r="BO220" s="516"/>
      <c r="BP220" s="516"/>
      <c r="BQ220" s="516"/>
      <c r="BR220" s="516"/>
      <c r="BS220" s="516"/>
      <c r="BT220" s="516"/>
      <c r="BU220" s="516"/>
      <c r="BV220" s="516"/>
      <c r="BW220" s="516"/>
      <c r="BX220" s="516"/>
      <c r="BY220" s="516"/>
      <c r="BZ220" s="516"/>
      <c r="CA220" s="516"/>
      <c r="CB220" s="516"/>
    </row>
    <row r="221" spans="1:80" x14ac:dyDescent="0.25">
      <c r="A221" s="860"/>
      <c r="B221" s="860">
        <v>571</v>
      </c>
      <c r="C221" s="860"/>
      <c r="D221" s="860" t="s">
        <v>697</v>
      </c>
      <c r="E221" s="516"/>
      <c r="F221" s="516"/>
      <c r="G221" s="516"/>
      <c r="H221" s="516"/>
      <c r="I221" s="516"/>
      <c r="J221" s="516"/>
      <c r="K221" s="516"/>
      <c r="L221" s="516"/>
      <c r="M221" s="516"/>
      <c r="N221" s="516"/>
      <c r="O221" s="516"/>
      <c r="P221" s="516"/>
      <c r="Q221" s="516"/>
      <c r="R221" s="516"/>
      <c r="S221" s="516"/>
      <c r="T221" s="516"/>
      <c r="U221" s="516"/>
      <c r="V221" s="516"/>
      <c r="W221" s="516"/>
      <c r="X221" s="516"/>
      <c r="Y221" s="516"/>
      <c r="Z221" s="516"/>
      <c r="AA221" s="516"/>
      <c r="AB221" s="516"/>
      <c r="AC221" s="516"/>
      <c r="AD221" s="516"/>
      <c r="AE221" s="516"/>
      <c r="AF221" s="516"/>
      <c r="AG221" s="516"/>
      <c r="AH221" s="516"/>
      <c r="AI221" s="516"/>
      <c r="AJ221" s="516"/>
      <c r="AK221" s="516"/>
      <c r="AL221" s="516"/>
      <c r="AM221" s="516"/>
      <c r="AN221" s="516"/>
      <c r="AO221" s="516"/>
      <c r="AP221" s="516"/>
      <c r="AQ221" s="516"/>
      <c r="AR221" s="516"/>
      <c r="AS221" s="516"/>
      <c r="AT221" s="516"/>
      <c r="AU221" s="516"/>
      <c r="AV221" s="516"/>
      <c r="AW221" s="516"/>
      <c r="AX221" s="516"/>
      <c r="AY221" s="516"/>
      <c r="AZ221" s="516"/>
      <c r="BA221" s="516"/>
      <c r="BB221" s="516"/>
      <c r="BC221" s="516"/>
      <c r="BD221" s="516"/>
      <c r="BE221" s="516"/>
      <c r="BF221" s="516"/>
      <c r="BG221" s="516"/>
      <c r="BH221" s="516"/>
      <c r="BI221" s="516"/>
      <c r="BJ221" s="516"/>
      <c r="BK221" s="516"/>
      <c r="BL221" s="516"/>
      <c r="BM221" s="516"/>
      <c r="BN221" s="516"/>
      <c r="BO221" s="516"/>
      <c r="BP221" s="516"/>
      <c r="BQ221" s="516"/>
      <c r="BR221" s="516"/>
      <c r="BS221" s="516"/>
      <c r="BT221" s="516"/>
      <c r="BU221" s="516"/>
      <c r="BV221" s="516"/>
      <c r="BW221" s="516"/>
      <c r="BX221" s="516"/>
      <c r="BY221" s="516"/>
      <c r="BZ221" s="516"/>
      <c r="CA221" s="516"/>
      <c r="CB221" s="516"/>
    </row>
    <row r="222" spans="1:80" x14ac:dyDescent="0.25">
      <c r="A222" s="860"/>
      <c r="B222" s="860">
        <v>572</v>
      </c>
      <c r="C222" s="860"/>
      <c r="D222" s="860" t="s">
        <v>698</v>
      </c>
      <c r="E222" s="516"/>
      <c r="F222" s="516"/>
      <c r="G222" s="516"/>
      <c r="H222" s="516"/>
      <c r="I222" s="516"/>
      <c r="J222" s="516"/>
      <c r="K222" s="516"/>
      <c r="L222" s="516"/>
      <c r="M222" s="516"/>
      <c r="N222" s="516"/>
      <c r="O222" s="516"/>
      <c r="P222" s="516"/>
      <c r="Q222" s="516"/>
      <c r="R222" s="516"/>
      <c r="S222" s="516"/>
      <c r="T222" s="516"/>
      <c r="U222" s="516"/>
      <c r="V222" s="516"/>
      <c r="W222" s="516"/>
      <c r="X222" s="516"/>
      <c r="Y222" s="516"/>
      <c r="Z222" s="516"/>
      <c r="AA222" s="516"/>
      <c r="AB222" s="516"/>
      <c r="AC222" s="516"/>
      <c r="AD222" s="516"/>
      <c r="AE222" s="516"/>
      <c r="AF222" s="516"/>
      <c r="AG222" s="516"/>
      <c r="AH222" s="516"/>
      <c r="AI222" s="516"/>
      <c r="AJ222" s="516"/>
      <c r="AK222" s="516"/>
      <c r="AL222" s="516"/>
      <c r="AM222" s="516"/>
      <c r="AN222" s="516"/>
      <c r="AO222" s="516"/>
      <c r="AP222" s="516"/>
      <c r="AQ222" s="516"/>
      <c r="AR222" s="516"/>
      <c r="AS222" s="516"/>
      <c r="AT222" s="516"/>
      <c r="AU222" s="516"/>
      <c r="AV222" s="516"/>
      <c r="AW222" s="516"/>
      <c r="AX222" s="516"/>
      <c r="AY222" s="516"/>
      <c r="AZ222" s="516"/>
      <c r="BA222" s="516"/>
      <c r="BB222" s="516"/>
      <c r="BC222" s="516"/>
      <c r="BD222" s="516"/>
      <c r="BE222" s="516"/>
      <c r="BF222" s="516"/>
      <c r="BG222" s="516"/>
      <c r="BH222" s="516"/>
      <c r="BI222" s="516"/>
      <c r="BJ222" s="516"/>
      <c r="BK222" s="516"/>
      <c r="BL222" s="516"/>
      <c r="BM222" s="516"/>
      <c r="BN222" s="516"/>
      <c r="BO222" s="516"/>
      <c r="BP222" s="516"/>
      <c r="BQ222" s="516"/>
      <c r="BR222" s="516"/>
      <c r="BS222" s="516"/>
      <c r="BT222" s="516"/>
      <c r="BU222" s="516"/>
      <c r="BV222" s="516"/>
      <c r="BW222" s="516"/>
      <c r="BX222" s="516"/>
      <c r="BY222" s="516"/>
      <c r="BZ222" s="516"/>
      <c r="CA222" s="516"/>
      <c r="CB222" s="516"/>
    </row>
    <row r="223" spans="1:80" x14ac:dyDescent="0.25">
      <c r="A223" s="860"/>
      <c r="B223" s="860">
        <v>573</v>
      </c>
      <c r="C223" s="860"/>
      <c r="D223" s="860" t="s">
        <v>699</v>
      </c>
      <c r="E223" s="516"/>
      <c r="F223" s="516"/>
      <c r="G223" s="516"/>
      <c r="H223" s="516"/>
      <c r="I223" s="516"/>
      <c r="J223" s="516"/>
      <c r="K223" s="516"/>
      <c r="L223" s="516"/>
      <c r="M223" s="516"/>
      <c r="N223" s="516"/>
      <c r="O223" s="516"/>
      <c r="P223" s="516"/>
      <c r="Q223" s="516"/>
      <c r="R223" s="516"/>
      <c r="S223" s="516"/>
      <c r="T223" s="516"/>
      <c r="U223" s="516"/>
      <c r="V223" s="516"/>
      <c r="W223" s="516"/>
      <c r="X223" s="516"/>
      <c r="Y223" s="516"/>
      <c r="Z223" s="516"/>
      <c r="AA223" s="516"/>
      <c r="AB223" s="516"/>
      <c r="AC223" s="516"/>
      <c r="AD223" s="516"/>
      <c r="AE223" s="516"/>
      <c r="AF223" s="516"/>
      <c r="AG223" s="516"/>
      <c r="AH223" s="516"/>
      <c r="AI223" s="516"/>
      <c r="AJ223" s="516"/>
      <c r="AK223" s="516"/>
      <c r="AL223" s="516"/>
      <c r="AM223" s="516"/>
      <c r="AN223" s="516"/>
      <c r="AO223" s="516"/>
      <c r="AP223" s="516"/>
      <c r="AQ223" s="516"/>
      <c r="AR223" s="516"/>
      <c r="AS223" s="516"/>
      <c r="AT223" s="516"/>
      <c r="AU223" s="516"/>
      <c r="AV223" s="516"/>
      <c r="AW223" s="516"/>
      <c r="AX223" s="516"/>
      <c r="AY223" s="516"/>
      <c r="AZ223" s="516"/>
      <c r="BA223" s="516"/>
      <c r="BB223" s="516"/>
      <c r="BC223" s="516"/>
      <c r="BD223" s="516"/>
      <c r="BE223" s="516"/>
      <c r="BF223" s="516"/>
      <c r="BG223" s="516"/>
      <c r="BH223" s="516"/>
      <c r="BI223" s="516"/>
      <c r="BJ223" s="516"/>
      <c r="BK223" s="516"/>
      <c r="BL223" s="516"/>
      <c r="BM223" s="516"/>
      <c r="BN223" s="516"/>
      <c r="BO223" s="516"/>
      <c r="BP223" s="516"/>
      <c r="BQ223" s="516"/>
      <c r="BR223" s="516"/>
      <c r="BS223" s="516"/>
      <c r="BT223" s="516"/>
      <c r="BU223" s="516"/>
      <c r="BV223" s="516"/>
      <c r="BW223" s="516"/>
      <c r="BX223" s="516"/>
      <c r="BY223" s="516"/>
      <c r="BZ223" s="516"/>
      <c r="CA223" s="516"/>
      <c r="CB223" s="516"/>
    </row>
    <row r="224" spans="1:80" x14ac:dyDescent="0.25">
      <c r="A224" s="860"/>
      <c r="B224" s="860">
        <v>574</v>
      </c>
      <c r="C224" s="860"/>
      <c r="D224" s="860" t="s">
        <v>700</v>
      </c>
      <c r="E224" s="516"/>
      <c r="F224" s="516"/>
      <c r="G224" s="516"/>
      <c r="H224" s="516"/>
      <c r="I224" s="516"/>
      <c r="J224" s="516"/>
      <c r="K224" s="516"/>
      <c r="L224" s="516"/>
      <c r="M224" s="516"/>
      <c r="N224" s="516"/>
      <c r="O224" s="516"/>
      <c r="P224" s="516"/>
      <c r="Q224" s="516"/>
      <c r="R224" s="516"/>
      <c r="S224" s="516"/>
      <c r="T224" s="516"/>
      <c r="U224" s="516"/>
      <c r="V224" s="516"/>
      <c r="W224" s="516"/>
      <c r="X224" s="516"/>
      <c r="Y224" s="516"/>
      <c r="Z224" s="516"/>
      <c r="AA224" s="516"/>
      <c r="AB224" s="516"/>
      <c r="AC224" s="516"/>
      <c r="AD224" s="516"/>
      <c r="AE224" s="516"/>
      <c r="AF224" s="516"/>
      <c r="AG224" s="516"/>
      <c r="AH224" s="516"/>
      <c r="AI224" s="516"/>
      <c r="AJ224" s="516"/>
      <c r="AK224" s="516"/>
      <c r="AL224" s="516"/>
      <c r="AM224" s="516"/>
      <c r="AN224" s="516"/>
      <c r="AO224" s="516"/>
      <c r="AP224" s="516"/>
      <c r="AQ224" s="516"/>
      <c r="AR224" s="516"/>
      <c r="AS224" s="516"/>
      <c r="AT224" s="516"/>
      <c r="AU224" s="516"/>
      <c r="AV224" s="516"/>
      <c r="AW224" s="516"/>
      <c r="AX224" s="516"/>
      <c r="AY224" s="516"/>
      <c r="AZ224" s="516"/>
      <c r="BA224" s="516"/>
      <c r="BB224" s="516"/>
      <c r="BC224" s="516"/>
      <c r="BD224" s="516"/>
      <c r="BE224" s="516"/>
      <c r="BF224" s="516"/>
      <c r="BG224" s="516"/>
      <c r="BH224" s="516"/>
      <c r="BI224" s="516"/>
      <c r="BJ224" s="516"/>
      <c r="BK224" s="516"/>
      <c r="BL224" s="516"/>
      <c r="BM224" s="516"/>
      <c r="BN224" s="516"/>
      <c r="BO224" s="516"/>
      <c r="BP224" s="516"/>
      <c r="BQ224" s="516"/>
      <c r="BR224" s="516"/>
      <c r="BS224" s="516"/>
      <c r="BT224" s="516"/>
      <c r="BU224" s="516"/>
      <c r="BV224" s="516"/>
      <c r="BW224" s="516"/>
      <c r="BX224" s="516"/>
      <c r="BY224" s="516"/>
      <c r="BZ224" s="516"/>
      <c r="CA224" s="516"/>
      <c r="CB224" s="516"/>
    </row>
    <row r="225" spans="1:80" x14ac:dyDescent="0.25">
      <c r="A225" s="860">
        <v>575</v>
      </c>
      <c r="B225" s="860">
        <v>575</v>
      </c>
      <c r="C225" s="860" t="s">
        <v>641</v>
      </c>
      <c r="D225" s="860" t="s">
        <v>742</v>
      </c>
      <c r="E225" s="516">
        <v>0</v>
      </c>
      <c r="F225" s="516">
        <v>0</v>
      </c>
      <c r="G225" s="516">
        <v>0</v>
      </c>
      <c r="H225" s="516">
        <v>0</v>
      </c>
      <c r="I225" s="516">
        <v>0</v>
      </c>
      <c r="J225" s="516">
        <v>27196</v>
      </c>
      <c r="K225" s="516">
        <v>0</v>
      </c>
      <c r="L225" s="516">
        <v>346676</v>
      </c>
      <c r="M225" s="516">
        <v>0</v>
      </c>
      <c r="N225" s="516">
        <v>0</v>
      </c>
      <c r="O225" s="516">
        <v>0</v>
      </c>
      <c r="P225" s="516">
        <v>0</v>
      </c>
      <c r="Q225" s="516">
        <v>0</v>
      </c>
      <c r="R225" s="516">
        <v>0</v>
      </c>
      <c r="S225" s="516">
        <v>0</v>
      </c>
      <c r="T225" s="516">
        <v>0</v>
      </c>
      <c r="U225" s="516">
        <v>0</v>
      </c>
      <c r="V225" s="516">
        <v>0</v>
      </c>
      <c r="W225" s="516">
        <v>0</v>
      </c>
      <c r="X225" s="516">
        <v>0</v>
      </c>
      <c r="Y225" s="516">
        <v>0</v>
      </c>
      <c r="Z225" s="516">
        <v>0</v>
      </c>
      <c r="AA225" s="516">
        <v>0</v>
      </c>
      <c r="AB225" s="516">
        <v>672371</v>
      </c>
      <c r="AC225" s="516">
        <v>0</v>
      </c>
      <c r="AD225" s="516">
        <v>0</v>
      </c>
      <c r="AE225" s="516">
        <v>10382</v>
      </c>
      <c r="AF225" s="516">
        <v>0</v>
      </c>
      <c r="AG225" s="516">
        <v>0</v>
      </c>
      <c r="AH225" s="516">
        <v>0</v>
      </c>
      <c r="AI225" s="516">
        <v>0</v>
      </c>
      <c r="AJ225" s="516">
        <v>1550</v>
      </c>
      <c r="AK225" s="516">
        <v>0</v>
      </c>
      <c r="AL225" s="516">
        <v>0</v>
      </c>
      <c r="AM225" s="516">
        <v>0</v>
      </c>
      <c r="AN225" s="516">
        <v>974137</v>
      </c>
      <c r="AO225" s="516">
        <v>0</v>
      </c>
      <c r="AP225" s="516">
        <v>0</v>
      </c>
      <c r="AQ225" s="516">
        <v>0</v>
      </c>
      <c r="AR225" s="516">
        <v>0</v>
      </c>
      <c r="AS225" s="516">
        <v>0</v>
      </c>
      <c r="AT225" s="516">
        <v>0</v>
      </c>
      <c r="AU225" s="516">
        <v>0</v>
      </c>
      <c r="AV225" s="516">
        <v>0</v>
      </c>
      <c r="AW225" s="516">
        <v>0</v>
      </c>
      <c r="AX225" s="516">
        <v>0</v>
      </c>
      <c r="AY225" s="516">
        <v>0</v>
      </c>
      <c r="AZ225" s="516">
        <v>0</v>
      </c>
      <c r="BA225" s="516">
        <v>50000</v>
      </c>
      <c r="BB225" s="516">
        <v>0</v>
      </c>
      <c r="BC225" s="516">
        <v>0</v>
      </c>
      <c r="BD225" s="516">
        <v>0</v>
      </c>
      <c r="BE225" s="516">
        <v>0</v>
      </c>
      <c r="BF225" s="516">
        <v>0</v>
      </c>
      <c r="BG225" s="516">
        <v>0</v>
      </c>
      <c r="BH225" s="516">
        <v>0</v>
      </c>
      <c r="BI225" s="516">
        <v>0</v>
      </c>
      <c r="BJ225" s="516">
        <v>0</v>
      </c>
      <c r="BK225" s="516">
        <v>0</v>
      </c>
      <c r="BL225" s="516">
        <v>0</v>
      </c>
      <c r="BM225" s="516">
        <v>0</v>
      </c>
      <c r="BN225" s="516">
        <v>0</v>
      </c>
      <c r="BO225" s="516">
        <v>59065</v>
      </c>
      <c r="BP225" s="516">
        <v>0</v>
      </c>
      <c r="BQ225" s="516">
        <v>0</v>
      </c>
      <c r="BR225" s="516">
        <v>0</v>
      </c>
      <c r="BS225" s="516">
        <v>0</v>
      </c>
      <c r="BT225" s="516">
        <v>0</v>
      </c>
      <c r="BU225" s="516">
        <v>0</v>
      </c>
      <c r="BV225" s="516">
        <v>251671</v>
      </c>
      <c r="BW225" s="516">
        <v>0</v>
      </c>
      <c r="BX225" s="516">
        <v>22434</v>
      </c>
      <c r="BY225" s="516">
        <v>0</v>
      </c>
      <c r="BZ225" s="516">
        <v>0</v>
      </c>
      <c r="CA225" s="516">
        <v>0</v>
      </c>
      <c r="CB225" s="516">
        <v>0</v>
      </c>
    </row>
    <row r="226" spans="1:80" x14ac:dyDescent="0.25">
      <c r="A226" s="860">
        <v>576</v>
      </c>
      <c r="B226" s="860">
        <v>576</v>
      </c>
      <c r="C226" s="860" t="s">
        <v>642</v>
      </c>
      <c r="D226" s="860" t="s">
        <v>743</v>
      </c>
      <c r="E226" s="516">
        <v>0</v>
      </c>
      <c r="F226" s="516">
        <v>0</v>
      </c>
      <c r="G226" s="516">
        <v>0</v>
      </c>
      <c r="H226" s="516">
        <v>4892171</v>
      </c>
      <c r="I226" s="516">
        <v>0</v>
      </c>
      <c r="J226" s="516">
        <v>0</v>
      </c>
      <c r="K226" s="516">
        <v>0</v>
      </c>
      <c r="L226" s="516">
        <v>0</v>
      </c>
      <c r="M226" s="516">
        <v>0</v>
      </c>
      <c r="N226" s="516">
        <v>0</v>
      </c>
      <c r="O226" s="516">
        <v>0</v>
      </c>
      <c r="P226" s="516">
        <v>0</v>
      </c>
      <c r="Q226" s="516">
        <v>0</v>
      </c>
      <c r="R226" s="516">
        <v>0</v>
      </c>
      <c r="S226" s="516">
        <v>0</v>
      </c>
      <c r="T226" s="516">
        <v>0</v>
      </c>
      <c r="U226" s="516">
        <v>0</v>
      </c>
      <c r="V226" s="516">
        <v>0</v>
      </c>
      <c r="W226" s="516">
        <v>0</v>
      </c>
      <c r="X226" s="516">
        <v>0</v>
      </c>
      <c r="Y226" s="516">
        <v>0</v>
      </c>
      <c r="Z226" s="516">
        <v>0</v>
      </c>
      <c r="AA226" s="516">
        <v>30714</v>
      </c>
      <c r="AB226" s="516">
        <v>0</v>
      </c>
      <c r="AC226" s="516">
        <v>0</v>
      </c>
      <c r="AD226" s="516">
        <v>16151</v>
      </c>
      <c r="AE226" s="516">
        <v>0</v>
      </c>
      <c r="AF226" s="516">
        <v>57166</v>
      </c>
      <c r="AG226" s="516">
        <v>0</v>
      </c>
      <c r="AH226" s="516">
        <v>0</v>
      </c>
      <c r="AI226" s="516">
        <v>0</v>
      </c>
      <c r="AJ226" s="516">
        <v>0</v>
      </c>
      <c r="AK226" s="516">
        <v>0</v>
      </c>
      <c r="AL226" s="516">
        <v>1765</v>
      </c>
      <c r="AM226" s="516">
        <v>0</v>
      </c>
      <c r="AN226" s="516">
        <v>0</v>
      </c>
      <c r="AO226" s="516">
        <v>0</v>
      </c>
      <c r="AP226" s="516">
        <v>0</v>
      </c>
      <c r="AQ226" s="516">
        <v>0</v>
      </c>
      <c r="AR226" s="516">
        <v>3212679</v>
      </c>
      <c r="AS226" s="516">
        <v>0</v>
      </c>
      <c r="AT226" s="516">
        <v>0</v>
      </c>
      <c r="AU226" s="516">
        <v>0</v>
      </c>
      <c r="AV226" s="516">
        <v>1015000</v>
      </c>
      <c r="AW226" s="516">
        <v>41041</v>
      </c>
      <c r="AX226" s="516">
        <v>0</v>
      </c>
      <c r="AY226" s="516">
        <v>0</v>
      </c>
      <c r="AZ226" s="516">
        <v>18084</v>
      </c>
      <c r="BA226" s="516">
        <v>0</v>
      </c>
      <c r="BB226" s="516">
        <v>0</v>
      </c>
      <c r="BC226" s="516">
        <v>0</v>
      </c>
      <c r="BD226" s="516">
        <v>0</v>
      </c>
      <c r="BE226" s="516">
        <v>0</v>
      </c>
      <c r="BF226" s="516">
        <v>0</v>
      </c>
      <c r="BG226" s="516">
        <v>0</v>
      </c>
      <c r="BH226" s="516">
        <v>0</v>
      </c>
      <c r="BI226" s="516">
        <v>0</v>
      </c>
      <c r="BJ226" s="516">
        <v>0</v>
      </c>
      <c r="BK226" s="516">
        <v>0</v>
      </c>
      <c r="BL226" s="516">
        <v>0</v>
      </c>
      <c r="BM226" s="516">
        <v>0</v>
      </c>
      <c r="BN226" s="516">
        <v>0</v>
      </c>
      <c r="BO226" s="516">
        <v>0</v>
      </c>
      <c r="BP226" s="516">
        <v>700429</v>
      </c>
      <c r="BQ226" s="516">
        <v>0</v>
      </c>
      <c r="BR226" s="516">
        <v>0</v>
      </c>
      <c r="BS226" s="516">
        <v>0</v>
      </c>
      <c r="BT226" s="516">
        <v>0</v>
      </c>
      <c r="BU226" s="516">
        <v>60000</v>
      </c>
      <c r="BV226" s="516">
        <v>0</v>
      </c>
      <c r="BW226" s="516">
        <v>0</v>
      </c>
      <c r="BX226" s="516">
        <v>0</v>
      </c>
      <c r="BY226" s="516">
        <v>0</v>
      </c>
      <c r="BZ226" s="516">
        <v>0</v>
      </c>
      <c r="CA226" s="516">
        <v>0</v>
      </c>
      <c r="CB226" s="516">
        <v>0</v>
      </c>
    </row>
    <row r="227" spans="1:80" x14ac:dyDescent="0.25">
      <c r="A227" s="860">
        <v>577</v>
      </c>
      <c r="B227" s="860">
        <v>577</v>
      </c>
      <c r="C227" s="860" t="s">
        <v>744</v>
      </c>
      <c r="D227" s="860" t="s">
        <v>745</v>
      </c>
      <c r="E227" s="516">
        <v>2</v>
      </c>
      <c r="F227" s="516">
        <v>2</v>
      </c>
      <c r="G227" s="516">
        <v>0</v>
      </c>
      <c r="H227" s="516">
        <v>2</v>
      </c>
      <c r="I227" s="516">
        <v>2</v>
      </c>
      <c r="J227" s="516">
        <v>2</v>
      </c>
      <c r="K227" s="516">
        <v>2</v>
      </c>
      <c r="L227" s="516">
        <v>2</v>
      </c>
      <c r="M227" s="516">
        <v>2</v>
      </c>
      <c r="N227" s="516">
        <v>2</v>
      </c>
      <c r="O227" s="516">
        <v>2</v>
      </c>
      <c r="P227" s="516">
        <v>2</v>
      </c>
      <c r="Q227" s="516">
        <v>2</v>
      </c>
      <c r="R227" s="516">
        <v>2</v>
      </c>
      <c r="S227" s="516">
        <v>2</v>
      </c>
      <c r="T227" s="516">
        <v>2</v>
      </c>
      <c r="U227" s="516">
        <v>0</v>
      </c>
      <c r="V227" s="516">
        <v>2</v>
      </c>
      <c r="W227" s="516">
        <v>2</v>
      </c>
      <c r="X227" s="516">
        <v>2</v>
      </c>
      <c r="Y227" s="516">
        <v>0</v>
      </c>
      <c r="Z227" s="516">
        <v>2</v>
      </c>
      <c r="AA227" s="516">
        <v>2</v>
      </c>
      <c r="AB227" s="516">
        <v>2</v>
      </c>
      <c r="AC227" s="516">
        <v>0</v>
      </c>
      <c r="AD227" s="516">
        <v>0</v>
      </c>
      <c r="AE227" s="516">
        <v>2</v>
      </c>
      <c r="AF227" s="516">
        <v>2</v>
      </c>
      <c r="AG227" s="516">
        <v>2</v>
      </c>
      <c r="AH227" s="516">
        <v>0</v>
      </c>
      <c r="AI227" s="516">
        <v>2</v>
      </c>
      <c r="AJ227" s="516">
        <v>2</v>
      </c>
      <c r="AK227" s="516">
        <v>0</v>
      </c>
      <c r="AL227" s="516">
        <v>2</v>
      </c>
      <c r="AM227" s="516">
        <v>0</v>
      </c>
      <c r="AN227" s="516">
        <v>2</v>
      </c>
      <c r="AO227" s="516">
        <v>2</v>
      </c>
      <c r="AP227" s="516">
        <v>2</v>
      </c>
      <c r="AQ227" s="516">
        <v>2</v>
      </c>
      <c r="AR227" s="516">
        <v>2</v>
      </c>
      <c r="AS227" s="516">
        <v>2</v>
      </c>
      <c r="AT227" s="516">
        <v>2</v>
      </c>
      <c r="AU227" s="516">
        <v>2</v>
      </c>
      <c r="AV227" s="516">
        <v>2</v>
      </c>
      <c r="AW227" s="516">
        <v>2</v>
      </c>
      <c r="AX227" s="516">
        <v>2</v>
      </c>
      <c r="AY227" s="516">
        <v>2</v>
      </c>
      <c r="AZ227" s="516">
        <v>2</v>
      </c>
      <c r="BA227" s="516">
        <v>0</v>
      </c>
      <c r="BB227" s="516">
        <v>2</v>
      </c>
      <c r="BC227" s="516">
        <v>0</v>
      </c>
      <c r="BD227" s="516">
        <v>0</v>
      </c>
      <c r="BE227" s="516">
        <v>0</v>
      </c>
      <c r="BF227" s="516">
        <v>0</v>
      </c>
      <c r="BG227" s="516">
        <v>2</v>
      </c>
      <c r="BH227" s="516">
        <v>2</v>
      </c>
      <c r="BI227" s="516">
        <v>2</v>
      </c>
      <c r="BJ227" s="516">
        <v>2</v>
      </c>
      <c r="BK227" s="516">
        <v>0</v>
      </c>
      <c r="BL227" s="516">
        <v>2</v>
      </c>
      <c r="BM227" s="516">
        <v>2</v>
      </c>
      <c r="BN227" s="516">
        <v>2</v>
      </c>
      <c r="BO227" s="516">
        <v>2</v>
      </c>
      <c r="BP227" s="516">
        <v>2</v>
      </c>
      <c r="BQ227" s="516">
        <v>2</v>
      </c>
      <c r="BR227" s="516">
        <v>2</v>
      </c>
      <c r="BS227" s="516">
        <v>2</v>
      </c>
      <c r="BT227" s="516">
        <v>2</v>
      </c>
      <c r="BU227" s="516">
        <v>2</v>
      </c>
      <c r="BV227" s="516">
        <v>2</v>
      </c>
      <c r="BW227" s="516">
        <v>2</v>
      </c>
      <c r="BX227" s="516">
        <v>2</v>
      </c>
      <c r="BY227" s="516">
        <v>2</v>
      </c>
      <c r="BZ227" s="516">
        <v>2</v>
      </c>
      <c r="CA227" s="516">
        <v>2</v>
      </c>
      <c r="CB227" s="516">
        <v>2</v>
      </c>
    </row>
    <row r="228" spans="1:80" x14ac:dyDescent="0.25">
      <c r="A228" s="860">
        <v>578</v>
      </c>
      <c r="B228" s="860">
        <v>578</v>
      </c>
      <c r="C228" s="860" t="s">
        <v>746</v>
      </c>
      <c r="D228" s="860" t="s">
        <v>747</v>
      </c>
      <c r="E228" s="516">
        <v>0</v>
      </c>
      <c r="F228" s="516">
        <v>0</v>
      </c>
      <c r="G228" s="516">
        <v>0</v>
      </c>
      <c r="H228" s="516">
        <v>0</v>
      </c>
      <c r="I228" s="516">
        <v>0</v>
      </c>
      <c r="J228" s="516">
        <v>0</v>
      </c>
      <c r="K228" s="516">
        <v>0</v>
      </c>
      <c r="L228" s="516">
        <v>346676</v>
      </c>
      <c r="M228" s="516">
        <v>0</v>
      </c>
      <c r="N228" s="516">
        <v>0</v>
      </c>
      <c r="O228" s="516">
        <v>0</v>
      </c>
      <c r="P228" s="516">
        <v>0</v>
      </c>
      <c r="Q228" s="516">
        <v>0</v>
      </c>
      <c r="R228" s="516">
        <v>0</v>
      </c>
      <c r="S228" s="516">
        <v>0</v>
      </c>
      <c r="T228" s="516">
        <v>0</v>
      </c>
      <c r="U228" s="516">
        <v>0</v>
      </c>
      <c r="V228" s="516">
        <v>0</v>
      </c>
      <c r="W228" s="516">
        <v>0</v>
      </c>
      <c r="X228" s="516">
        <v>0</v>
      </c>
      <c r="Y228" s="516">
        <v>0</v>
      </c>
      <c r="Z228" s="516">
        <v>0</v>
      </c>
      <c r="AA228" s="516">
        <v>0</v>
      </c>
      <c r="AB228" s="516">
        <v>212975</v>
      </c>
      <c r="AC228" s="516">
        <v>0</v>
      </c>
      <c r="AD228" s="516">
        <v>0</v>
      </c>
      <c r="AE228" s="516">
        <v>0</v>
      </c>
      <c r="AF228" s="516">
        <v>0</v>
      </c>
      <c r="AG228" s="516">
        <v>0</v>
      </c>
      <c r="AH228" s="516">
        <v>0</v>
      </c>
      <c r="AI228" s="516">
        <v>0</v>
      </c>
      <c r="AJ228" s="516">
        <v>0</v>
      </c>
      <c r="AK228" s="516">
        <v>41817420</v>
      </c>
      <c r="AL228" s="516">
        <v>0</v>
      </c>
      <c r="AM228" s="516">
        <v>0</v>
      </c>
      <c r="AN228" s="516">
        <v>0</v>
      </c>
      <c r="AO228" s="516">
        <v>0</v>
      </c>
      <c r="AP228" s="516">
        <v>0</v>
      </c>
      <c r="AQ228" s="516">
        <v>0</v>
      </c>
      <c r="AR228" s="516">
        <v>0</v>
      </c>
      <c r="AS228" s="516">
        <v>0</v>
      </c>
      <c r="AT228" s="516">
        <v>0</v>
      </c>
      <c r="AU228" s="516">
        <v>0</v>
      </c>
      <c r="AV228" s="516">
        <v>0</v>
      </c>
      <c r="AW228" s="516">
        <v>0</v>
      </c>
      <c r="AX228" s="516">
        <v>0</v>
      </c>
      <c r="AY228" s="516">
        <v>0</v>
      </c>
      <c r="AZ228" s="516">
        <v>0</v>
      </c>
      <c r="BA228" s="516">
        <v>0</v>
      </c>
      <c r="BB228" s="516">
        <v>0</v>
      </c>
      <c r="BC228" s="516">
        <v>0</v>
      </c>
      <c r="BD228" s="516">
        <v>0</v>
      </c>
      <c r="BE228" s="516">
        <v>0</v>
      </c>
      <c r="BF228" s="516">
        <v>0</v>
      </c>
      <c r="BG228" s="516">
        <v>0</v>
      </c>
      <c r="BH228" s="516">
        <v>0</v>
      </c>
      <c r="BI228" s="516">
        <v>0</v>
      </c>
      <c r="BJ228" s="516">
        <v>0</v>
      </c>
      <c r="BK228" s="516">
        <v>0</v>
      </c>
      <c r="BL228" s="516">
        <v>0</v>
      </c>
      <c r="BM228" s="516">
        <v>0</v>
      </c>
      <c r="BN228" s="516">
        <v>0</v>
      </c>
      <c r="BO228" s="516">
        <v>0</v>
      </c>
      <c r="BP228" s="516">
        <v>0</v>
      </c>
      <c r="BQ228" s="516">
        <v>0</v>
      </c>
      <c r="BR228" s="516">
        <v>0</v>
      </c>
      <c r="BS228" s="516">
        <v>0</v>
      </c>
      <c r="BT228" s="516">
        <v>0</v>
      </c>
      <c r="BU228" s="516">
        <v>0</v>
      </c>
      <c r="BV228" s="516">
        <v>0</v>
      </c>
      <c r="BW228" s="516">
        <v>0</v>
      </c>
      <c r="BX228" s="516">
        <v>0</v>
      </c>
      <c r="BY228" s="516">
        <v>0</v>
      </c>
      <c r="BZ228" s="516">
        <v>0</v>
      </c>
      <c r="CA228" s="516">
        <v>0</v>
      </c>
      <c r="CB228" s="516">
        <v>0</v>
      </c>
    </row>
    <row r="229" spans="1:80" x14ac:dyDescent="0.25">
      <c r="A229" s="860">
        <v>579</v>
      </c>
      <c r="B229" s="860">
        <v>579</v>
      </c>
      <c r="C229" s="860" t="s">
        <v>748</v>
      </c>
      <c r="D229" s="860" t="s">
        <v>749</v>
      </c>
      <c r="E229" s="516">
        <v>0</v>
      </c>
      <c r="F229" s="516">
        <v>0</v>
      </c>
      <c r="G229" s="516">
        <v>0</v>
      </c>
      <c r="H229" s="516">
        <v>0</v>
      </c>
      <c r="I229" s="516">
        <v>0</v>
      </c>
      <c r="J229" s="516">
        <v>0</v>
      </c>
      <c r="K229" s="516">
        <v>0</v>
      </c>
      <c r="L229" s="516">
        <v>0</v>
      </c>
      <c r="M229" s="516">
        <v>0</v>
      </c>
      <c r="N229" s="516">
        <v>0</v>
      </c>
      <c r="O229" s="516">
        <v>0</v>
      </c>
      <c r="P229" s="516">
        <v>0</v>
      </c>
      <c r="Q229" s="516">
        <v>0</v>
      </c>
      <c r="R229" s="516">
        <v>0</v>
      </c>
      <c r="S229" s="516">
        <v>0</v>
      </c>
      <c r="T229" s="516">
        <v>0</v>
      </c>
      <c r="U229" s="516">
        <v>0</v>
      </c>
      <c r="V229" s="516">
        <v>0</v>
      </c>
      <c r="W229" s="516">
        <v>0</v>
      </c>
      <c r="X229" s="516">
        <v>0</v>
      </c>
      <c r="Y229" s="516">
        <v>0</v>
      </c>
      <c r="Z229" s="516">
        <v>0</v>
      </c>
      <c r="AA229" s="516">
        <v>0</v>
      </c>
      <c r="AB229" s="516">
        <v>0</v>
      </c>
      <c r="AC229" s="516">
        <v>0</v>
      </c>
      <c r="AD229" s="516">
        <v>0</v>
      </c>
      <c r="AE229" s="516">
        <v>0</v>
      </c>
      <c r="AF229" s="516">
        <v>129986</v>
      </c>
      <c r="AG229" s="516">
        <v>0</v>
      </c>
      <c r="AH229" s="516">
        <v>0</v>
      </c>
      <c r="AI229" s="516">
        <v>0</v>
      </c>
      <c r="AJ229" s="516">
        <v>0</v>
      </c>
      <c r="AK229" s="516">
        <v>0</v>
      </c>
      <c r="AL229" s="516">
        <v>0</v>
      </c>
      <c r="AM229" s="516">
        <v>0</v>
      </c>
      <c r="AN229" s="516">
        <v>0</v>
      </c>
      <c r="AO229" s="516">
        <v>0</v>
      </c>
      <c r="AP229" s="516">
        <v>0</v>
      </c>
      <c r="AQ229" s="516">
        <v>0</v>
      </c>
      <c r="AR229" s="516">
        <v>0</v>
      </c>
      <c r="AS229" s="516">
        <v>0</v>
      </c>
      <c r="AT229" s="516">
        <v>0</v>
      </c>
      <c r="AU229" s="516">
        <v>0</v>
      </c>
      <c r="AV229" s="516">
        <v>0</v>
      </c>
      <c r="AW229" s="516">
        <v>0</v>
      </c>
      <c r="AX229" s="516">
        <v>0</v>
      </c>
      <c r="AY229" s="516">
        <v>0</v>
      </c>
      <c r="AZ229" s="516">
        <v>18084</v>
      </c>
      <c r="BA229" s="516">
        <v>0</v>
      </c>
      <c r="BB229" s="516">
        <v>0</v>
      </c>
      <c r="BC229" s="516">
        <v>0</v>
      </c>
      <c r="BD229" s="516">
        <v>0</v>
      </c>
      <c r="BE229" s="516">
        <v>0</v>
      </c>
      <c r="BF229" s="516">
        <v>0</v>
      </c>
      <c r="BG229" s="516">
        <v>0</v>
      </c>
      <c r="BH229" s="516">
        <v>0</v>
      </c>
      <c r="BI229" s="516">
        <v>0</v>
      </c>
      <c r="BJ229" s="516">
        <v>0</v>
      </c>
      <c r="BK229" s="516">
        <v>0</v>
      </c>
      <c r="BL229" s="516">
        <v>0</v>
      </c>
      <c r="BM229" s="516">
        <v>0</v>
      </c>
      <c r="BN229" s="516">
        <v>0</v>
      </c>
      <c r="BO229" s="516">
        <v>0</v>
      </c>
      <c r="BP229" s="516">
        <v>0</v>
      </c>
      <c r="BQ229" s="516">
        <v>0</v>
      </c>
      <c r="BR229" s="516">
        <v>0</v>
      </c>
      <c r="BS229" s="516">
        <v>0</v>
      </c>
      <c r="BT229" s="516">
        <v>0</v>
      </c>
      <c r="BU229" s="516">
        <v>0</v>
      </c>
      <c r="BV229" s="516">
        <v>0</v>
      </c>
      <c r="BW229" s="516">
        <v>0</v>
      </c>
      <c r="BX229" s="516">
        <v>0</v>
      </c>
      <c r="BY229" s="516">
        <v>0</v>
      </c>
      <c r="BZ229" s="516">
        <v>0</v>
      </c>
      <c r="CA229" s="516">
        <v>0</v>
      </c>
      <c r="CB229" s="516">
        <v>0</v>
      </c>
    </row>
    <row r="230" spans="1:80" x14ac:dyDescent="0.25">
      <c r="A230" s="860">
        <v>580</v>
      </c>
      <c r="B230" s="860">
        <v>580</v>
      </c>
      <c r="C230" s="860" t="s">
        <v>750</v>
      </c>
      <c r="D230" s="860" t="s">
        <v>751</v>
      </c>
      <c r="E230" s="516">
        <v>0</v>
      </c>
      <c r="F230" s="516">
        <v>0</v>
      </c>
      <c r="G230" s="516">
        <v>0</v>
      </c>
      <c r="H230" s="516">
        <v>0</v>
      </c>
      <c r="I230" s="516">
        <v>0</v>
      </c>
      <c r="J230" s="516">
        <v>0</v>
      </c>
      <c r="K230" s="516">
        <v>0</v>
      </c>
      <c r="L230" s="516">
        <v>0</v>
      </c>
      <c r="M230" s="516">
        <v>0</v>
      </c>
      <c r="N230" s="516">
        <v>0</v>
      </c>
      <c r="O230" s="516">
        <v>0</v>
      </c>
      <c r="P230" s="516">
        <v>0</v>
      </c>
      <c r="Q230" s="516">
        <v>0</v>
      </c>
      <c r="R230" s="516">
        <v>0</v>
      </c>
      <c r="S230" s="516">
        <v>0</v>
      </c>
      <c r="T230" s="516">
        <v>0</v>
      </c>
      <c r="U230" s="516">
        <v>0</v>
      </c>
      <c r="V230" s="516">
        <v>0</v>
      </c>
      <c r="W230" s="516">
        <v>0</v>
      </c>
      <c r="X230" s="516">
        <v>0</v>
      </c>
      <c r="Y230" s="516">
        <v>0</v>
      </c>
      <c r="Z230" s="516">
        <v>0</v>
      </c>
      <c r="AA230" s="516">
        <v>0</v>
      </c>
      <c r="AB230" s="516">
        <v>0</v>
      </c>
      <c r="AC230" s="516">
        <v>0</v>
      </c>
      <c r="AD230" s="516">
        <v>0</v>
      </c>
      <c r="AE230" s="516">
        <v>0</v>
      </c>
      <c r="AF230" s="516">
        <v>72820</v>
      </c>
      <c r="AG230" s="516">
        <v>0</v>
      </c>
      <c r="AH230" s="516">
        <v>0</v>
      </c>
      <c r="AI230" s="516">
        <v>0</v>
      </c>
      <c r="AJ230" s="516">
        <v>0</v>
      </c>
      <c r="AK230" s="516">
        <v>0</v>
      </c>
      <c r="AL230" s="516">
        <v>0</v>
      </c>
      <c r="AM230" s="516">
        <v>0</v>
      </c>
      <c r="AN230" s="516">
        <v>0</v>
      </c>
      <c r="AO230" s="516">
        <v>0</v>
      </c>
      <c r="AP230" s="516">
        <v>0</v>
      </c>
      <c r="AQ230" s="516">
        <v>0</v>
      </c>
      <c r="AR230" s="516">
        <v>0</v>
      </c>
      <c r="AS230" s="516">
        <v>0</v>
      </c>
      <c r="AT230" s="516">
        <v>0</v>
      </c>
      <c r="AU230" s="516">
        <v>0</v>
      </c>
      <c r="AV230" s="516">
        <v>0</v>
      </c>
      <c r="AW230" s="516">
        <v>0</v>
      </c>
      <c r="AX230" s="516">
        <v>0</v>
      </c>
      <c r="AY230" s="516">
        <v>0</v>
      </c>
      <c r="AZ230" s="516">
        <v>0</v>
      </c>
      <c r="BA230" s="516">
        <v>0</v>
      </c>
      <c r="BB230" s="516">
        <v>0</v>
      </c>
      <c r="BC230" s="516">
        <v>0</v>
      </c>
      <c r="BD230" s="516">
        <v>0</v>
      </c>
      <c r="BE230" s="516">
        <v>0</v>
      </c>
      <c r="BF230" s="516">
        <v>0</v>
      </c>
      <c r="BG230" s="516">
        <v>0</v>
      </c>
      <c r="BH230" s="516">
        <v>0</v>
      </c>
      <c r="BI230" s="516">
        <v>0</v>
      </c>
      <c r="BJ230" s="516">
        <v>0</v>
      </c>
      <c r="BK230" s="516">
        <v>0</v>
      </c>
      <c r="BL230" s="516">
        <v>0</v>
      </c>
      <c r="BM230" s="516">
        <v>0</v>
      </c>
      <c r="BN230" s="516">
        <v>0</v>
      </c>
      <c r="BO230" s="516">
        <v>0</v>
      </c>
      <c r="BP230" s="516">
        <v>0</v>
      </c>
      <c r="BQ230" s="516">
        <v>0</v>
      </c>
      <c r="BR230" s="516">
        <v>0</v>
      </c>
      <c r="BS230" s="516">
        <v>0</v>
      </c>
      <c r="BT230" s="516">
        <v>0</v>
      </c>
      <c r="BU230" s="516">
        <v>0</v>
      </c>
      <c r="BV230" s="516">
        <v>0</v>
      </c>
      <c r="BW230" s="516">
        <v>0</v>
      </c>
      <c r="BX230" s="516">
        <v>0</v>
      </c>
      <c r="BY230" s="516">
        <v>0</v>
      </c>
      <c r="BZ230" s="516">
        <v>0</v>
      </c>
      <c r="CA230" s="516">
        <v>0</v>
      </c>
      <c r="CB230" s="516">
        <v>0</v>
      </c>
    </row>
    <row r="231" spans="1:80" x14ac:dyDescent="0.25">
      <c r="A231" s="860">
        <v>581</v>
      </c>
      <c r="B231" s="860">
        <v>581</v>
      </c>
      <c r="C231" s="860" t="s">
        <v>752</v>
      </c>
      <c r="D231" s="860" t="s">
        <v>753</v>
      </c>
      <c r="E231" s="516">
        <v>0</v>
      </c>
      <c r="F231" s="516">
        <v>0</v>
      </c>
      <c r="G231" s="516">
        <v>0</v>
      </c>
      <c r="H231" s="516">
        <v>0</v>
      </c>
      <c r="I231" s="516">
        <v>0</v>
      </c>
      <c r="J231" s="516">
        <v>0</v>
      </c>
      <c r="K231" s="516">
        <v>0</v>
      </c>
      <c r="L231" s="516">
        <v>0</v>
      </c>
      <c r="M231" s="516">
        <v>0</v>
      </c>
      <c r="N231" s="516">
        <v>0</v>
      </c>
      <c r="O231" s="516">
        <v>0</v>
      </c>
      <c r="P231" s="516">
        <v>0</v>
      </c>
      <c r="Q231" s="516">
        <v>0</v>
      </c>
      <c r="R231" s="516">
        <v>0</v>
      </c>
      <c r="S231" s="516">
        <v>0</v>
      </c>
      <c r="T231" s="516">
        <v>0</v>
      </c>
      <c r="U231" s="516">
        <v>0</v>
      </c>
      <c r="V231" s="516">
        <v>0</v>
      </c>
      <c r="W231" s="516">
        <v>0</v>
      </c>
      <c r="X231" s="516">
        <v>0</v>
      </c>
      <c r="Y231" s="516">
        <v>0</v>
      </c>
      <c r="Z231" s="516">
        <v>0</v>
      </c>
      <c r="AA231" s="516">
        <v>0</v>
      </c>
      <c r="AB231" s="516">
        <v>0</v>
      </c>
      <c r="AC231" s="516">
        <v>0</v>
      </c>
      <c r="AD231" s="516">
        <v>0</v>
      </c>
      <c r="AE231" s="516">
        <v>0</v>
      </c>
      <c r="AF231" s="516">
        <v>0</v>
      </c>
      <c r="AG231" s="516">
        <v>0</v>
      </c>
      <c r="AH231" s="516">
        <v>0</v>
      </c>
      <c r="AI231" s="516">
        <v>0</v>
      </c>
      <c r="AJ231" s="516">
        <v>0</v>
      </c>
      <c r="AK231" s="516">
        <v>0</v>
      </c>
      <c r="AL231" s="516">
        <v>0</v>
      </c>
      <c r="AM231" s="516">
        <v>0</v>
      </c>
      <c r="AN231" s="516">
        <v>0</v>
      </c>
      <c r="AO231" s="516">
        <v>0</v>
      </c>
      <c r="AP231" s="516">
        <v>0</v>
      </c>
      <c r="AQ231" s="516">
        <v>0</v>
      </c>
      <c r="AR231" s="516">
        <v>0</v>
      </c>
      <c r="AS231" s="516">
        <v>0</v>
      </c>
      <c r="AT231" s="516">
        <v>0</v>
      </c>
      <c r="AU231" s="516">
        <v>0</v>
      </c>
      <c r="AV231" s="516">
        <v>940056</v>
      </c>
      <c r="AW231" s="516">
        <v>0</v>
      </c>
      <c r="AX231" s="516">
        <v>0</v>
      </c>
      <c r="AY231" s="516">
        <v>0</v>
      </c>
      <c r="AZ231" s="516">
        <v>0</v>
      </c>
      <c r="BA231" s="516">
        <v>0</v>
      </c>
      <c r="BB231" s="516">
        <v>0</v>
      </c>
      <c r="BC231" s="516">
        <v>0</v>
      </c>
      <c r="BD231" s="516">
        <v>0</v>
      </c>
      <c r="BE231" s="516">
        <v>0</v>
      </c>
      <c r="BF231" s="516">
        <v>0</v>
      </c>
      <c r="BG231" s="516">
        <v>0</v>
      </c>
      <c r="BH231" s="516">
        <v>0</v>
      </c>
      <c r="BI231" s="516">
        <v>0</v>
      </c>
      <c r="BJ231" s="516">
        <v>0</v>
      </c>
      <c r="BK231" s="516">
        <v>0</v>
      </c>
      <c r="BL231" s="516">
        <v>0</v>
      </c>
      <c r="BM231" s="516">
        <v>0</v>
      </c>
      <c r="BN231" s="516">
        <v>0</v>
      </c>
      <c r="BO231" s="516">
        <v>0</v>
      </c>
      <c r="BP231" s="516">
        <v>0</v>
      </c>
      <c r="BQ231" s="516">
        <v>0</v>
      </c>
      <c r="BR231" s="516">
        <v>0</v>
      </c>
      <c r="BS231" s="516">
        <v>0</v>
      </c>
      <c r="BT231" s="516">
        <v>0</v>
      </c>
      <c r="BU231" s="516">
        <v>0</v>
      </c>
      <c r="BV231" s="516">
        <v>0</v>
      </c>
      <c r="BW231" s="516">
        <v>0</v>
      </c>
      <c r="BX231" s="516">
        <v>0</v>
      </c>
      <c r="BY231" s="516">
        <v>0</v>
      </c>
      <c r="BZ231" s="516">
        <v>0</v>
      </c>
      <c r="CA231" s="516">
        <v>0</v>
      </c>
      <c r="CB231" s="516">
        <v>0</v>
      </c>
    </row>
    <row r="232" spans="1:80" x14ac:dyDescent="0.25">
      <c r="A232" s="860"/>
      <c r="B232" s="860">
        <v>582</v>
      </c>
      <c r="C232" s="860" t="s">
        <v>754</v>
      </c>
      <c r="D232" s="860" t="s">
        <v>755</v>
      </c>
      <c r="E232" s="516"/>
      <c r="F232" s="516"/>
      <c r="G232" s="516"/>
      <c r="H232" s="516"/>
      <c r="I232" s="516"/>
      <c r="J232" s="516"/>
      <c r="K232" s="516"/>
      <c r="L232" s="516"/>
      <c r="M232" s="516"/>
      <c r="N232" s="516"/>
      <c r="O232" s="516"/>
      <c r="P232" s="516"/>
      <c r="Q232" s="516"/>
      <c r="R232" s="516"/>
      <c r="S232" s="516"/>
      <c r="T232" s="516"/>
      <c r="U232" s="516"/>
      <c r="V232" s="516"/>
      <c r="W232" s="516"/>
      <c r="X232" s="516"/>
      <c r="Y232" s="516"/>
      <c r="Z232" s="516"/>
      <c r="AA232" s="516"/>
      <c r="AB232" s="516"/>
      <c r="AC232" s="516"/>
      <c r="AD232" s="516"/>
      <c r="AE232" s="516"/>
      <c r="AF232" s="516"/>
      <c r="AG232" s="516"/>
      <c r="AH232" s="516"/>
      <c r="AI232" s="516"/>
      <c r="AJ232" s="516"/>
      <c r="AK232" s="516"/>
      <c r="AL232" s="516"/>
      <c r="AM232" s="516"/>
      <c r="AN232" s="516"/>
      <c r="AO232" s="516"/>
      <c r="AP232" s="516"/>
      <c r="AQ232" s="516"/>
      <c r="AR232" s="516"/>
      <c r="AS232" s="516"/>
      <c r="AT232" s="516"/>
      <c r="AU232" s="516"/>
      <c r="AV232" s="516"/>
      <c r="AW232" s="516"/>
      <c r="AX232" s="516"/>
      <c r="AY232" s="516"/>
      <c r="AZ232" s="516"/>
      <c r="BA232" s="516"/>
      <c r="BB232" s="516"/>
      <c r="BC232" s="516"/>
      <c r="BD232" s="516"/>
      <c r="BE232" s="516"/>
      <c r="BF232" s="516"/>
      <c r="BG232" s="516"/>
      <c r="BH232" s="516"/>
      <c r="BI232" s="516"/>
      <c r="BJ232" s="516"/>
      <c r="BK232" s="516"/>
      <c r="BL232" s="516"/>
      <c r="BM232" s="516"/>
      <c r="BN232" s="516"/>
      <c r="BO232" s="516"/>
      <c r="BP232" s="516"/>
      <c r="BQ232" s="516"/>
      <c r="BR232" s="516"/>
      <c r="BS232" s="516"/>
      <c r="BT232" s="516"/>
      <c r="BU232" s="516"/>
      <c r="BV232" s="516"/>
      <c r="BW232" s="516"/>
      <c r="BX232" s="516"/>
      <c r="BY232" s="516"/>
      <c r="BZ232" s="516"/>
      <c r="CA232" s="516"/>
      <c r="CB232" s="516"/>
    </row>
    <row r="233" spans="1:80" x14ac:dyDescent="0.25">
      <c r="A233" s="860"/>
      <c r="B233" s="860">
        <v>583</v>
      </c>
      <c r="C233" s="860" t="s">
        <v>756</v>
      </c>
      <c r="D233" s="860" t="s">
        <v>757</v>
      </c>
      <c r="E233" s="516"/>
      <c r="F233" s="516"/>
      <c r="G233" s="516"/>
      <c r="H233" s="516"/>
      <c r="I233" s="516"/>
      <c r="J233" s="516"/>
      <c r="K233" s="516"/>
      <c r="L233" s="516"/>
      <c r="M233" s="516"/>
      <c r="N233" s="516"/>
      <c r="O233" s="516"/>
      <c r="P233" s="516"/>
      <c r="Q233" s="516"/>
      <c r="R233" s="516"/>
      <c r="S233" s="516"/>
      <c r="T233" s="516"/>
      <c r="U233" s="516"/>
      <c r="V233" s="516"/>
      <c r="W233" s="516"/>
      <c r="X233" s="516"/>
      <c r="Y233" s="516"/>
      <c r="Z233" s="516"/>
      <c r="AA233" s="516"/>
      <c r="AB233" s="516"/>
      <c r="AC233" s="516"/>
      <c r="AD233" s="516"/>
      <c r="AE233" s="516"/>
      <c r="AF233" s="516"/>
      <c r="AG233" s="516"/>
      <c r="AH233" s="516"/>
      <c r="AI233" s="516"/>
      <c r="AJ233" s="516"/>
      <c r="AK233" s="516"/>
      <c r="AL233" s="516"/>
      <c r="AM233" s="516"/>
      <c r="AN233" s="516"/>
      <c r="AO233" s="516"/>
      <c r="AP233" s="516"/>
      <c r="AQ233" s="516"/>
      <c r="AR233" s="516"/>
      <c r="AS233" s="516"/>
      <c r="AT233" s="516"/>
      <c r="AU233" s="516"/>
      <c r="AV233" s="516"/>
      <c r="AW233" s="516"/>
      <c r="AX233" s="516"/>
      <c r="AY233" s="516"/>
      <c r="AZ233" s="516"/>
      <c r="BA233" s="516"/>
      <c r="BB233" s="516"/>
      <c r="BC233" s="516"/>
      <c r="BD233" s="516"/>
      <c r="BE233" s="516"/>
      <c r="BF233" s="516"/>
      <c r="BG233" s="516"/>
      <c r="BH233" s="516"/>
      <c r="BI233" s="516"/>
      <c r="BJ233" s="516"/>
      <c r="BK233" s="516"/>
      <c r="BL233" s="516"/>
      <c r="BM233" s="516"/>
      <c r="BN233" s="516"/>
      <c r="BO233" s="516"/>
      <c r="BP233" s="516"/>
      <c r="BQ233" s="516"/>
      <c r="BR233" s="516"/>
      <c r="BS233" s="516"/>
      <c r="BT233" s="516"/>
      <c r="BU233" s="516"/>
      <c r="BV233" s="516"/>
      <c r="BW233" s="516"/>
      <c r="BX233" s="516"/>
      <c r="BY233" s="516"/>
      <c r="BZ233" s="516"/>
      <c r="CA233" s="516"/>
      <c r="CB233" s="516"/>
    </row>
    <row r="234" spans="1:80" x14ac:dyDescent="0.25">
      <c r="A234" s="860"/>
      <c r="B234" s="860">
        <v>584</v>
      </c>
      <c r="C234" s="860" t="s">
        <v>758</v>
      </c>
      <c r="D234" s="860" t="s">
        <v>759</v>
      </c>
      <c r="E234" s="516"/>
      <c r="F234" s="516"/>
      <c r="G234" s="516"/>
      <c r="H234" s="516"/>
      <c r="I234" s="516"/>
      <c r="J234" s="516"/>
      <c r="K234" s="516"/>
      <c r="L234" s="516"/>
      <c r="M234" s="516"/>
      <c r="N234" s="516"/>
      <c r="O234" s="516"/>
      <c r="P234" s="516"/>
      <c r="Q234" s="516"/>
      <c r="R234" s="516"/>
      <c r="S234" s="516"/>
      <c r="T234" s="516"/>
      <c r="U234" s="516"/>
      <c r="V234" s="516"/>
      <c r="W234" s="516"/>
      <c r="X234" s="516"/>
      <c r="Y234" s="516"/>
      <c r="Z234" s="516"/>
      <c r="AA234" s="516"/>
      <c r="AB234" s="516"/>
      <c r="AC234" s="516"/>
      <c r="AD234" s="516"/>
      <c r="AE234" s="516"/>
      <c r="AF234" s="516"/>
      <c r="AG234" s="516"/>
      <c r="AH234" s="516"/>
      <c r="AI234" s="516"/>
      <c r="AJ234" s="516"/>
      <c r="AK234" s="516"/>
      <c r="AL234" s="516"/>
      <c r="AM234" s="516"/>
      <c r="AN234" s="516"/>
      <c r="AO234" s="516"/>
      <c r="AP234" s="516"/>
      <c r="AQ234" s="516"/>
      <c r="AR234" s="516"/>
      <c r="AS234" s="516"/>
      <c r="AT234" s="516"/>
      <c r="AU234" s="516"/>
      <c r="AV234" s="516"/>
      <c r="AW234" s="516"/>
      <c r="AX234" s="516"/>
      <c r="AY234" s="516"/>
      <c r="AZ234" s="516"/>
      <c r="BA234" s="516"/>
      <c r="BB234" s="516"/>
      <c r="BC234" s="516"/>
      <c r="BD234" s="516"/>
      <c r="BE234" s="516"/>
      <c r="BF234" s="516"/>
      <c r="BG234" s="516"/>
      <c r="BH234" s="516"/>
      <c r="BI234" s="516"/>
      <c r="BJ234" s="516"/>
      <c r="BK234" s="516"/>
      <c r="BL234" s="516"/>
      <c r="BM234" s="516"/>
      <c r="BN234" s="516"/>
      <c r="BO234" s="516"/>
      <c r="BP234" s="516"/>
      <c r="BQ234" s="516"/>
      <c r="BR234" s="516"/>
      <c r="BS234" s="516"/>
      <c r="BT234" s="516"/>
      <c r="BU234" s="516"/>
      <c r="BV234" s="516"/>
      <c r="BW234" s="516"/>
      <c r="BX234" s="516"/>
      <c r="BY234" s="516"/>
      <c r="BZ234" s="516"/>
      <c r="CA234" s="516"/>
      <c r="CB234" s="516"/>
    </row>
    <row r="235" spans="1:80" x14ac:dyDescent="0.25">
      <c r="A235" s="860"/>
      <c r="B235" s="860">
        <v>585</v>
      </c>
      <c r="C235" s="860" t="s">
        <v>760</v>
      </c>
      <c r="D235" s="860" t="s">
        <v>761</v>
      </c>
      <c r="E235" s="516"/>
      <c r="F235" s="516"/>
      <c r="G235" s="516"/>
      <c r="H235" s="516"/>
      <c r="I235" s="516"/>
      <c r="J235" s="516"/>
      <c r="K235" s="516"/>
      <c r="L235" s="516"/>
      <c r="M235" s="516"/>
      <c r="N235" s="516"/>
      <c r="O235" s="516"/>
      <c r="P235" s="516"/>
      <c r="Q235" s="516"/>
      <c r="R235" s="516"/>
      <c r="S235" s="516"/>
      <c r="T235" s="516"/>
      <c r="U235" s="516"/>
      <c r="V235" s="516"/>
      <c r="W235" s="516"/>
      <c r="X235" s="516"/>
      <c r="Y235" s="516"/>
      <c r="Z235" s="516"/>
      <c r="AA235" s="516"/>
      <c r="AB235" s="516"/>
      <c r="AC235" s="516"/>
      <c r="AD235" s="516"/>
      <c r="AE235" s="516"/>
      <c r="AF235" s="516"/>
      <c r="AG235" s="516"/>
      <c r="AH235" s="516"/>
      <c r="AI235" s="516"/>
      <c r="AJ235" s="516"/>
      <c r="AK235" s="516"/>
      <c r="AL235" s="516"/>
      <c r="AM235" s="516"/>
      <c r="AN235" s="516"/>
      <c r="AO235" s="516"/>
      <c r="AP235" s="516"/>
      <c r="AQ235" s="516"/>
      <c r="AR235" s="516"/>
      <c r="AS235" s="516"/>
      <c r="AT235" s="516"/>
      <c r="AU235" s="516"/>
      <c r="AV235" s="516"/>
      <c r="AW235" s="516"/>
      <c r="AX235" s="516"/>
      <c r="AY235" s="516"/>
      <c r="AZ235" s="516"/>
      <c r="BA235" s="516"/>
      <c r="BB235" s="516"/>
      <c r="BC235" s="516"/>
      <c r="BD235" s="516"/>
      <c r="BE235" s="516"/>
      <c r="BF235" s="516"/>
      <c r="BG235" s="516"/>
      <c r="BH235" s="516"/>
      <c r="BI235" s="516"/>
      <c r="BJ235" s="516"/>
      <c r="BK235" s="516"/>
      <c r="BL235" s="516"/>
      <c r="BM235" s="516"/>
      <c r="BN235" s="516"/>
      <c r="BO235" s="516"/>
      <c r="BP235" s="516"/>
      <c r="BQ235" s="516"/>
      <c r="BR235" s="516"/>
      <c r="BS235" s="516"/>
      <c r="BT235" s="516"/>
      <c r="BU235" s="516"/>
      <c r="BV235" s="516"/>
      <c r="BW235" s="516"/>
      <c r="BX235" s="516"/>
      <c r="BY235" s="516"/>
      <c r="BZ235" s="516"/>
      <c r="CA235" s="516"/>
      <c r="CB235" s="516"/>
    </row>
    <row r="236" spans="1:80" x14ac:dyDescent="0.25">
      <c r="A236" s="860">
        <v>586</v>
      </c>
      <c r="B236" s="860">
        <v>586</v>
      </c>
      <c r="C236" s="860" t="s">
        <v>762</v>
      </c>
      <c r="D236" s="860" t="s">
        <v>763</v>
      </c>
      <c r="E236" s="516">
        <v>0</v>
      </c>
      <c r="F236" s="516">
        <v>0</v>
      </c>
      <c r="G236" s="516">
        <v>0</v>
      </c>
      <c r="H236" s="516">
        <v>0</v>
      </c>
      <c r="I236" s="516">
        <v>0</v>
      </c>
      <c r="J236" s="516">
        <v>0</v>
      </c>
      <c r="K236" s="516">
        <v>0</v>
      </c>
      <c r="L236" s="516">
        <v>365929</v>
      </c>
      <c r="M236" s="516">
        <v>0</v>
      </c>
      <c r="N236" s="516">
        <v>0</v>
      </c>
      <c r="O236" s="516">
        <v>0</v>
      </c>
      <c r="P236" s="516">
        <v>0</v>
      </c>
      <c r="Q236" s="516">
        <v>0</v>
      </c>
      <c r="R236" s="516">
        <v>0</v>
      </c>
      <c r="S236" s="516">
        <v>0</v>
      </c>
      <c r="T236" s="516">
        <v>0</v>
      </c>
      <c r="U236" s="516">
        <v>0</v>
      </c>
      <c r="V236" s="516">
        <v>0</v>
      </c>
      <c r="W236" s="516">
        <v>0</v>
      </c>
      <c r="X236" s="516">
        <v>0</v>
      </c>
      <c r="Y236" s="516">
        <v>0</v>
      </c>
      <c r="Z236" s="516">
        <v>0</v>
      </c>
      <c r="AA236" s="516">
        <v>0</v>
      </c>
      <c r="AB236" s="516">
        <v>212975</v>
      </c>
      <c r="AC236" s="516">
        <v>0</v>
      </c>
      <c r="AD236" s="516">
        <v>0</v>
      </c>
      <c r="AE236" s="516">
        <v>0</v>
      </c>
      <c r="AF236" s="516">
        <v>0</v>
      </c>
      <c r="AG236" s="516">
        <v>0</v>
      </c>
      <c r="AH236" s="516">
        <v>0</v>
      </c>
      <c r="AI236" s="516">
        <v>0</v>
      </c>
      <c r="AJ236" s="516">
        <v>0</v>
      </c>
      <c r="AK236" s="516">
        <v>0</v>
      </c>
      <c r="AL236" s="516">
        <v>0</v>
      </c>
      <c r="AM236" s="516">
        <v>0</v>
      </c>
      <c r="AN236" s="516">
        <v>0</v>
      </c>
      <c r="AO236" s="516">
        <v>0</v>
      </c>
      <c r="AP236" s="516">
        <v>0</v>
      </c>
      <c r="AQ236" s="516">
        <v>0</v>
      </c>
      <c r="AR236" s="516">
        <v>0</v>
      </c>
      <c r="AS236" s="516">
        <v>0</v>
      </c>
      <c r="AT236" s="516">
        <v>0</v>
      </c>
      <c r="AU236" s="516">
        <v>0</v>
      </c>
      <c r="AV236" s="516">
        <v>0</v>
      </c>
      <c r="AW236" s="516">
        <v>0</v>
      </c>
      <c r="AX236" s="516">
        <v>0</v>
      </c>
      <c r="AY236" s="516">
        <v>0</v>
      </c>
      <c r="AZ236" s="516">
        <v>0</v>
      </c>
      <c r="BA236" s="516">
        <v>0</v>
      </c>
      <c r="BB236" s="516">
        <v>0</v>
      </c>
      <c r="BC236" s="516">
        <v>0</v>
      </c>
      <c r="BD236" s="516">
        <v>0</v>
      </c>
      <c r="BE236" s="516">
        <v>0</v>
      </c>
      <c r="BF236" s="516">
        <v>0</v>
      </c>
      <c r="BG236" s="516">
        <v>0</v>
      </c>
      <c r="BH236" s="516">
        <v>0</v>
      </c>
      <c r="BI236" s="516">
        <v>0</v>
      </c>
      <c r="BJ236" s="516">
        <v>0</v>
      </c>
      <c r="BK236" s="516">
        <v>0</v>
      </c>
      <c r="BL236" s="516">
        <v>0</v>
      </c>
      <c r="BM236" s="516">
        <v>0</v>
      </c>
      <c r="BN236" s="516">
        <v>0</v>
      </c>
      <c r="BO236" s="516">
        <v>0</v>
      </c>
      <c r="BP236" s="516">
        <v>0</v>
      </c>
      <c r="BQ236" s="516">
        <v>0</v>
      </c>
      <c r="BR236" s="516">
        <v>0</v>
      </c>
      <c r="BS236" s="516">
        <v>0</v>
      </c>
      <c r="BT236" s="516">
        <v>0</v>
      </c>
      <c r="BU236" s="516">
        <v>0</v>
      </c>
      <c r="BV236" s="516">
        <v>0</v>
      </c>
      <c r="BW236" s="516">
        <v>0</v>
      </c>
      <c r="BX236" s="516">
        <v>0</v>
      </c>
      <c r="BY236" s="516">
        <v>0</v>
      </c>
      <c r="BZ236" s="516">
        <v>0</v>
      </c>
      <c r="CA236" s="516">
        <v>87311</v>
      </c>
      <c r="CB236" s="516">
        <v>0</v>
      </c>
    </row>
    <row r="237" spans="1:80" x14ac:dyDescent="0.25">
      <c r="A237" s="860"/>
      <c r="B237" s="860">
        <v>587</v>
      </c>
      <c r="C237" s="860" t="s">
        <v>764</v>
      </c>
      <c r="D237" s="860" t="s">
        <v>765</v>
      </c>
      <c r="E237" s="516"/>
      <c r="F237" s="516"/>
      <c r="G237" s="516"/>
      <c r="H237" s="516"/>
      <c r="I237" s="516"/>
      <c r="J237" s="516"/>
      <c r="K237" s="516"/>
      <c r="L237" s="516"/>
      <c r="M237" s="516"/>
      <c r="N237" s="516"/>
      <c r="O237" s="516"/>
      <c r="P237" s="516"/>
      <c r="Q237" s="516"/>
      <c r="R237" s="516"/>
      <c r="S237" s="516"/>
      <c r="T237" s="516"/>
      <c r="U237" s="516"/>
      <c r="V237" s="516"/>
      <c r="W237" s="516"/>
      <c r="X237" s="516"/>
      <c r="Y237" s="516"/>
      <c r="Z237" s="516"/>
      <c r="AA237" s="516"/>
      <c r="AB237" s="516"/>
      <c r="AC237" s="516"/>
      <c r="AD237" s="516"/>
      <c r="AE237" s="516"/>
      <c r="AF237" s="516"/>
      <c r="AG237" s="516"/>
      <c r="AH237" s="516"/>
      <c r="AI237" s="516"/>
      <c r="AJ237" s="516"/>
      <c r="AK237" s="516"/>
      <c r="AL237" s="516"/>
      <c r="AM237" s="516"/>
      <c r="AN237" s="516"/>
      <c r="AO237" s="516"/>
      <c r="AP237" s="516"/>
      <c r="AQ237" s="516"/>
      <c r="AR237" s="516"/>
      <c r="AS237" s="516"/>
      <c r="AT237" s="516"/>
      <c r="AU237" s="516"/>
      <c r="AV237" s="516"/>
      <c r="AW237" s="516"/>
      <c r="AX237" s="516"/>
      <c r="AY237" s="516"/>
      <c r="AZ237" s="516"/>
      <c r="BA237" s="516"/>
      <c r="BB237" s="516"/>
      <c r="BC237" s="516"/>
      <c r="BD237" s="516"/>
      <c r="BE237" s="516"/>
      <c r="BF237" s="516"/>
      <c r="BG237" s="516"/>
      <c r="BH237" s="516"/>
      <c r="BI237" s="516"/>
      <c r="BJ237" s="516"/>
      <c r="BK237" s="516"/>
      <c r="BL237" s="516"/>
      <c r="BM237" s="516"/>
      <c r="BN237" s="516"/>
      <c r="BO237" s="516"/>
      <c r="BP237" s="516"/>
      <c r="BQ237" s="516"/>
      <c r="BR237" s="516"/>
      <c r="BS237" s="516"/>
      <c r="BT237" s="516"/>
      <c r="BU237" s="516"/>
      <c r="BV237" s="516"/>
      <c r="BW237" s="516"/>
      <c r="BX237" s="516"/>
      <c r="BY237" s="516"/>
      <c r="BZ237" s="516"/>
      <c r="CA237" s="516"/>
      <c r="CB237" s="516"/>
    </row>
    <row r="238" spans="1:80" x14ac:dyDescent="0.25">
      <c r="A238" s="860"/>
      <c r="B238" s="860">
        <v>588</v>
      </c>
      <c r="C238" s="860" t="s">
        <v>766</v>
      </c>
      <c r="D238" s="860" t="s">
        <v>767</v>
      </c>
      <c r="E238" s="516"/>
      <c r="F238" s="516"/>
      <c r="G238" s="516"/>
      <c r="H238" s="516"/>
      <c r="I238" s="516"/>
      <c r="J238" s="516"/>
      <c r="K238" s="516"/>
      <c r="L238" s="516"/>
      <c r="M238" s="516"/>
      <c r="N238" s="516"/>
      <c r="O238" s="516"/>
      <c r="P238" s="516"/>
      <c r="Q238" s="516"/>
      <c r="R238" s="516"/>
      <c r="S238" s="516"/>
      <c r="T238" s="516"/>
      <c r="U238" s="516"/>
      <c r="V238" s="516"/>
      <c r="W238" s="516"/>
      <c r="X238" s="516"/>
      <c r="Y238" s="516"/>
      <c r="Z238" s="516"/>
      <c r="AA238" s="516"/>
      <c r="AB238" s="516"/>
      <c r="AC238" s="516"/>
      <c r="AD238" s="516"/>
      <c r="AE238" s="516"/>
      <c r="AF238" s="516"/>
      <c r="AG238" s="516"/>
      <c r="AH238" s="516"/>
      <c r="AI238" s="516"/>
      <c r="AJ238" s="516"/>
      <c r="AK238" s="516"/>
      <c r="AL238" s="516"/>
      <c r="AM238" s="516"/>
      <c r="AN238" s="516"/>
      <c r="AO238" s="516"/>
      <c r="AP238" s="516"/>
      <c r="AQ238" s="516"/>
      <c r="AR238" s="516"/>
      <c r="AS238" s="516"/>
      <c r="AT238" s="516"/>
      <c r="AU238" s="516"/>
      <c r="AV238" s="516"/>
      <c r="AW238" s="516"/>
      <c r="AX238" s="516"/>
      <c r="AY238" s="516"/>
      <c r="AZ238" s="516"/>
      <c r="BA238" s="516"/>
      <c r="BB238" s="516"/>
      <c r="BC238" s="516"/>
      <c r="BD238" s="516"/>
      <c r="BE238" s="516"/>
      <c r="BF238" s="516"/>
      <c r="BG238" s="516"/>
      <c r="BH238" s="516"/>
      <c r="BI238" s="516"/>
      <c r="BJ238" s="516"/>
      <c r="BK238" s="516"/>
      <c r="BL238" s="516"/>
      <c r="BM238" s="516"/>
      <c r="BN238" s="516"/>
      <c r="BO238" s="516"/>
      <c r="BP238" s="516"/>
      <c r="BQ238" s="516"/>
      <c r="BR238" s="516"/>
      <c r="BS238" s="516"/>
      <c r="BT238" s="516"/>
      <c r="BU238" s="516"/>
      <c r="BV238" s="516"/>
      <c r="BW238" s="516"/>
      <c r="BX238" s="516"/>
      <c r="BY238" s="516"/>
      <c r="BZ238" s="516"/>
      <c r="CA238" s="516"/>
      <c r="CB238" s="516"/>
    </row>
    <row r="239" spans="1:80" x14ac:dyDescent="0.25">
      <c r="A239" s="860"/>
      <c r="B239" s="860">
        <v>589</v>
      </c>
      <c r="C239" s="860" t="s">
        <v>768</v>
      </c>
      <c r="D239" s="860" t="s">
        <v>769</v>
      </c>
      <c r="E239" s="516"/>
      <c r="F239" s="516"/>
      <c r="G239" s="516"/>
      <c r="H239" s="516"/>
      <c r="I239" s="516"/>
      <c r="J239" s="516"/>
      <c r="K239" s="516"/>
      <c r="L239" s="516"/>
      <c r="M239" s="516"/>
      <c r="N239" s="516"/>
      <c r="O239" s="516"/>
      <c r="P239" s="516"/>
      <c r="Q239" s="516"/>
      <c r="R239" s="516"/>
      <c r="S239" s="516"/>
      <c r="T239" s="516"/>
      <c r="U239" s="516"/>
      <c r="V239" s="516"/>
      <c r="W239" s="516"/>
      <c r="X239" s="516"/>
      <c r="Y239" s="516"/>
      <c r="Z239" s="516"/>
      <c r="AA239" s="516"/>
      <c r="AB239" s="516"/>
      <c r="AC239" s="516"/>
      <c r="AD239" s="516"/>
      <c r="AE239" s="516"/>
      <c r="AF239" s="516"/>
      <c r="AG239" s="516"/>
      <c r="AH239" s="516"/>
      <c r="AI239" s="516"/>
      <c r="AJ239" s="516"/>
      <c r="AK239" s="516"/>
      <c r="AL239" s="516"/>
      <c r="AM239" s="516"/>
      <c r="AN239" s="516"/>
      <c r="AO239" s="516"/>
      <c r="AP239" s="516"/>
      <c r="AQ239" s="516"/>
      <c r="AR239" s="516"/>
      <c r="AS239" s="516"/>
      <c r="AT239" s="516"/>
      <c r="AU239" s="516"/>
      <c r="AV239" s="516"/>
      <c r="AW239" s="516"/>
      <c r="AX239" s="516"/>
      <c r="AY239" s="516"/>
      <c r="AZ239" s="516"/>
      <c r="BA239" s="516"/>
      <c r="BB239" s="516"/>
      <c r="BC239" s="516"/>
      <c r="BD239" s="516"/>
      <c r="BE239" s="516"/>
      <c r="BF239" s="516"/>
      <c r="BG239" s="516"/>
      <c r="BH239" s="516"/>
      <c r="BI239" s="516"/>
      <c r="BJ239" s="516"/>
      <c r="BK239" s="516"/>
      <c r="BL239" s="516"/>
      <c r="BM239" s="516"/>
      <c r="BN239" s="516"/>
      <c r="BO239" s="516"/>
      <c r="BP239" s="516"/>
      <c r="BQ239" s="516"/>
      <c r="BR239" s="516"/>
      <c r="BS239" s="516"/>
      <c r="BT239" s="516"/>
      <c r="BU239" s="516"/>
      <c r="BV239" s="516"/>
      <c r="BW239" s="516"/>
      <c r="BX239" s="516"/>
      <c r="BY239" s="516"/>
      <c r="BZ239" s="516"/>
      <c r="CA239" s="516"/>
      <c r="CB239" s="516"/>
    </row>
    <row r="240" spans="1:80" x14ac:dyDescent="0.25">
      <c r="A240" s="860"/>
      <c r="B240" s="860">
        <v>590</v>
      </c>
      <c r="C240" s="860" t="s">
        <v>770</v>
      </c>
      <c r="D240" s="860" t="s">
        <v>771</v>
      </c>
      <c r="E240" s="516"/>
      <c r="F240" s="516"/>
      <c r="G240" s="516"/>
      <c r="H240" s="516"/>
      <c r="I240" s="516"/>
      <c r="J240" s="516"/>
      <c r="K240" s="516"/>
      <c r="L240" s="516"/>
      <c r="M240" s="516"/>
      <c r="N240" s="516"/>
      <c r="O240" s="516"/>
      <c r="P240" s="516"/>
      <c r="Q240" s="516"/>
      <c r="R240" s="516"/>
      <c r="S240" s="516"/>
      <c r="T240" s="516"/>
      <c r="U240" s="516"/>
      <c r="V240" s="516"/>
      <c r="W240" s="516"/>
      <c r="X240" s="516"/>
      <c r="Y240" s="516"/>
      <c r="Z240" s="516"/>
      <c r="AA240" s="516"/>
      <c r="AB240" s="516"/>
      <c r="AC240" s="516"/>
      <c r="AD240" s="516"/>
      <c r="AE240" s="516"/>
      <c r="AF240" s="516"/>
      <c r="AG240" s="516"/>
      <c r="AH240" s="516"/>
      <c r="AI240" s="516"/>
      <c r="AJ240" s="516"/>
      <c r="AK240" s="516"/>
      <c r="AL240" s="516"/>
      <c r="AM240" s="516"/>
      <c r="AN240" s="516"/>
      <c r="AO240" s="516"/>
      <c r="AP240" s="516"/>
      <c r="AQ240" s="516"/>
      <c r="AR240" s="516"/>
      <c r="AS240" s="516"/>
      <c r="AT240" s="516"/>
      <c r="AU240" s="516"/>
      <c r="AV240" s="516"/>
      <c r="AW240" s="516"/>
      <c r="AX240" s="516"/>
      <c r="AY240" s="516"/>
      <c r="AZ240" s="516"/>
      <c r="BA240" s="516"/>
      <c r="BB240" s="516"/>
      <c r="BC240" s="516"/>
      <c r="BD240" s="516"/>
      <c r="BE240" s="516"/>
      <c r="BF240" s="516"/>
      <c r="BG240" s="516"/>
      <c r="BH240" s="516"/>
      <c r="BI240" s="516"/>
      <c r="BJ240" s="516"/>
      <c r="BK240" s="516"/>
      <c r="BL240" s="516"/>
      <c r="BM240" s="516"/>
      <c r="BN240" s="516"/>
      <c r="BO240" s="516"/>
      <c r="BP240" s="516"/>
      <c r="BQ240" s="516"/>
      <c r="BR240" s="516"/>
      <c r="BS240" s="516"/>
      <c r="BT240" s="516"/>
      <c r="BU240" s="516"/>
      <c r="BV240" s="516"/>
      <c r="BW240" s="516"/>
      <c r="BX240" s="516"/>
      <c r="BY240" s="516"/>
      <c r="BZ240" s="516"/>
      <c r="CA240" s="516"/>
      <c r="CB240" s="516"/>
    </row>
    <row r="241" spans="1:80" x14ac:dyDescent="0.25">
      <c r="A241" s="860"/>
      <c r="B241" s="860">
        <v>992</v>
      </c>
      <c r="C241" s="860"/>
      <c r="D241" s="860" t="s">
        <v>701</v>
      </c>
      <c r="E241" s="516"/>
      <c r="F241" s="516"/>
      <c r="G241" s="516"/>
      <c r="H241" s="516"/>
      <c r="I241" s="516"/>
      <c r="J241" s="516"/>
      <c r="K241" s="516"/>
      <c r="L241" s="516"/>
      <c r="M241" s="516"/>
      <c r="N241" s="516"/>
      <c r="O241" s="516"/>
      <c r="P241" s="516"/>
      <c r="Q241" s="516"/>
      <c r="R241" s="516"/>
      <c r="S241" s="516"/>
      <c r="T241" s="516"/>
      <c r="U241" s="516"/>
      <c r="V241" s="516"/>
      <c r="W241" s="516"/>
      <c r="X241" s="516"/>
      <c r="Y241" s="516"/>
      <c r="Z241" s="516"/>
      <c r="AA241" s="516"/>
      <c r="AB241" s="516"/>
      <c r="AC241" s="516"/>
      <c r="AD241" s="516"/>
      <c r="AE241" s="516"/>
      <c r="AF241" s="516"/>
      <c r="AG241" s="516"/>
      <c r="AH241" s="516"/>
      <c r="AI241" s="516"/>
      <c r="AJ241" s="516"/>
      <c r="AK241" s="516"/>
      <c r="AL241" s="516"/>
      <c r="AM241" s="516"/>
      <c r="AN241" s="516"/>
      <c r="AO241" s="516"/>
      <c r="AP241" s="516"/>
      <c r="AQ241" s="516"/>
      <c r="AR241" s="516"/>
      <c r="AS241" s="516"/>
      <c r="AT241" s="516"/>
      <c r="AU241" s="516"/>
      <c r="AV241" s="516"/>
      <c r="AW241" s="516"/>
      <c r="AX241" s="516"/>
      <c r="AY241" s="516"/>
      <c r="AZ241" s="516"/>
      <c r="BA241" s="516"/>
      <c r="BB241" s="516"/>
      <c r="BC241" s="516"/>
      <c r="BD241" s="516"/>
      <c r="BE241" s="516"/>
      <c r="BF241" s="516"/>
      <c r="BG241" s="516"/>
      <c r="BH241" s="516"/>
      <c r="BI241" s="516"/>
      <c r="BJ241" s="516"/>
      <c r="BK241" s="516"/>
      <c r="BL241" s="516"/>
      <c r="BM241" s="516"/>
      <c r="BN241" s="516"/>
      <c r="BO241" s="516"/>
      <c r="BP241" s="516"/>
      <c r="BQ241" s="516"/>
      <c r="BR241" s="516"/>
      <c r="BS241" s="516"/>
      <c r="BT241" s="516"/>
      <c r="BU241" s="516"/>
      <c r="BV241" s="516"/>
      <c r="BW241" s="516"/>
      <c r="BX241" s="516"/>
      <c r="BY241" s="516"/>
      <c r="BZ241" s="516"/>
      <c r="CA241" s="516"/>
      <c r="CB241" s="516"/>
    </row>
    <row r="242" spans="1:80" x14ac:dyDescent="0.25">
      <c r="A242" s="860"/>
      <c r="B242" s="846">
        <v>993</v>
      </c>
      <c r="C242" s="860" t="s">
        <v>582</v>
      </c>
      <c r="D242" s="860" t="s">
        <v>583</v>
      </c>
      <c r="E242" s="516"/>
      <c r="F242" s="516"/>
      <c r="G242" s="516"/>
      <c r="H242" s="516"/>
      <c r="I242" s="516"/>
      <c r="J242" s="516"/>
      <c r="K242" s="516"/>
      <c r="L242" s="516"/>
      <c r="M242" s="516"/>
      <c r="N242" s="516"/>
      <c r="O242" s="516"/>
      <c r="P242" s="516"/>
      <c r="Q242" s="516"/>
      <c r="R242" s="516"/>
      <c r="S242" s="516"/>
      <c r="T242" s="516"/>
      <c r="U242" s="516"/>
      <c r="V242" s="516"/>
      <c r="W242" s="516"/>
      <c r="X242" s="516"/>
      <c r="Y242" s="516"/>
      <c r="Z242" s="516"/>
      <c r="AA242" s="516"/>
      <c r="AB242" s="516"/>
      <c r="AC242" s="516"/>
      <c r="AD242" s="516"/>
      <c r="AE242" s="516"/>
      <c r="AF242" s="516"/>
      <c r="AG242" s="516"/>
      <c r="AH242" s="516"/>
      <c r="AI242" s="516"/>
      <c r="AJ242" s="516"/>
      <c r="AK242" s="516"/>
      <c r="AL242" s="516"/>
      <c r="AM242" s="516"/>
      <c r="AN242" s="516"/>
      <c r="AO242" s="516"/>
      <c r="AP242" s="516"/>
      <c r="AQ242" s="516"/>
      <c r="AR242" s="516"/>
      <c r="AS242" s="516"/>
      <c r="AT242" s="516"/>
      <c r="AU242" s="516"/>
      <c r="AV242" s="516"/>
      <c r="AW242" s="516"/>
      <c r="AX242" s="516"/>
      <c r="AY242" s="516"/>
      <c r="AZ242" s="516"/>
      <c r="BA242" s="516"/>
      <c r="BB242" s="516"/>
      <c r="BC242" s="516"/>
      <c r="BD242" s="516"/>
      <c r="BE242" s="516"/>
      <c r="BF242" s="516"/>
      <c r="BG242" s="516"/>
      <c r="BH242" s="516"/>
      <c r="BI242" s="516"/>
      <c r="BJ242" s="516"/>
      <c r="BK242" s="516"/>
      <c r="BL242" s="516"/>
      <c r="BM242" s="516"/>
      <c r="BN242" s="516"/>
      <c r="BO242" s="516"/>
      <c r="BP242" s="516"/>
      <c r="BQ242" s="516"/>
      <c r="BR242" s="516"/>
      <c r="BS242" s="516"/>
      <c r="BT242" s="516"/>
      <c r="BU242" s="516"/>
      <c r="BV242" s="516"/>
      <c r="BW242" s="516"/>
      <c r="BX242" s="516"/>
      <c r="BY242" s="516"/>
      <c r="BZ242" s="516"/>
      <c r="CA242" s="516"/>
      <c r="CB242" s="516"/>
    </row>
    <row r="243" spans="1:80" x14ac:dyDescent="0.25">
      <c r="A243" s="860"/>
      <c r="B243" s="846">
        <v>994</v>
      </c>
      <c r="C243" s="860" t="s">
        <v>584</v>
      </c>
      <c r="D243" s="860" t="s">
        <v>585</v>
      </c>
      <c r="E243" s="516"/>
      <c r="F243" s="516"/>
      <c r="G243" s="516"/>
      <c r="H243" s="516"/>
      <c r="I243" s="516"/>
      <c r="J243" s="516"/>
      <c r="K243" s="516"/>
      <c r="L243" s="516"/>
      <c r="M243" s="516"/>
      <c r="N243" s="516"/>
      <c r="O243" s="516"/>
      <c r="P243" s="516"/>
      <c r="Q243" s="516"/>
      <c r="R243" s="516"/>
      <c r="S243" s="516"/>
      <c r="T243" s="516"/>
      <c r="U243" s="516"/>
      <c r="V243" s="516"/>
      <c r="W243" s="516"/>
      <c r="X243" s="516"/>
      <c r="Y243" s="516"/>
      <c r="Z243" s="516"/>
      <c r="AA243" s="516"/>
      <c r="AB243" s="516"/>
      <c r="AC243" s="516"/>
      <c r="AD243" s="516"/>
      <c r="AE243" s="516"/>
      <c r="AF243" s="516"/>
      <c r="AG243" s="516"/>
      <c r="AH243" s="516"/>
      <c r="AI243" s="516"/>
      <c r="AJ243" s="516"/>
      <c r="AK243" s="516"/>
      <c r="AL243" s="516"/>
      <c r="AM243" s="516"/>
      <c r="AN243" s="516"/>
      <c r="AO243" s="516"/>
      <c r="AP243" s="516"/>
      <c r="AQ243" s="516"/>
      <c r="AR243" s="516"/>
      <c r="AS243" s="516"/>
      <c r="AT243" s="516"/>
      <c r="AU243" s="516"/>
      <c r="AV243" s="516"/>
      <c r="AW243" s="516"/>
      <c r="AX243" s="516"/>
      <c r="AY243" s="516"/>
      <c r="AZ243" s="516"/>
      <c r="BA243" s="516"/>
      <c r="BB243" s="516"/>
      <c r="BC243" s="516"/>
      <c r="BD243" s="516"/>
      <c r="BE243" s="516"/>
      <c r="BF243" s="516"/>
      <c r="BG243" s="516"/>
      <c r="BH243" s="516"/>
      <c r="BI243" s="516"/>
      <c r="BJ243" s="516"/>
      <c r="BK243" s="516"/>
      <c r="BL243" s="516"/>
      <c r="BM243" s="516"/>
      <c r="BN243" s="516"/>
      <c r="BO243" s="516"/>
      <c r="BP243" s="516"/>
      <c r="BQ243" s="516"/>
      <c r="BR243" s="516"/>
      <c r="BS243" s="516"/>
      <c r="BT243" s="516"/>
      <c r="BU243" s="516"/>
      <c r="BV243" s="516"/>
      <c r="BW243" s="516"/>
      <c r="BX243" s="516"/>
      <c r="BY243" s="516"/>
      <c r="BZ243" s="516"/>
      <c r="CA243" s="516"/>
      <c r="CB243" s="516"/>
    </row>
    <row r="244" spans="1:80" x14ac:dyDescent="0.25">
      <c r="A244" s="860">
        <v>995</v>
      </c>
      <c r="B244" s="846">
        <v>995</v>
      </c>
      <c r="C244" s="860" t="s">
        <v>586</v>
      </c>
      <c r="D244" s="860" t="s">
        <v>587</v>
      </c>
      <c r="E244" s="862">
        <v>0</v>
      </c>
      <c r="F244" s="862">
        <v>0</v>
      </c>
      <c r="G244" s="862">
        <v>0</v>
      </c>
      <c r="H244" s="862">
        <v>0</v>
      </c>
      <c r="I244" s="862">
        <v>0</v>
      </c>
      <c r="J244" s="862">
        <v>0</v>
      </c>
      <c r="K244" s="862">
        <v>0</v>
      </c>
      <c r="L244" s="862">
        <v>0</v>
      </c>
      <c r="M244" s="862">
        <v>0</v>
      </c>
      <c r="N244" s="862">
        <v>0</v>
      </c>
      <c r="O244" s="862">
        <v>0</v>
      </c>
      <c r="P244" s="862">
        <v>0</v>
      </c>
      <c r="Q244" s="862">
        <v>0</v>
      </c>
      <c r="R244" s="862">
        <v>0</v>
      </c>
      <c r="S244" s="862">
        <v>0</v>
      </c>
      <c r="T244" s="862">
        <v>0.09</v>
      </c>
      <c r="U244" s="862">
        <v>0</v>
      </c>
      <c r="V244" s="862">
        <v>0.08</v>
      </c>
      <c r="W244" s="862">
        <v>0</v>
      </c>
      <c r="X244" s="862">
        <v>0</v>
      </c>
      <c r="Y244" s="862">
        <v>0</v>
      </c>
      <c r="Z244" s="862">
        <v>0</v>
      </c>
      <c r="AA244" s="862">
        <v>0.08</v>
      </c>
      <c r="AB244" s="862">
        <v>0</v>
      </c>
      <c r="AC244" s="862">
        <v>0</v>
      </c>
      <c r="AD244" s="862">
        <v>0</v>
      </c>
      <c r="AE244" s="862">
        <v>0</v>
      </c>
      <c r="AF244" s="862">
        <v>7.0000000000000007E-2</v>
      </c>
      <c r="AG244" s="862">
        <v>0</v>
      </c>
      <c r="AH244" s="862">
        <v>0</v>
      </c>
      <c r="AI244" s="862">
        <v>0</v>
      </c>
      <c r="AJ244" s="862">
        <v>0</v>
      </c>
      <c r="AK244" s="862">
        <v>0.08</v>
      </c>
      <c r="AL244" s="862">
        <v>0</v>
      </c>
      <c r="AM244" s="862">
        <v>0</v>
      </c>
      <c r="AN244" s="862">
        <v>0</v>
      </c>
      <c r="AO244" s="862">
        <v>0</v>
      </c>
      <c r="AP244" s="862">
        <v>0</v>
      </c>
      <c r="AQ244" s="862">
        <v>0</v>
      </c>
      <c r="AR244" s="862">
        <v>7.0000000000000007E-2</v>
      </c>
      <c r="AS244" s="862">
        <v>0</v>
      </c>
      <c r="AT244" s="862">
        <v>0</v>
      </c>
      <c r="AU244" s="862">
        <v>0</v>
      </c>
      <c r="AV244" s="862">
        <v>7.0000000000000007E-2</v>
      </c>
      <c r="AW244" s="862">
        <v>0</v>
      </c>
      <c r="AX244" s="862">
        <v>0</v>
      </c>
      <c r="AY244" s="862">
        <v>0</v>
      </c>
      <c r="AZ244" s="862">
        <v>0</v>
      </c>
      <c r="BA244" s="862">
        <v>0.08</v>
      </c>
      <c r="BB244" s="862">
        <v>0</v>
      </c>
      <c r="BC244" s="862">
        <v>0</v>
      </c>
      <c r="BD244" s="862">
        <v>0.09</v>
      </c>
      <c r="BE244" s="862">
        <v>0</v>
      </c>
      <c r="BF244" s="862">
        <v>0.08</v>
      </c>
      <c r="BG244" s="862">
        <v>0.09</v>
      </c>
      <c r="BH244" s="862">
        <v>0</v>
      </c>
      <c r="BI244" s="862">
        <v>0</v>
      </c>
      <c r="BJ244" s="862">
        <v>0</v>
      </c>
      <c r="BK244" s="862">
        <v>0</v>
      </c>
      <c r="BL244" s="862">
        <v>7.0000000000000007E-2</v>
      </c>
      <c r="BM244" s="862">
        <v>0</v>
      </c>
      <c r="BN244" s="862">
        <v>0</v>
      </c>
      <c r="BO244" s="862">
        <v>0</v>
      </c>
      <c r="BP244" s="862">
        <v>0</v>
      </c>
      <c r="BQ244" s="862">
        <v>0</v>
      </c>
      <c r="BR244" s="862">
        <v>0</v>
      </c>
      <c r="BS244" s="862">
        <v>0</v>
      </c>
      <c r="BT244" s="862">
        <v>0</v>
      </c>
      <c r="BU244" s="862">
        <v>0</v>
      </c>
      <c r="BV244" s="862">
        <v>0</v>
      </c>
      <c r="BW244" s="862">
        <v>0</v>
      </c>
      <c r="BX244" s="862">
        <v>0</v>
      </c>
      <c r="BY244" s="862">
        <v>0</v>
      </c>
      <c r="BZ244" s="862">
        <v>0</v>
      </c>
      <c r="CA244" s="862">
        <v>0</v>
      </c>
      <c r="CB244" s="862">
        <v>0</v>
      </c>
    </row>
    <row r="245" spans="1:80" x14ac:dyDescent="0.25">
      <c r="A245" s="860">
        <v>996</v>
      </c>
      <c r="B245" s="846">
        <v>996</v>
      </c>
      <c r="C245" s="860" t="s">
        <v>588</v>
      </c>
      <c r="D245" s="860" t="s">
        <v>589</v>
      </c>
      <c r="E245" s="862">
        <v>0</v>
      </c>
      <c r="F245" s="862">
        <v>0</v>
      </c>
      <c r="G245" s="862">
        <v>0.01</v>
      </c>
      <c r="H245" s="862">
        <v>0.01</v>
      </c>
      <c r="I245" s="862">
        <v>0.01</v>
      </c>
      <c r="J245" s="862">
        <v>0.01</v>
      </c>
      <c r="K245" s="862">
        <v>0.01</v>
      </c>
      <c r="L245" s="862">
        <v>0.01</v>
      </c>
      <c r="M245" s="862">
        <v>0.01</v>
      </c>
      <c r="N245" s="862">
        <v>0</v>
      </c>
      <c r="O245" s="862">
        <v>0.01</v>
      </c>
      <c r="P245" s="862">
        <v>0.01</v>
      </c>
      <c r="Q245" s="862">
        <v>0</v>
      </c>
      <c r="R245" s="862">
        <v>0.01</v>
      </c>
      <c r="S245" s="862">
        <v>0.01</v>
      </c>
      <c r="T245" s="862">
        <v>0.01</v>
      </c>
      <c r="U245" s="862">
        <v>0.01</v>
      </c>
      <c r="V245" s="862">
        <v>0.01</v>
      </c>
      <c r="W245" s="862">
        <v>0</v>
      </c>
      <c r="X245" s="862">
        <v>0</v>
      </c>
      <c r="Y245" s="862">
        <v>0</v>
      </c>
      <c r="Z245" s="862">
        <v>0.01</v>
      </c>
      <c r="AA245" s="862">
        <v>0.01</v>
      </c>
      <c r="AB245" s="862">
        <v>0.01</v>
      </c>
      <c r="AC245" s="862">
        <v>0</v>
      </c>
      <c r="AD245" s="862">
        <v>0.01</v>
      </c>
      <c r="AE245" s="862">
        <v>0.01</v>
      </c>
      <c r="AF245" s="862">
        <v>0.01</v>
      </c>
      <c r="AG245" s="862">
        <v>0.01</v>
      </c>
      <c r="AH245" s="862">
        <v>0</v>
      </c>
      <c r="AI245" s="862">
        <v>0</v>
      </c>
      <c r="AJ245" s="862">
        <v>0.01</v>
      </c>
      <c r="AK245" s="862">
        <v>0.01</v>
      </c>
      <c r="AL245" s="862">
        <v>0.01</v>
      </c>
      <c r="AM245" s="862">
        <v>0</v>
      </c>
      <c r="AN245" s="862">
        <v>0.01</v>
      </c>
      <c r="AO245" s="862">
        <v>0.01</v>
      </c>
      <c r="AP245" s="862">
        <v>0.01</v>
      </c>
      <c r="AQ245" s="862">
        <v>0</v>
      </c>
      <c r="AR245" s="862">
        <v>0.01</v>
      </c>
      <c r="AS245" s="862">
        <v>0.01</v>
      </c>
      <c r="AT245" s="862">
        <v>0.01</v>
      </c>
      <c r="AU245" s="862">
        <v>0.01</v>
      </c>
      <c r="AV245" s="862">
        <v>0.01</v>
      </c>
      <c r="AW245" s="862">
        <v>0.01</v>
      </c>
      <c r="AX245" s="862">
        <v>0.01</v>
      </c>
      <c r="AY245" s="862">
        <v>0.01</v>
      </c>
      <c r="AZ245" s="862">
        <v>0.01</v>
      </c>
      <c r="BA245" s="862">
        <v>0.01</v>
      </c>
      <c r="BB245" s="862">
        <v>0</v>
      </c>
      <c r="BC245" s="862">
        <v>0.01</v>
      </c>
      <c r="BD245" s="862">
        <v>0.01</v>
      </c>
      <c r="BE245" s="862">
        <v>0</v>
      </c>
      <c r="BF245" s="862">
        <v>0.01</v>
      </c>
      <c r="BG245" s="862">
        <v>0.01</v>
      </c>
      <c r="BH245" s="862">
        <v>0</v>
      </c>
      <c r="BI245" s="862">
        <v>0.01</v>
      </c>
      <c r="BJ245" s="862">
        <v>0.01</v>
      </c>
      <c r="BK245" s="862">
        <v>0.01</v>
      </c>
      <c r="BL245" s="862">
        <v>0.01</v>
      </c>
      <c r="BM245" s="862">
        <v>0.01</v>
      </c>
      <c r="BN245" s="862">
        <v>0</v>
      </c>
      <c r="BO245" s="862">
        <v>0.01</v>
      </c>
      <c r="BP245" s="862">
        <v>0.01</v>
      </c>
      <c r="BQ245" s="862">
        <v>0.01</v>
      </c>
      <c r="BR245" s="862">
        <v>0.01</v>
      </c>
      <c r="BS245" s="862">
        <v>0</v>
      </c>
      <c r="BT245" s="862">
        <v>0</v>
      </c>
      <c r="BU245" s="862">
        <v>0.01</v>
      </c>
      <c r="BV245" s="862">
        <v>0.01</v>
      </c>
      <c r="BW245" s="862">
        <v>0.01</v>
      </c>
      <c r="BX245" s="862">
        <v>0.01</v>
      </c>
      <c r="BY245" s="862">
        <v>0</v>
      </c>
      <c r="BZ245" s="862">
        <v>0</v>
      </c>
      <c r="CA245" s="862">
        <v>0.01</v>
      </c>
      <c r="CB245" s="862">
        <v>0</v>
      </c>
    </row>
    <row r="246" spans="1:80" x14ac:dyDescent="0.25">
      <c r="A246" s="860"/>
      <c r="B246" s="846">
        <v>997</v>
      </c>
      <c r="C246" s="860"/>
      <c r="D246" s="860"/>
      <c r="E246" s="862"/>
      <c r="F246" s="862"/>
      <c r="G246" s="862"/>
      <c r="H246" s="862"/>
      <c r="I246" s="862"/>
      <c r="J246" s="862"/>
      <c r="K246" s="862"/>
      <c r="L246" s="862"/>
      <c r="M246" s="862"/>
      <c r="N246" s="862"/>
      <c r="O246" s="862"/>
      <c r="P246" s="862"/>
      <c r="Q246" s="862"/>
      <c r="R246" s="862"/>
      <c r="S246" s="862"/>
      <c r="T246" s="862"/>
      <c r="U246" s="862"/>
      <c r="V246" s="862"/>
      <c r="W246" s="862"/>
      <c r="X246" s="862"/>
      <c r="Y246" s="862"/>
      <c r="Z246" s="862"/>
      <c r="AA246" s="862"/>
      <c r="AB246" s="862"/>
      <c r="AC246" s="862"/>
      <c r="AD246" s="862"/>
      <c r="AE246" s="862"/>
      <c r="AF246" s="862"/>
      <c r="AG246" s="862"/>
      <c r="AH246" s="862"/>
      <c r="AI246" s="862"/>
      <c r="AJ246" s="862"/>
      <c r="AK246" s="862"/>
      <c r="AL246" s="862"/>
      <c r="AM246" s="862"/>
      <c r="AN246" s="862"/>
      <c r="AO246" s="862"/>
      <c r="AP246" s="862"/>
      <c r="AQ246" s="862"/>
      <c r="AR246" s="862"/>
      <c r="AS246" s="862"/>
      <c r="AT246" s="862"/>
      <c r="AU246" s="862"/>
      <c r="AV246" s="862"/>
      <c r="AW246" s="862"/>
      <c r="AX246" s="862"/>
      <c r="AY246" s="862"/>
      <c r="AZ246" s="862"/>
      <c r="BA246" s="862"/>
      <c r="BB246" s="862"/>
      <c r="BC246" s="862"/>
      <c r="BD246" s="862"/>
      <c r="BE246" s="862"/>
      <c r="BF246" s="862"/>
      <c r="BG246" s="862"/>
      <c r="BH246" s="862"/>
      <c r="BI246" s="862"/>
      <c r="BJ246" s="862"/>
      <c r="BK246" s="862"/>
      <c r="BL246" s="862"/>
      <c r="BM246" s="862"/>
      <c r="BN246" s="862"/>
      <c r="BO246" s="862"/>
      <c r="BP246" s="862"/>
      <c r="BQ246" s="862"/>
      <c r="BR246" s="862"/>
      <c r="BS246" s="862"/>
      <c r="BT246" s="862"/>
      <c r="BU246" s="862"/>
      <c r="BV246" s="862"/>
      <c r="BW246" s="862"/>
      <c r="BX246" s="862"/>
      <c r="BY246" s="862"/>
      <c r="BZ246" s="862"/>
      <c r="CA246" s="862"/>
      <c r="CB246" s="862"/>
    </row>
    <row r="247" spans="1:80" x14ac:dyDescent="0.25">
      <c r="A247" s="860">
        <v>998</v>
      </c>
      <c r="B247" s="846">
        <v>998</v>
      </c>
      <c r="C247" s="860" t="s">
        <v>359</v>
      </c>
      <c r="D247" s="860" t="s">
        <v>590</v>
      </c>
      <c r="E247" s="516">
        <v>50</v>
      </c>
      <c r="F247" s="516">
        <v>50</v>
      </c>
      <c r="G247" s="516">
        <v>50</v>
      </c>
      <c r="H247" s="516">
        <v>50</v>
      </c>
      <c r="I247" s="516">
        <v>50</v>
      </c>
      <c r="J247" s="516">
        <v>50</v>
      </c>
      <c r="K247" s="516">
        <v>50</v>
      </c>
      <c r="L247" s="516">
        <v>50</v>
      </c>
      <c r="M247" s="516">
        <v>50</v>
      </c>
      <c r="N247" s="516">
        <v>50</v>
      </c>
      <c r="O247" s="516">
        <v>50</v>
      </c>
      <c r="P247" s="516">
        <v>50</v>
      </c>
      <c r="Q247" s="516">
        <v>50</v>
      </c>
      <c r="R247" s="516">
        <v>50</v>
      </c>
      <c r="S247" s="516">
        <v>50</v>
      </c>
      <c r="T247" s="516">
        <v>50</v>
      </c>
      <c r="U247" s="516">
        <v>50</v>
      </c>
      <c r="V247" s="516">
        <v>50</v>
      </c>
      <c r="W247" s="516">
        <v>50</v>
      </c>
      <c r="X247" s="516">
        <v>50</v>
      </c>
      <c r="Y247" s="516">
        <v>50</v>
      </c>
      <c r="Z247" s="516">
        <v>50</v>
      </c>
      <c r="AA247" s="516">
        <v>50</v>
      </c>
      <c r="AB247" s="516">
        <v>50</v>
      </c>
      <c r="AC247" s="516">
        <v>50</v>
      </c>
      <c r="AD247" s="516">
        <v>50</v>
      </c>
      <c r="AE247" s="516">
        <v>50</v>
      </c>
      <c r="AF247" s="516">
        <v>50</v>
      </c>
      <c r="AG247" s="516">
        <v>50</v>
      </c>
      <c r="AH247" s="516">
        <v>50</v>
      </c>
      <c r="AI247" s="516">
        <v>50</v>
      </c>
      <c r="AJ247" s="516">
        <v>50</v>
      </c>
      <c r="AK247" s="516">
        <v>50</v>
      </c>
      <c r="AL247" s="516">
        <v>50</v>
      </c>
      <c r="AM247" s="516">
        <v>50</v>
      </c>
      <c r="AN247" s="516">
        <v>50</v>
      </c>
      <c r="AO247" s="516">
        <v>50</v>
      </c>
      <c r="AP247" s="516">
        <v>50</v>
      </c>
      <c r="AQ247" s="516">
        <v>50</v>
      </c>
      <c r="AR247" s="516">
        <v>50</v>
      </c>
      <c r="AS247" s="516">
        <v>50</v>
      </c>
      <c r="AT247" s="516">
        <v>50</v>
      </c>
      <c r="AU247" s="516">
        <v>50</v>
      </c>
      <c r="AV247" s="516">
        <v>50</v>
      </c>
      <c r="AW247" s="516">
        <v>50</v>
      </c>
      <c r="AX247" s="516">
        <v>50</v>
      </c>
      <c r="AY247" s="516">
        <v>50</v>
      </c>
      <c r="AZ247" s="516">
        <v>50</v>
      </c>
      <c r="BA247" s="516">
        <v>50</v>
      </c>
      <c r="BB247" s="516">
        <v>50</v>
      </c>
      <c r="BC247" s="516">
        <v>50</v>
      </c>
      <c r="BD247" s="516">
        <v>50</v>
      </c>
      <c r="BE247" s="516">
        <v>50</v>
      </c>
      <c r="BF247" s="516">
        <v>50</v>
      </c>
      <c r="BG247" s="516">
        <v>50</v>
      </c>
      <c r="BH247" s="516">
        <v>50</v>
      </c>
      <c r="BI247" s="516">
        <v>50</v>
      </c>
      <c r="BJ247" s="516">
        <v>50</v>
      </c>
      <c r="BK247" s="516">
        <v>50</v>
      </c>
      <c r="BL247" s="516">
        <v>50</v>
      </c>
      <c r="BM247" s="516">
        <v>50</v>
      </c>
      <c r="BN247" s="516">
        <v>50</v>
      </c>
      <c r="BO247" s="516">
        <v>50</v>
      </c>
      <c r="BP247" s="516">
        <v>50</v>
      </c>
      <c r="BQ247" s="516">
        <v>50</v>
      </c>
      <c r="BR247" s="516">
        <v>50</v>
      </c>
      <c r="BS247" s="516">
        <v>50</v>
      </c>
      <c r="BT247" s="516">
        <v>50</v>
      </c>
      <c r="BU247" s="516">
        <v>50</v>
      </c>
      <c r="BV247" s="516">
        <v>50</v>
      </c>
      <c r="BW247" s="516">
        <v>50</v>
      </c>
      <c r="BX247" s="516">
        <v>50</v>
      </c>
      <c r="BY247" s="516">
        <v>50</v>
      </c>
      <c r="BZ247" s="516">
        <v>50</v>
      </c>
      <c r="CA247" s="516">
        <v>50</v>
      </c>
      <c r="CB247" s="516">
        <v>50</v>
      </c>
    </row>
    <row r="248" spans="1:80" x14ac:dyDescent="0.25">
      <c r="A248" s="860">
        <v>999</v>
      </c>
      <c r="B248" s="860">
        <v>999</v>
      </c>
      <c r="C248" s="860" t="s">
        <v>360</v>
      </c>
      <c r="D248" s="860" t="s">
        <v>591</v>
      </c>
      <c r="E248" s="860">
        <v>50476</v>
      </c>
      <c r="F248" s="860">
        <v>50191</v>
      </c>
      <c r="G248" s="860">
        <v>50192</v>
      </c>
      <c r="H248" s="860">
        <v>50193</v>
      </c>
      <c r="I248" s="860">
        <v>50194</v>
      </c>
      <c r="J248" s="860">
        <v>50195</v>
      </c>
      <c r="K248" s="860">
        <v>50196</v>
      </c>
      <c r="L248" s="860">
        <v>50197</v>
      </c>
      <c r="M248" s="860">
        <v>50498</v>
      </c>
      <c r="N248" s="860">
        <v>50198</v>
      </c>
      <c r="O248" s="860">
        <v>50199</v>
      </c>
      <c r="P248" s="860">
        <v>50200</v>
      </c>
      <c r="Q248" s="860">
        <v>50201</v>
      </c>
      <c r="R248" s="860">
        <v>50202</v>
      </c>
      <c r="S248" s="860">
        <v>50493</v>
      </c>
      <c r="T248" s="860">
        <v>50203</v>
      </c>
      <c r="U248" s="860">
        <v>50518</v>
      </c>
      <c r="V248" s="860">
        <v>50204</v>
      </c>
      <c r="W248" s="860">
        <v>50205</v>
      </c>
      <c r="X248" s="860">
        <v>50206</v>
      </c>
      <c r="Y248" s="860">
        <v>50207</v>
      </c>
      <c r="Z248" s="860">
        <v>50208</v>
      </c>
      <c r="AA248" s="860">
        <v>50209</v>
      </c>
      <c r="AB248" s="860">
        <v>50210</v>
      </c>
      <c r="AC248" s="860">
        <v>50519</v>
      </c>
      <c r="AD248" s="860">
        <v>50528</v>
      </c>
      <c r="AE248" s="860">
        <v>50211</v>
      </c>
      <c r="AF248" s="860">
        <v>50212</v>
      </c>
      <c r="AG248" s="860">
        <v>50213</v>
      </c>
      <c r="AH248" s="860">
        <v>50214</v>
      </c>
      <c r="AI248" s="860">
        <v>50215</v>
      </c>
      <c r="AJ248" s="860">
        <v>50216</v>
      </c>
      <c r="AK248" s="860">
        <v>50217</v>
      </c>
      <c r="AL248" s="860">
        <v>50218</v>
      </c>
      <c r="AM248" s="860">
        <v>50477</v>
      </c>
      <c r="AN248" s="860">
        <v>50520</v>
      </c>
      <c r="AO248" s="860">
        <v>50219</v>
      </c>
      <c r="AP248" s="860">
        <v>50220</v>
      </c>
      <c r="AQ248" s="860">
        <v>50536</v>
      </c>
      <c r="AR248" s="860">
        <v>50221</v>
      </c>
      <c r="AS248" s="860">
        <v>50222</v>
      </c>
      <c r="AT248" s="860">
        <v>50223</v>
      </c>
      <c r="AU248" s="860">
        <v>50224</v>
      </c>
      <c r="AV248" s="860">
        <v>50225</v>
      </c>
      <c r="AW248" s="860">
        <v>50226</v>
      </c>
      <c r="AX248" s="860">
        <v>50227</v>
      </c>
      <c r="AY248" s="860">
        <v>50455</v>
      </c>
      <c r="AZ248" s="860">
        <v>50229</v>
      </c>
      <c r="BA248" s="860">
        <v>50230</v>
      </c>
      <c r="BB248" s="860">
        <v>50231</v>
      </c>
      <c r="BC248" s="860">
        <v>50232</v>
      </c>
      <c r="BD248" s="860">
        <v>50233</v>
      </c>
      <c r="BE248" s="860">
        <v>50234</v>
      </c>
      <c r="BF248" s="860">
        <v>50235</v>
      </c>
      <c r="BG248" s="860">
        <v>50236</v>
      </c>
      <c r="BH248" s="860">
        <v>50237</v>
      </c>
      <c r="BI248" s="860">
        <v>50238</v>
      </c>
      <c r="BJ248" s="860">
        <v>50444</v>
      </c>
      <c r="BK248" s="860">
        <v>50239</v>
      </c>
      <c r="BL248" s="860">
        <v>50240</v>
      </c>
      <c r="BM248" s="860">
        <v>50241</v>
      </c>
      <c r="BN248" s="860">
        <v>50521</v>
      </c>
      <c r="BO248" s="860">
        <v>50242</v>
      </c>
      <c r="BP248" s="860">
        <v>50244</v>
      </c>
      <c r="BQ248" s="860">
        <v>50243</v>
      </c>
      <c r="BR248" s="860">
        <v>50245</v>
      </c>
      <c r="BS248" s="860">
        <v>50522</v>
      </c>
      <c r="BT248" s="860">
        <v>50246</v>
      </c>
      <c r="BU248" s="860">
        <v>50247</v>
      </c>
      <c r="BV248" s="860">
        <v>50248</v>
      </c>
      <c r="BW248" s="860">
        <v>50249</v>
      </c>
      <c r="BX248" s="860">
        <v>50250</v>
      </c>
      <c r="BY248" s="860">
        <v>50251</v>
      </c>
      <c r="BZ248" s="860">
        <v>50252</v>
      </c>
      <c r="CA248" s="860">
        <v>50253</v>
      </c>
      <c r="CB248" s="860">
        <v>50454</v>
      </c>
    </row>
    <row r="249" spans="1:80" x14ac:dyDescent="0.25">
      <c r="A249" s="860"/>
      <c r="B249" s="860">
        <v>1000</v>
      </c>
      <c r="C249" s="860"/>
      <c r="D249" s="860"/>
      <c r="E249" s="860" t="s">
        <v>36</v>
      </c>
      <c r="F249" s="860" t="s">
        <v>36</v>
      </c>
      <c r="G249" s="860" t="s">
        <v>1197</v>
      </c>
      <c r="H249" s="860" t="s">
        <v>1197</v>
      </c>
      <c r="I249" s="860" t="s">
        <v>1197</v>
      </c>
      <c r="J249" s="860" t="s">
        <v>1197</v>
      </c>
      <c r="K249" s="860" t="s">
        <v>1197</v>
      </c>
      <c r="L249" s="860" t="s">
        <v>1197</v>
      </c>
      <c r="M249" s="860" t="s">
        <v>1197</v>
      </c>
      <c r="N249" s="860" t="s">
        <v>36</v>
      </c>
      <c r="O249" s="860" t="s">
        <v>1197</v>
      </c>
      <c r="P249" s="860" t="s">
        <v>1197</v>
      </c>
      <c r="Q249" s="860" t="s">
        <v>36</v>
      </c>
      <c r="R249" s="860" t="s">
        <v>1197</v>
      </c>
      <c r="S249" s="860" t="s">
        <v>1197</v>
      </c>
      <c r="T249" s="860" t="s">
        <v>1197</v>
      </c>
      <c r="U249" s="860" t="s">
        <v>1197</v>
      </c>
      <c r="V249" s="860" t="s">
        <v>1197</v>
      </c>
      <c r="W249" s="860" t="s">
        <v>36</v>
      </c>
      <c r="X249" s="860" t="s">
        <v>36</v>
      </c>
      <c r="Y249" s="860" t="s">
        <v>36</v>
      </c>
      <c r="Z249" s="860" t="s">
        <v>1197</v>
      </c>
      <c r="AA249" s="860" t="s">
        <v>1197</v>
      </c>
      <c r="AB249" s="860" t="s">
        <v>1197</v>
      </c>
      <c r="AC249" s="860" t="s">
        <v>36</v>
      </c>
      <c r="AD249" s="860" t="s">
        <v>1197</v>
      </c>
      <c r="AE249" s="860" t="s">
        <v>1197</v>
      </c>
      <c r="AF249" s="860" t="s">
        <v>1197</v>
      </c>
      <c r="AG249" s="860" t="s">
        <v>1197</v>
      </c>
      <c r="AH249" s="860" t="s">
        <v>36</v>
      </c>
      <c r="AI249" s="860" t="s">
        <v>36</v>
      </c>
      <c r="AJ249" s="860" t="s">
        <v>1197</v>
      </c>
      <c r="AK249" s="860" t="s">
        <v>1197</v>
      </c>
      <c r="AL249" s="860" t="s">
        <v>1197</v>
      </c>
      <c r="AM249" s="860" t="s">
        <v>36</v>
      </c>
      <c r="AN249" s="860" t="s">
        <v>1197</v>
      </c>
      <c r="AO249" s="860" t="s">
        <v>1197</v>
      </c>
      <c r="AP249" s="860" t="s">
        <v>1197</v>
      </c>
      <c r="AQ249" s="860" t="s">
        <v>36</v>
      </c>
      <c r="AR249" s="860" t="s">
        <v>1197</v>
      </c>
      <c r="AS249" s="860" t="s">
        <v>1197</v>
      </c>
      <c r="AT249" s="860" t="s">
        <v>1197</v>
      </c>
      <c r="AU249" s="860" t="s">
        <v>1197</v>
      </c>
      <c r="AV249" s="860" t="s">
        <v>1197</v>
      </c>
      <c r="AW249" s="860" t="s">
        <v>1197</v>
      </c>
      <c r="AX249" s="860" t="s">
        <v>1197</v>
      </c>
      <c r="AY249" s="860" t="s">
        <v>1197</v>
      </c>
      <c r="AZ249" s="860" t="s">
        <v>1197</v>
      </c>
      <c r="BA249" s="860" t="s">
        <v>1197</v>
      </c>
      <c r="BB249" s="860" t="s">
        <v>36</v>
      </c>
      <c r="BC249" s="860" t="s">
        <v>1197</v>
      </c>
      <c r="BD249" s="860" t="s">
        <v>1197</v>
      </c>
      <c r="BE249" s="860" t="s">
        <v>36</v>
      </c>
      <c r="BF249" s="860" t="s">
        <v>1197</v>
      </c>
      <c r="BG249" s="860" t="s">
        <v>1197</v>
      </c>
      <c r="BH249" s="860" t="s">
        <v>36</v>
      </c>
      <c r="BI249" s="860" t="s">
        <v>1197</v>
      </c>
      <c r="BJ249" s="860" t="s">
        <v>1197</v>
      </c>
      <c r="BK249" s="860" t="s">
        <v>1197</v>
      </c>
      <c r="BL249" s="860" t="s">
        <v>1197</v>
      </c>
      <c r="BM249" s="860" t="s">
        <v>1197</v>
      </c>
      <c r="BN249" s="860" t="s">
        <v>36</v>
      </c>
      <c r="BO249" s="860" t="s">
        <v>1197</v>
      </c>
      <c r="BP249" s="860" t="s">
        <v>1197</v>
      </c>
      <c r="BQ249" s="860" t="s">
        <v>1197</v>
      </c>
      <c r="BR249" s="860" t="s">
        <v>1197</v>
      </c>
      <c r="BS249" s="860" t="s">
        <v>36</v>
      </c>
      <c r="BT249" s="860" t="s">
        <v>36</v>
      </c>
      <c r="BU249" s="860" t="s">
        <v>1197</v>
      </c>
      <c r="BV249" s="860" t="s">
        <v>1197</v>
      </c>
      <c r="BW249" s="860" t="s">
        <v>1197</v>
      </c>
      <c r="BX249" s="860" t="s">
        <v>1197</v>
      </c>
      <c r="BY249" s="860" t="s">
        <v>36</v>
      </c>
      <c r="BZ249" s="860" t="s">
        <v>36</v>
      </c>
      <c r="CA249" s="860" t="s">
        <v>1197</v>
      </c>
      <c r="CB249" s="860" t="s">
        <v>36</v>
      </c>
    </row>
    <row r="250" spans="1:80" x14ac:dyDescent="0.25">
      <c r="A250" s="860"/>
      <c r="B250" s="860">
        <v>537</v>
      </c>
      <c r="C250" s="860"/>
      <c r="D250" s="860"/>
      <c r="E250" s="860" t="s">
        <v>59</v>
      </c>
      <c r="F250" s="860" t="s">
        <v>811</v>
      </c>
      <c r="G250" s="860" t="s">
        <v>811</v>
      </c>
      <c r="H250" s="860" t="s">
        <v>58</v>
      </c>
      <c r="I250" s="860" t="s">
        <v>58</v>
      </c>
      <c r="J250" s="860" t="s">
        <v>58</v>
      </c>
      <c r="K250" s="860" t="s">
        <v>59</v>
      </c>
      <c r="L250" s="860" t="s">
        <v>58</v>
      </c>
      <c r="M250" s="860" t="s">
        <v>59</v>
      </c>
      <c r="N250" s="860" t="s">
        <v>59</v>
      </c>
      <c r="O250" s="860" t="s">
        <v>59</v>
      </c>
      <c r="P250" s="860" t="s">
        <v>59</v>
      </c>
      <c r="Q250" s="860" t="s">
        <v>59</v>
      </c>
      <c r="R250" s="860" t="s">
        <v>58</v>
      </c>
      <c r="S250" s="860" t="s">
        <v>58</v>
      </c>
      <c r="T250" s="860" t="s">
        <v>59</v>
      </c>
      <c r="U250" s="860" t="s">
        <v>811</v>
      </c>
      <c r="V250" s="860" t="s">
        <v>59</v>
      </c>
      <c r="W250" s="860" t="s">
        <v>811</v>
      </c>
      <c r="X250" s="860" t="s">
        <v>811</v>
      </c>
      <c r="Y250" s="860" t="s">
        <v>58</v>
      </c>
      <c r="Z250" s="860" t="s">
        <v>58</v>
      </c>
      <c r="AA250" s="860" t="s">
        <v>58</v>
      </c>
      <c r="AB250" s="860" t="s">
        <v>59</v>
      </c>
      <c r="AC250" s="860" t="s">
        <v>811</v>
      </c>
      <c r="AD250" s="860" t="s">
        <v>58</v>
      </c>
      <c r="AE250" s="860" t="s">
        <v>59</v>
      </c>
      <c r="AF250" s="860" t="s">
        <v>59</v>
      </c>
      <c r="AG250" s="860" t="s">
        <v>59</v>
      </c>
      <c r="AH250" s="860" t="s">
        <v>811</v>
      </c>
      <c r="AI250" s="860" t="s">
        <v>59</v>
      </c>
      <c r="AJ250" s="860" t="s">
        <v>58</v>
      </c>
      <c r="AK250" s="860" t="s">
        <v>59</v>
      </c>
      <c r="AL250" s="860" t="s">
        <v>59</v>
      </c>
      <c r="AM250" s="860" t="s">
        <v>59</v>
      </c>
      <c r="AN250" s="860" t="s">
        <v>59</v>
      </c>
      <c r="AO250" s="860" t="s">
        <v>58</v>
      </c>
      <c r="AP250" s="860" t="s">
        <v>59</v>
      </c>
      <c r="AQ250" s="860" t="s">
        <v>811</v>
      </c>
      <c r="AR250" s="860" t="s">
        <v>58</v>
      </c>
      <c r="AS250" s="860" t="s">
        <v>59</v>
      </c>
      <c r="AT250" s="860" t="s">
        <v>58</v>
      </c>
      <c r="AU250" s="860" t="s">
        <v>59</v>
      </c>
      <c r="AV250" s="860" t="s">
        <v>59</v>
      </c>
      <c r="AW250" s="860" t="s">
        <v>58</v>
      </c>
      <c r="AX250" s="860" t="s">
        <v>59</v>
      </c>
      <c r="AY250" s="860" t="s">
        <v>59</v>
      </c>
      <c r="AZ250" s="860" t="s">
        <v>58</v>
      </c>
      <c r="BA250" s="860" t="s">
        <v>59</v>
      </c>
      <c r="BB250" s="860" t="s">
        <v>811</v>
      </c>
      <c r="BC250" s="860" t="s">
        <v>811</v>
      </c>
      <c r="BD250" s="860" t="s">
        <v>811</v>
      </c>
      <c r="BE250" s="860" t="s">
        <v>811</v>
      </c>
      <c r="BF250" s="860" t="s">
        <v>811</v>
      </c>
      <c r="BG250" s="860" t="s">
        <v>58</v>
      </c>
      <c r="BH250" s="860" t="s">
        <v>59</v>
      </c>
      <c r="BI250" s="860" t="s">
        <v>59</v>
      </c>
      <c r="BJ250" s="860" t="s">
        <v>58</v>
      </c>
      <c r="BK250" s="860" t="s">
        <v>811</v>
      </c>
      <c r="BL250" s="860" t="s">
        <v>59</v>
      </c>
      <c r="BM250" s="860" t="s">
        <v>59</v>
      </c>
      <c r="BN250" s="860" t="s">
        <v>811</v>
      </c>
      <c r="BO250" s="860" t="s">
        <v>58</v>
      </c>
      <c r="BP250" s="860" t="s">
        <v>58</v>
      </c>
      <c r="BQ250" s="860" t="s">
        <v>58</v>
      </c>
      <c r="BR250" s="860" t="s">
        <v>59</v>
      </c>
      <c r="BS250" s="860" t="s">
        <v>59</v>
      </c>
      <c r="BT250" s="860" t="s">
        <v>59</v>
      </c>
      <c r="BU250" s="860" t="s">
        <v>59</v>
      </c>
      <c r="BV250" s="860" t="s">
        <v>58</v>
      </c>
      <c r="BW250" s="860" t="s">
        <v>59</v>
      </c>
      <c r="BX250" s="860" t="s">
        <v>58</v>
      </c>
      <c r="BY250" s="860" t="s">
        <v>811</v>
      </c>
      <c r="BZ250" s="860" t="s">
        <v>811</v>
      </c>
      <c r="CA250" s="860" t="s">
        <v>58</v>
      </c>
      <c r="CB250" s="860" t="s">
        <v>811</v>
      </c>
    </row>
    <row r="251" spans="1:80" x14ac:dyDescent="0.25">
      <c r="A251" s="860"/>
      <c r="B251" s="860">
        <v>538</v>
      </c>
      <c r="C251" s="860"/>
      <c r="D251" s="860"/>
      <c r="E251" s="860" t="s">
        <v>59</v>
      </c>
      <c r="F251" s="860" t="s">
        <v>811</v>
      </c>
      <c r="G251" s="860" t="s">
        <v>811</v>
      </c>
      <c r="H251" s="860" t="s">
        <v>58</v>
      </c>
      <c r="I251" s="860" t="s">
        <v>58</v>
      </c>
      <c r="J251" s="860" t="s">
        <v>59</v>
      </c>
      <c r="K251" s="860" t="s">
        <v>59</v>
      </c>
      <c r="L251" s="860" t="s">
        <v>58</v>
      </c>
      <c r="M251" s="860" t="s">
        <v>58</v>
      </c>
      <c r="N251" s="860" t="s">
        <v>59</v>
      </c>
      <c r="O251" s="860" t="s">
        <v>59</v>
      </c>
      <c r="P251" s="860" t="s">
        <v>59</v>
      </c>
      <c r="Q251" s="860" t="s">
        <v>59</v>
      </c>
      <c r="R251" s="860" t="s">
        <v>58</v>
      </c>
      <c r="S251" s="860" t="s">
        <v>58</v>
      </c>
      <c r="T251" s="860" t="s">
        <v>59</v>
      </c>
      <c r="U251" s="860" t="s">
        <v>811</v>
      </c>
      <c r="V251" s="860" t="s">
        <v>59</v>
      </c>
      <c r="W251" s="860" t="s">
        <v>811</v>
      </c>
      <c r="X251" s="860" t="s">
        <v>811</v>
      </c>
      <c r="Y251" s="860" t="s">
        <v>59</v>
      </c>
      <c r="Z251" s="860" t="s">
        <v>58</v>
      </c>
      <c r="AA251" s="860" t="s">
        <v>59</v>
      </c>
      <c r="AB251" s="860" t="s">
        <v>59</v>
      </c>
      <c r="AC251" s="860" t="s">
        <v>811</v>
      </c>
      <c r="AD251" s="860" t="s">
        <v>59</v>
      </c>
      <c r="AE251" s="860" t="s">
        <v>59</v>
      </c>
      <c r="AF251" s="860" t="s">
        <v>59</v>
      </c>
      <c r="AG251" s="860" t="s">
        <v>59</v>
      </c>
      <c r="AH251" s="860" t="s">
        <v>811</v>
      </c>
      <c r="AI251" s="860" t="s">
        <v>59</v>
      </c>
      <c r="AJ251" s="860" t="s">
        <v>59</v>
      </c>
      <c r="AK251" s="860" t="s">
        <v>59</v>
      </c>
      <c r="AL251" s="860" t="s">
        <v>59</v>
      </c>
      <c r="AM251" s="860" t="s">
        <v>59</v>
      </c>
      <c r="AN251" s="860" t="s">
        <v>59</v>
      </c>
      <c r="AO251" s="860" t="s">
        <v>58</v>
      </c>
      <c r="AP251" s="860" t="s">
        <v>59</v>
      </c>
      <c r="AQ251" s="860" t="s">
        <v>811</v>
      </c>
      <c r="AR251" s="860" t="s">
        <v>58</v>
      </c>
      <c r="AS251" s="860" t="s">
        <v>59</v>
      </c>
      <c r="AT251" s="860" t="s">
        <v>58</v>
      </c>
      <c r="AU251" s="860" t="s">
        <v>58</v>
      </c>
      <c r="AV251" s="860" t="s">
        <v>59</v>
      </c>
      <c r="AW251" s="860" t="s">
        <v>59</v>
      </c>
      <c r="AX251" s="860" t="s">
        <v>59</v>
      </c>
      <c r="AY251" s="860" t="s">
        <v>59</v>
      </c>
      <c r="AZ251" s="860" t="s">
        <v>58</v>
      </c>
      <c r="BA251" s="860" t="s">
        <v>59</v>
      </c>
      <c r="BB251" s="860" t="s">
        <v>811</v>
      </c>
      <c r="BC251" s="860" t="s">
        <v>811</v>
      </c>
      <c r="BD251" s="860" t="s">
        <v>811</v>
      </c>
      <c r="BE251" s="860" t="s">
        <v>811</v>
      </c>
      <c r="BF251" s="860" t="s">
        <v>811</v>
      </c>
      <c r="BG251" s="860" t="s">
        <v>59</v>
      </c>
      <c r="BH251" s="860" t="s">
        <v>59</v>
      </c>
      <c r="BI251" s="860" t="s">
        <v>59</v>
      </c>
      <c r="BJ251" s="860" t="s">
        <v>59</v>
      </c>
      <c r="BK251" s="860" t="s">
        <v>811</v>
      </c>
      <c r="BL251" s="860" t="s">
        <v>59</v>
      </c>
      <c r="BM251" s="860" t="s">
        <v>59</v>
      </c>
      <c r="BN251" s="860" t="s">
        <v>811</v>
      </c>
      <c r="BO251" s="860" t="s">
        <v>58</v>
      </c>
      <c r="BP251" s="860" t="s">
        <v>58</v>
      </c>
      <c r="BQ251" s="860" t="s">
        <v>58</v>
      </c>
      <c r="BR251" s="860" t="s">
        <v>59</v>
      </c>
      <c r="BS251" s="860" t="s">
        <v>59</v>
      </c>
      <c r="BT251" s="860" t="s">
        <v>59</v>
      </c>
      <c r="BU251" s="860" t="s">
        <v>59</v>
      </c>
      <c r="BV251" s="860" t="s">
        <v>58</v>
      </c>
      <c r="BW251" s="860" t="s">
        <v>59</v>
      </c>
      <c r="BX251" s="860" t="s">
        <v>59</v>
      </c>
      <c r="BY251" s="860" t="s">
        <v>811</v>
      </c>
      <c r="BZ251" s="860" t="s">
        <v>811</v>
      </c>
      <c r="CA251" s="860" t="s">
        <v>59</v>
      </c>
      <c r="CB251" s="860" t="s">
        <v>811</v>
      </c>
    </row>
    <row r="252" spans="1:80" x14ac:dyDescent="0.25">
      <c r="A252" s="860"/>
      <c r="B252" s="860">
        <v>591</v>
      </c>
      <c r="C252" s="860" t="s">
        <v>709</v>
      </c>
      <c r="D252" s="860"/>
      <c r="E252" s="860">
        <v>0</v>
      </c>
      <c r="F252" s="860">
        <v>428531</v>
      </c>
      <c r="G252" s="860">
        <v>0</v>
      </c>
      <c r="H252" s="860">
        <v>31258863</v>
      </c>
      <c r="I252" s="860">
        <v>2843482</v>
      </c>
      <c r="J252" s="860">
        <v>204186</v>
      </c>
      <c r="K252" s="860">
        <v>880811</v>
      </c>
      <c r="L252" s="860">
        <v>837222</v>
      </c>
      <c r="M252" s="860">
        <v>26956757</v>
      </c>
      <c r="N252" s="860">
        <v>0</v>
      </c>
      <c r="O252" s="860">
        <v>686578</v>
      </c>
      <c r="P252" s="860">
        <v>1383740</v>
      </c>
      <c r="Q252" s="860">
        <v>1876068</v>
      </c>
      <c r="R252" s="860">
        <v>3702948</v>
      </c>
      <c r="S252" s="860">
        <v>5765925</v>
      </c>
      <c r="T252" s="860">
        <v>23128957</v>
      </c>
      <c r="U252" s="860">
        <v>0</v>
      </c>
      <c r="V252" s="860">
        <v>63860853</v>
      </c>
      <c r="W252" s="860">
        <v>0</v>
      </c>
      <c r="X252" s="860">
        <v>0</v>
      </c>
      <c r="Y252" s="860">
        <v>74050</v>
      </c>
      <c r="Z252" s="860">
        <v>1938843</v>
      </c>
      <c r="AA252" s="860">
        <v>4813530</v>
      </c>
      <c r="AB252" s="860">
        <v>1519954</v>
      </c>
      <c r="AC252" s="860">
        <v>0</v>
      </c>
      <c r="AD252" s="860">
        <v>106171</v>
      </c>
      <c r="AE252" s="860">
        <v>1368805</v>
      </c>
      <c r="AF252" s="860">
        <v>8568478</v>
      </c>
      <c r="AG252" s="860">
        <v>68648</v>
      </c>
      <c r="AH252" s="860">
        <v>0</v>
      </c>
      <c r="AI252" s="860">
        <v>0</v>
      </c>
      <c r="AJ252" s="860">
        <v>460236</v>
      </c>
      <c r="AK252" s="860">
        <v>23336403</v>
      </c>
      <c r="AL252" s="860">
        <v>161445</v>
      </c>
      <c r="AM252" s="860">
        <v>0</v>
      </c>
      <c r="AN252" s="860">
        <v>4840950</v>
      </c>
      <c r="AO252" s="860">
        <v>7539008</v>
      </c>
      <c r="AP252" s="860">
        <v>96905</v>
      </c>
      <c r="AQ252" s="860">
        <v>0</v>
      </c>
      <c r="AR252" s="860">
        <v>67011413</v>
      </c>
      <c r="AS252" s="860">
        <v>1144424</v>
      </c>
      <c r="AT252" s="860">
        <v>411420</v>
      </c>
      <c r="AU252" s="860">
        <v>2726278</v>
      </c>
      <c r="AV252" s="860">
        <v>13557420</v>
      </c>
      <c r="AW252" s="860">
        <v>327703</v>
      </c>
      <c r="AX252" s="860">
        <v>558516</v>
      </c>
      <c r="AY252" s="860">
        <v>1013038</v>
      </c>
      <c r="AZ252" s="860">
        <v>2221427</v>
      </c>
      <c r="BA252" s="860">
        <v>9600093</v>
      </c>
      <c r="BB252" s="860">
        <v>0</v>
      </c>
      <c r="BC252" s="860">
        <v>0</v>
      </c>
      <c r="BD252" s="860">
        <v>0</v>
      </c>
      <c r="BE252" s="860">
        <v>0</v>
      </c>
      <c r="BF252" s="860">
        <v>0</v>
      </c>
      <c r="BG252" s="860">
        <v>830476</v>
      </c>
      <c r="BH252" s="860">
        <v>0</v>
      </c>
      <c r="BI252" s="860">
        <v>1647324</v>
      </c>
      <c r="BJ252" s="860">
        <v>821726</v>
      </c>
      <c r="BK252" s="860">
        <v>0</v>
      </c>
      <c r="BL252" s="860">
        <v>9797439</v>
      </c>
      <c r="BM252" s="860">
        <v>1895410</v>
      </c>
      <c r="BN252" s="860">
        <v>0</v>
      </c>
      <c r="BO252" s="860">
        <v>3684617</v>
      </c>
      <c r="BP252" s="860">
        <v>954721</v>
      </c>
      <c r="BQ252" s="860">
        <v>828904</v>
      </c>
      <c r="BR252" s="860">
        <v>1308312</v>
      </c>
      <c r="BS252" s="860">
        <v>0</v>
      </c>
      <c r="BT252" s="860">
        <v>0</v>
      </c>
      <c r="BU252" s="860">
        <v>832187</v>
      </c>
      <c r="BV252" s="860">
        <v>2610907</v>
      </c>
      <c r="BW252" s="860">
        <v>494115</v>
      </c>
      <c r="BX252" s="860">
        <v>533893</v>
      </c>
      <c r="BY252" s="860">
        <v>0</v>
      </c>
      <c r="BZ252" s="860">
        <v>0</v>
      </c>
      <c r="CA252" s="860">
        <v>6762948</v>
      </c>
      <c r="CB252" s="860">
        <v>0</v>
      </c>
    </row>
    <row r="253" spans="1:80" x14ac:dyDescent="0.25">
      <c r="A253" s="860">
        <v>591</v>
      </c>
      <c r="B253" s="860">
        <v>592</v>
      </c>
      <c r="C253" s="860" t="s">
        <v>710</v>
      </c>
      <c r="D253" s="860"/>
      <c r="E253" s="860">
        <v>0</v>
      </c>
      <c r="F253" s="860">
        <v>1074327</v>
      </c>
      <c r="G253" s="860">
        <v>0</v>
      </c>
      <c r="H253" s="860">
        <v>3994282</v>
      </c>
      <c r="I253" s="860">
        <v>1287972</v>
      </c>
      <c r="J253" s="860">
        <v>945</v>
      </c>
      <c r="K253" s="860">
        <v>323757</v>
      </c>
      <c r="L253" s="860">
        <v>40157</v>
      </c>
      <c r="M253" s="860">
        <v>5812584</v>
      </c>
      <c r="N253" s="860">
        <v>0</v>
      </c>
      <c r="O253" s="860">
        <v>42517</v>
      </c>
      <c r="P253" s="860">
        <v>48886</v>
      </c>
      <c r="Q253" s="860">
        <v>-510319</v>
      </c>
      <c r="R253" s="860">
        <v>1375674</v>
      </c>
      <c r="S253" s="860">
        <v>552715</v>
      </c>
      <c r="T253" s="860">
        <v>2082844</v>
      </c>
      <c r="U253" s="860">
        <v>0</v>
      </c>
      <c r="V253" s="860">
        <v>3452979</v>
      </c>
      <c r="W253" s="860">
        <v>0</v>
      </c>
      <c r="X253" s="860">
        <v>0</v>
      </c>
      <c r="Y253" s="860">
        <v>-58489</v>
      </c>
      <c r="Z253" s="860">
        <v>302092</v>
      </c>
      <c r="AA253" s="860">
        <v>120457</v>
      </c>
      <c r="AB253" s="860">
        <v>-252230</v>
      </c>
      <c r="AC253" s="860">
        <v>0</v>
      </c>
      <c r="AD253" s="860">
        <v>-6905</v>
      </c>
      <c r="AE253" s="860">
        <v>-73854</v>
      </c>
      <c r="AF253" s="860">
        <v>607565</v>
      </c>
      <c r="AG253" s="860">
        <v>-12826</v>
      </c>
      <c r="AH253" s="860">
        <v>0</v>
      </c>
      <c r="AI253" s="860">
        <v>0</v>
      </c>
      <c r="AJ253" s="860">
        <v>44700</v>
      </c>
      <c r="AK253" s="860">
        <v>3922272</v>
      </c>
      <c r="AL253" s="860">
        <v>-48841</v>
      </c>
      <c r="AM253" s="860">
        <v>0</v>
      </c>
      <c r="AN253" s="860">
        <v>2176295</v>
      </c>
      <c r="AO253" s="860">
        <v>2124827</v>
      </c>
      <c r="AP253" s="860">
        <v>28941</v>
      </c>
      <c r="AQ253" s="860">
        <v>0</v>
      </c>
      <c r="AR253" s="860">
        <v>5590574</v>
      </c>
      <c r="AS253" s="860">
        <v>-159349</v>
      </c>
      <c r="AT253" s="860">
        <v>-106144</v>
      </c>
      <c r="AU253" s="860">
        <v>-583397</v>
      </c>
      <c r="AV253" s="860">
        <v>2130213</v>
      </c>
      <c r="AW253" s="860">
        <v>55488</v>
      </c>
      <c r="AX253" s="860">
        <v>-155933</v>
      </c>
      <c r="AY253" s="860">
        <v>951446</v>
      </c>
      <c r="AZ253" s="860">
        <v>1219995</v>
      </c>
      <c r="BA253" s="860">
        <v>-85571</v>
      </c>
      <c r="BB253" s="860">
        <v>0</v>
      </c>
      <c r="BC253" s="860">
        <v>0</v>
      </c>
      <c r="BD253" s="860">
        <v>0</v>
      </c>
      <c r="BE253" s="860">
        <v>0</v>
      </c>
      <c r="BF253" s="860">
        <v>0</v>
      </c>
      <c r="BG253" s="860">
        <v>-44853</v>
      </c>
      <c r="BH253" s="860">
        <v>0</v>
      </c>
      <c r="BI253" s="860">
        <v>172067</v>
      </c>
      <c r="BJ253" s="860">
        <v>154002</v>
      </c>
      <c r="BK253" s="860">
        <v>0</v>
      </c>
      <c r="BL253" s="860">
        <v>199241</v>
      </c>
      <c r="BM253" s="860">
        <v>144889</v>
      </c>
      <c r="BN253" s="860">
        <v>0</v>
      </c>
      <c r="BO253" s="860">
        <v>-39507</v>
      </c>
      <c r="BP253" s="860">
        <v>797625</v>
      </c>
      <c r="BQ253" s="860">
        <v>1280839</v>
      </c>
      <c r="BR253" s="860">
        <v>228724</v>
      </c>
      <c r="BS253" s="860">
        <v>0</v>
      </c>
      <c r="BT253" s="860">
        <v>0</v>
      </c>
      <c r="BU253" s="860">
        <v>410207</v>
      </c>
      <c r="BV253" s="860">
        <v>192299</v>
      </c>
      <c r="BW253" s="860">
        <v>93984</v>
      </c>
      <c r="BX253" s="860">
        <v>1360230</v>
      </c>
      <c r="BY253" s="860">
        <v>0</v>
      </c>
      <c r="BZ253" s="860">
        <v>0</v>
      </c>
      <c r="CA253" s="860">
        <v>655821</v>
      </c>
      <c r="CB253" s="860">
        <v>0</v>
      </c>
    </row>
    <row r="254" spans="1:80" x14ac:dyDescent="0.25">
      <c r="A254" s="860">
        <v>592</v>
      </c>
      <c r="B254" s="860">
        <v>595</v>
      </c>
      <c r="C254" s="860" t="s">
        <v>786</v>
      </c>
      <c r="D254" s="860"/>
      <c r="E254" s="860"/>
      <c r="F254" s="860"/>
      <c r="G254" s="860"/>
      <c r="H254" s="860"/>
      <c r="I254" s="860"/>
      <c r="J254" s="860"/>
      <c r="K254" s="860"/>
      <c r="L254" s="860"/>
      <c r="M254" s="860"/>
      <c r="N254" s="860"/>
      <c r="O254" s="860"/>
      <c r="P254" s="860"/>
      <c r="Q254" s="860"/>
      <c r="R254" s="860"/>
      <c r="S254" s="860"/>
      <c r="T254" s="860"/>
      <c r="U254" s="860"/>
      <c r="V254" s="860"/>
      <c r="W254" s="860"/>
      <c r="X254" s="860"/>
      <c r="Y254" s="860"/>
      <c r="Z254" s="860"/>
      <c r="AA254" s="860"/>
      <c r="AB254" s="860"/>
      <c r="AC254" s="860"/>
      <c r="AD254" s="860"/>
      <c r="AE254" s="860"/>
      <c r="AF254" s="860"/>
      <c r="AG254" s="860"/>
      <c r="AH254" s="860"/>
      <c r="AI254" s="860"/>
      <c r="AJ254" s="860"/>
      <c r="AK254" s="860"/>
      <c r="AL254" s="860"/>
      <c r="AM254" s="860"/>
      <c r="AN254" s="860"/>
      <c r="AO254" s="860"/>
      <c r="AP254" s="860"/>
      <c r="AQ254" s="860"/>
      <c r="AR254" s="860"/>
      <c r="AS254" s="860"/>
      <c r="AT254" s="860"/>
      <c r="AU254" s="860"/>
      <c r="AV254" s="860"/>
      <c r="AW254" s="860"/>
      <c r="AX254" s="860"/>
      <c r="AY254" s="860"/>
      <c r="AZ254" s="860"/>
      <c r="BA254" s="860"/>
      <c r="BB254" s="860"/>
      <c r="BC254" s="860"/>
      <c r="BD254" s="860"/>
      <c r="BE254" s="860"/>
      <c r="BF254" s="860"/>
      <c r="BG254" s="860"/>
      <c r="BH254" s="860"/>
      <c r="BI254" s="860"/>
      <c r="BJ254" s="860"/>
      <c r="BK254" s="860"/>
      <c r="BL254" s="860"/>
      <c r="BM254" s="860"/>
      <c r="BN254" s="860"/>
      <c r="BO254" s="860"/>
      <c r="BP254" s="860"/>
      <c r="BQ254" s="860"/>
      <c r="BR254" s="860"/>
      <c r="BS254" s="860"/>
      <c r="BT254" s="860"/>
      <c r="BU254" s="860"/>
      <c r="BV254" s="860"/>
      <c r="BW254" s="860"/>
      <c r="BX254" s="860"/>
      <c r="BY254" s="860"/>
      <c r="BZ254" s="860"/>
      <c r="CA254" s="860"/>
      <c r="CB254" s="860"/>
    </row>
    <row r="255" spans="1:80" x14ac:dyDescent="0.25">
      <c r="A255" s="860">
        <v>596</v>
      </c>
      <c r="B255" s="860">
        <v>596</v>
      </c>
      <c r="C255" s="860" t="s">
        <v>716</v>
      </c>
      <c r="D255" s="860"/>
      <c r="E255" s="860">
        <v>52</v>
      </c>
      <c r="F255" s="860">
        <v>0</v>
      </c>
      <c r="G255" s="860">
        <v>0</v>
      </c>
      <c r="H255" s="860">
        <v>52</v>
      </c>
      <c r="I255" s="860">
        <v>52</v>
      </c>
      <c r="J255" s="860">
        <v>52</v>
      </c>
      <c r="K255" s="860">
        <v>52</v>
      </c>
      <c r="L255" s="860">
        <v>52</v>
      </c>
      <c r="M255" s="860">
        <v>52</v>
      </c>
      <c r="N255" s="860">
        <v>52</v>
      </c>
      <c r="O255" s="860">
        <v>52</v>
      </c>
      <c r="P255" s="860">
        <v>52</v>
      </c>
      <c r="Q255" s="860">
        <v>52</v>
      </c>
      <c r="R255" s="860">
        <v>52</v>
      </c>
      <c r="S255" s="860">
        <v>52</v>
      </c>
      <c r="T255" s="860">
        <v>52</v>
      </c>
      <c r="U255" s="860">
        <v>0</v>
      </c>
      <c r="V255" s="860">
        <v>52</v>
      </c>
      <c r="W255" s="860">
        <v>0</v>
      </c>
      <c r="X255" s="860">
        <v>0</v>
      </c>
      <c r="Y255" s="860">
        <v>52</v>
      </c>
      <c r="Z255" s="860">
        <v>52</v>
      </c>
      <c r="AA255" s="860">
        <v>52</v>
      </c>
      <c r="AB255" s="860">
        <v>52</v>
      </c>
      <c r="AC255" s="860">
        <v>0</v>
      </c>
      <c r="AD255" s="860">
        <v>52</v>
      </c>
      <c r="AE255" s="860">
        <v>52</v>
      </c>
      <c r="AF255" s="860">
        <v>52</v>
      </c>
      <c r="AG255" s="860">
        <v>52</v>
      </c>
      <c r="AH255" s="860">
        <v>0</v>
      </c>
      <c r="AI255" s="860">
        <v>52</v>
      </c>
      <c r="AJ255" s="860">
        <v>52</v>
      </c>
      <c r="AK255" s="860">
        <v>52</v>
      </c>
      <c r="AL255" s="860">
        <v>52</v>
      </c>
      <c r="AM255" s="860">
        <v>0</v>
      </c>
      <c r="AN255" s="860">
        <v>52</v>
      </c>
      <c r="AO255" s="860">
        <v>52</v>
      </c>
      <c r="AP255" s="860">
        <v>52</v>
      </c>
      <c r="AQ255" s="860">
        <v>0</v>
      </c>
      <c r="AR255" s="860">
        <v>52</v>
      </c>
      <c r="AS255" s="860">
        <v>52</v>
      </c>
      <c r="AT255" s="860">
        <v>52</v>
      </c>
      <c r="AU255" s="860">
        <v>52</v>
      </c>
      <c r="AV255" s="860">
        <v>52</v>
      </c>
      <c r="AW255" s="860">
        <v>52</v>
      </c>
      <c r="AX255" s="860">
        <v>52</v>
      </c>
      <c r="AY255" s="860">
        <v>52</v>
      </c>
      <c r="AZ255" s="860">
        <v>52</v>
      </c>
      <c r="BA255" s="860">
        <v>52</v>
      </c>
      <c r="BB255" s="860">
        <v>52</v>
      </c>
      <c r="BC255" s="860">
        <v>0</v>
      </c>
      <c r="BD255" s="860">
        <v>0</v>
      </c>
      <c r="BE255" s="860">
        <v>0</v>
      </c>
      <c r="BF255" s="860">
        <v>0</v>
      </c>
      <c r="BG255" s="860">
        <v>52</v>
      </c>
      <c r="BH255" s="860">
        <v>52</v>
      </c>
      <c r="BI255" s="860">
        <v>52</v>
      </c>
      <c r="BJ255" s="860">
        <v>52</v>
      </c>
      <c r="BK255" s="860">
        <v>0</v>
      </c>
      <c r="BL255" s="860">
        <v>52</v>
      </c>
      <c r="BM255" s="860">
        <v>52</v>
      </c>
      <c r="BN255" s="860">
        <v>0</v>
      </c>
      <c r="BO255" s="860">
        <v>52</v>
      </c>
      <c r="BP255" s="860">
        <v>52</v>
      </c>
      <c r="BQ255" s="860">
        <v>52</v>
      </c>
      <c r="BR255" s="860">
        <v>52</v>
      </c>
      <c r="BS255" s="860">
        <v>52</v>
      </c>
      <c r="BT255" s="860">
        <v>52</v>
      </c>
      <c r="BU255" s="860">
        <v>52</v>
      </c>
      <c r="BV255" s="860">
        <v>52</v>
      </c>
      <c r="BW255" s="860">
        <v>52</v>
      </c>
      <c r="BX255" s="860">
        <v>52</v>
      </c>
      <c r="BY255" s="860">
        <v>0</v>
      </c>
      <c r="BZ255" s="860">
        <v>0</v>
      </c>
      <c r="CA255" s="860">
        <v>52</v>
      </c>
      <c r="CB255" s="860">
        <v>52</v>
      </c>
    </row>
    <row r="256" spans="1:80" x14ac:dyDescent="0.25">
      <c r="A256" s="860">
        <v>597</v>
      </c>
      <c r="B256" s="860">
        <v>597</v>
      </c>
      <c r="C256" s="860" t="s">
        <v>787</v>
      </c>
      <c r="D256" s="860"/>
      <c r="E256" s="860">
        <v>40534</v>
      </c>
      <c r="F256" s="860">
        <v>541952</v>
      </c>
      <c r="G256" s="860">
        <v>0</v>
      </c>
      <c r="H256" s="860">
        <v>1451637</v>
      </c>
      <c r="I256" s="860">
        <v>245659</v>
      </c>
      <c r="J256" s="860">
        <v>3201</v>
      </c>
      <c r="K256" s="860">
        <v>95966</v>
      </c>
      <c r="L256" s="860">
        <v>2541</v>
      </c>
      <c r="M256" s="860">
        <v>2155002</v>
      </c>
      <c r="N256" s="860">
        <v>209</v>
      </c>
      <c r="O256" s="860">
        <v>8669</v>
      </c>
      <c r="P256" s="860">
        <v>532</v>
      </c>
      <c r="Q256" s="860">
        <v>439760</v>
      </c>
      <c r="R256" s="860">
        <v>936766</v>
      </c>
      <c r="S256" s="860">
        <v>150621</v>
      </c>
      <c r="T256" s="860">
        <v>390118</v>
      </c>
      <c r="U256" s="860">
        <v>0</v>
      </c>
      <c r="V256" s="860">
        <v>259594</v>
      </c>
      <c r="W256" s="860">
        <v>870</v>
      </c>
      <c r="X256" s="860">
        <v>222885</v>
      </c>
      <c r="Y256" s="860">
        <v>230529</v>
      </c>
      <c r="Z256" s="860">
        <v>29746</v>
      </c>
      <c r="AA256" s="860">
        <v>38242</v>
      </c>
      <c r="AB256" s="860">
        <v>7925</v>
      </c>
      <c r="AC256" s="860">
        <v>13459</v>
      </c>
      <c r="AD256" s="860">
        <v>182</v>
      </c>
      <c r="AE256" s="860">
        <v>6855</v>
      </c>
      <c r="AF256" s="860">
        <v>26728</v>
      </c>
      <c r="AG256" s="860">
        <v>2010</v>
      </c>
      <c r="AH256" s="860">
        <v>230</v>
      </c>
      <c r="AI256" s="860">
        <v>3707</v>
      </c>
      <c r="AJ256" s="860">
        <v>40883</v>
      </c>
      <c r="AK256" s="860">
        <v>276308</v>
      </c>
      <c r="AL256" s="860">
        <v>7950</v>
      </c>
      <c r="AM256" s="860">
        <v>899</v>
      </c>
      <c r="AN256" s="860">
        <v>450049</v>
      </c>
      <c r="AO256" s="860">
        <v>272479</v>
      </c>
      <c r="AP256" s="860">
        <v>215</v>
      </c>
      <c r="AQ256" s="860">
        <v>184112</v>
      </c>
      <c r="AR256" s="860">
        <v>1204438</v>
      </c>
      <c r="AS256" s="860">
        <v>49172</v>
      </c>
      <c r="AT256" s="860">
        <v>7971</v>
      </c>
      <c r="AU256" s="860">
        <v>69675</v>
      </c>
      <c r="AV256" s="860">
        <v>351334</v>
      </c>
      <c r="AW256" s="860">
        <v>3802</v>
      </c>
      <c r="AX256" s="860">
        <v>10717</v>
      </c>
      <c r="AY256" s="860">
        <v>18275</v>
      </c>
      <c r="AZ256" s="860">
        <v>41903</v>
      </c>
      <c r="BA256" s="860">
        <v>117855</v>
      </c>
      <c r="BB256" s="860">
        <v>152</v>
      </c>
      <c r="BC256" s="860">
        <v>0</v>
      </c>
      <c r="BD256" s="860">
        <v>0</v>
      </c>
      <c r="BE256" s="860">
        <v>7592</v>
      </c>
      <c r="BF256" s="860">
        <v>0</v>
      </c>
      <c r="BG256" s="860">
        <v>5882</v>
      </c>
      <c r="BH256" s="860">
        <v>523</v>
      </c>
      <c r="BI256" s="860">
        <v>43295</v>
      </c>
      <c r="BJ256" s="860">
        <v>76872</v>
      </c>
      <c r="BK256" s="860">
        <v>0</v>
      </c>
      <c r="BL256" s="860">
        <v>171953</v>
      </c>
      <c r="BM256" s="860">
        <v>178206</v>
      </c>
      <c r="BN256" s="860">
        <v>100</v>
      </c>
      <c r="BO256" s="860">
        <v>35723</v>
      </c>
      <c r="BP256" s="860">
        <v>109986</v>
      </c>
      <c r="BQ256" s="860">
        <v>2772</v>
      </c>
      <c r="BR256" s="860">
        <v>27680</v>
      </c>
      <c r="BS256" s="860">
        <v>13590</v>
      </c>
      <c r="BT256" s="860">
        <v>374490</v>
      </c>
      <c r="BU256" s="860">
        <v>31540</v>
      </c>
      <c r="BV256" s="860">
        <v>45294</v>
      </c>
      <c r="BW256" s="860">
        <v>0</v>
      </c>
      <c r="BX256" s="860">
        <v>23033</v>
      </c>
      <c r="BY256" s="860">
        <v>1452</v>
      </c>
      <c r="BZ256" s="860">
        <v>1261</v>
      </c>
      <c r="CA256" s="860">
        <v>244061</v>
      </c>
      <c r="CB256" s="860">
        <v>254</v>
      </c>
    </row>
    <row r="257" spans="1:80" x14ac:dyDescent="0.25">
      <c r="A257" s="860"/>
      <c r="B257" s="860"/>
      <c r="C257" s="860"/>
      <c r="D257" s="860"/>
      <c r="E257" s="860" t="s">
        <v>1197</v>
      </c>
      <c r="F257" s="860"/>
      <c r="G257" s="860"/>
      <c r="H257" s="860"/>
      <c r="I257" s="860"/>
      <c r="J257" s="860"/>
      <c r="K257" s="860"/>
      <c r="L257" s="860"/>
      <c r="M257" s="860"/>
      <c r="N257" s="860"/>
      <c r="O257" s="860"/>
      <c r="P257" s="860"/>
      <c r="Q257" s="860"/>
      <c r="R257" s="860"/>
      <c r="S257" s="860"/>
      <c r="T257" s="860"/>
      <c r="U257" s="860"/>
      <c r="V257" s="860"/>
      <c r="W257" s="860"/>
      <c r="X257" s="860"/>
      <c r="Y257" s="860"/>
      <c r="Z257" s="860"/>
      <c r="AA257" s="860"/>
      <c r="AB257" s="860"/>
      <c r="AC257" s="860"/>
      <c r="AD257" s="860"/>
      <c r="AE257" s="860"/>
      <c r="AF257" s="860"/>
      <c r="AG257" s="860"/>
      <c r="AH257" s="860"/>
      <c r="AI257" s="860"/>
      <c r="AJ257" s="860"/>
      <c r="AK257" s="860"/>
      <c r="AL257" s="860"/>
      <c r="AM257" s="860"/>
      <c r="AN257" s="860"/>
      <c r="AO257" s="860"/>
      <c r="AP257" s="860"/>
      <c r="AQ257" s="860"/>
      <c r="AR257" s="860"/>
      <c r="AS257" s="860"/>
      <c r="AT257" s="860"/>
      <c r="AU257" s="860"/>
      <c r="AV257" s="860"/>
      <c r="AW257" s="860"/>
      <c r="AX257" s="860"/>
      <c r="AY257" s="860"/>
      <c r="AZ257" s="860"/>
      <c r="BA257" s="860"/>
      <c r="BB257" s="860"/>
      <c r="BC257" s="860"/>
      <c r="BD257" s="860"/>
      <c r="BE257" s="860"/>
      <c r="BF257" s="860"/>
      <c r="BG257" s="860"/>
      <c r="BH257" s="860"/>
      <c r="BI257" s="860"/>
      <c r="BJ257" s="860"/>
      <c r="BK257" s="860"/>
      <c r="BL257" s="860"/>
      <c r="BM257" s="860"/>
      <c r="BN257" s="860"/>
      <c r="BO257" s="860"/>
      <c r="BP257" s="860"/>
      <c r="BQ257" s="860"/>
      <c r="BR257" s="860"/>
      <c r="BS257" s="860"/>
      <c r="BT257" s="860"/>
      <c r="BU257" s="860"/>
      <c r="BV257" s="860"/>
      <c r="BW257" s="860"/>
      <c r="BX257" s="860"/>
      <c r="BY257" s="860"/>
      <c r="BZ257" s="860"/>
      <c r="CA257" s="860"/>
      <c r="CB257" s="860"/>
    </row>
    <row r="258" spans="1:80" x14ac:dyDescent="0.25">
      <c r="A258" s="860">
        <v>598</v>
      </c>
      <c r="B258" s="860">
        <v>598</v>
      </c>
      <c r="C258" s="860" t="s">
        <v>781</v>
      </c>
      <c r="D258" s="860"/>
      <c r="E258" s="860">
        <v>0</v>
      </c>
      <c r="F258" s="860">
        <v>0</v>
      </c>
      <c r="G258" s="860">
        <v>0</v>
      </c>
      <c r="H258" s="860">
        <v>259671</v>
      </c>
      <c r="I258" s="860">
        <v>0</v>
      </c>
      <c r="J258" s="860">
        <v>0</v>
      </c>
      <c r="K258" s="860">
        <v>15070</v>
      </c>
      <c r="L258" s="860">
        <v>8379</v>
      </c>
      <c r="M258" s="860">
        <v>374483</v>
      </c>
      <c r="N258" s="860">
        <v>0</v>
      </c>
      <c r="O258" s="860">
        <v>0</v>
      </c>
      <c r="P258" s="860">
        <v>0</v>
      </c>
      <c r="Q258" s="860">
        <v>175396</v>
      </c>
      <c r="R258" s="860">
        <v>36874</v>
      </c>
      <c r="S258" s="860">
        <v>0</v>
      </c>
      <c r="T258" s="860">
        <v>34923</v>
      </c>
      <c r="U258" s="860">
        <v>0</v>
      </c>
      <c r="V258" s="860">
        <v>219984</v>
      </c>
      <c r="W258" s="860">
        <v>0</v>
      </c>
      <c r="X258" s="860">
        <v>54579</v>
      </c>
      <c r="Y258" s="860">
        <v>71930</v>
      </c>
      <c r="Z258" s="860">
        <v>20758</v>
      </c>
      <c r="AA258" s="860">
        <v>0</v>
      </c>
      <c r="AB258" s="860">
        <v>9136</v>
      </c>
      <c r="AC258" s="860">
        <v>0</v>
      </c>
      <c r="AD258" s="860">
        <v>0</v>
      </c>
      <c r="AE258" s="860">
        <v>0</v>
      </c>
      <c r="AF258" s="860">
        <v>6994</v>
      </c>
      <c r="AG258" s="860">
        <v>0</v>
      </c>
      <c r="AH258" s="860">
        <v>0</v>
      </c>
      <c r="AI258" s="860">
        <v>0</v>
      </c>
      <c r="AJ258" s="860">
        <v>0</v>
      </c>
      <c r="AK258" s="860">
        <v>56529</v>
      </c>
      <c r="AL258" s="860">
        <v>0</v>
      </c>
      <c r="AM258" s="860">
        <v>0</v>
      </c>
      <c r="AN258" s="860">
        <v>0</v>
      </c>
      <c r="AO258" s="860">
        <v>109230</v>
      </c>
      <c r="AP258" s="860">
        <v>0</v>
      </c>
      <c r="AQ258" s="860">
        <v>0</v>
      </c>
      <c r="AR258" s="860">
        <v>146033</v>
      </c>
      <c r="AS258" s="860">
        <v>10503</v>
      </c>
      <c r="AT258" s="860">
        <v>0</v>
      </c>
      <c r="AU258" s="860">
        <v>0</v>
      </c>
      <c r="AV258" s="860">
        <v>88619</v>
      </c>
      <c r="AW258" s="860">
        <v>0</v>
      </c>
      <c r="AX258" s="860">
        <v>4095</v>
      </c>
      <c r="AY258" s="860">
        <v>0</v>
      </c>
      <c r="AZ258" s="860">
        <v>15465</v>
      </c>
      <c r="BA258" s="860">
        <v>16250</v>
      </c>
      <c r="BB258" s="860">
        <v>0</v>
      </c>
      <c r="BC258" s="860">
        <v>0</v>
      </c>
      <c r="BD258" s="860">
        <v>0</v>
      </c>
      <c r="BE258" s="860">
        <v>0</v>
      </c>
      <c r="BF258" s="860">
        <v>0</v>
      </c>
      <c r="BG258" s="860">
        <v>0</v>
      </c>
      <c r="BH258" s="860">
        <v>0</v>
      </c>
      <c r="BI258" s="860">
        <v>23409</v>
      </c>
      <c r="BJ258" s="860">
        <v>30429</v>
      </c>
      <c r="BK258" s="860">
        <v>0</v>
      </c>
      <c r="BL258" s="860">
        <v>9228</v>
      </c>
      <c r="BM258" s="860">
        <v>15779</v>
      </c>
      <c r="BN258" s="860">
        <v>0</v>
      </c>
      <c r="BO258" s="860">
        <v>50383</v>
      </c>
      <c r="BP258" s="860">
        <v>0</v>
      </c>
      <c r="BQ258" s="860">
        <v>0</v>
      </c>
      <c r="BR258" s="860">
        <v>27705</v>
      </c>
      <c r="BS258" s="860">
        <v>0</v>
      </c>
      <c r="BT258" s="860">
        <v>72838</v>
      </c>
      <c r="BU258" s="860">
        <v>12379</v>
      </c>
      <c r="BV258" s="860">
        <v>24210</v>
      </c>
      <c r="BW258" s="860">
        <v>0</v>
      </c>
      <c r="BX258" s="860">
        <v>0</v>
      </c>
      <c r="BY258" s="860">
        <v>0</v>
      </c>
      <c r="BZ258" s="860">
        <v>0</v>
      </c>
      <c r="CA258" s="860">
        <v>6883</v>
      </c>
      <c r="CB258" s="860">
        <v>0</v>
      </c>
    </row>
    <row r="259" spans="1:80" x14ac:dyDescent="0.25">
      <c r="A259" s="860">
        <v>599</v>
      </c>
      <c r="B259" s="860">
        <v>599</v>
      </c>
      <c r="C259" s="860" t="s">
        <v>782</v>
      </c>
      <c r="D259" s="860"/>
      <c r="E259" s="860">
        <v>43049</v>
      </c>
      <c r="F259" s="860">
        <v>0</v>
      </c>
      <c r="G259" s="860">
        <v>0</v>
      </c>
      <c r="H259" s="860">
        <v>3522688</v>
      </c>
      <c r="I259" s="860">
        <v>0</v>
      </c>
      <c r="J259" s="860">
        <v>0</v>
      </c>
      <c r="K259" s="860">
        <v>188240</v>
      </c>
      <c r="L259" s="860">
        <v>157642</v>
      </c>
      <c r="M259" s="860">
        <v>6750759</v>
      </c>
      <c r="N259" s="860">
        <v>0</v>
      </c>
      <c r="O259" s="860">
        <v>80530</v>
      </c>
      <c r="P259" s="860">
        <v>78367</v>
      </c>
      <c r="Q259" s="860">
        <v>2864831</v>
      </c>
      <c r="R259" s="860">
        <v>930836</v>
      </c>
      <c r="S259" s="860">
        <v>424321</v>
      </c>
      <c r="T259" s="860">
        <v>948517</v>
      </c>
      <c r="U259" s="860">
        <v>0</v>
      </c>
      <c r="V259" s="860">
        <v>3559172</v>
      </c>
      <c r="W259" s="860">
        <v>0</v>
      </c>
      <c r="X259" s="860">
        <v>725190</v>
      </c>
      <c r="Y259" s="860">
        <v>1093461</v>
      </c>
      <c r="Z259" s="860">
        <v>297731</v>
      </c>
      <c r="AA259" s="860">
        <v>0</v>
      </c>
      <c r="AB259" s="860">
        <v>269421</v>
      </c>
      <c r="AC259" s="860">
        <v>0</v>
      </c>
      <c r="AD259" s="860">
        <v>0</v>
      </c>
      <c r="AE259" s="860">
        <v>48969</v>
      </c>
      <c r="AF259" s="860">
        <v>41071</v>
      </c>
      <c r="AG259" s="860">
        <v>0</v>
      </c>
      <c r="AH259" s="860">
        <v>0</v>
      </c>
      <c r="AI259" s="860">
        <v>0</v>
      </c>
      <c r="AJ259" s="860">
        <v>69122</v>
      </c>
      <c r="AK259" s="860">
        <v>1101967</v>
      </c>
      <c r="AL259" s="860">
        <v>0</v>
      </c>
      <c r="AM259" s="860">
        <v>0</v>
      </c>
      <c r="AN259" s="860">
        <v>426692</v>
      </c>
      <c r="AO259" s="860">
        <v>1439440</v>
      </c>
      <c r="AP259" s="860">
        <v>0</v>
      </c>
      <c r="AQ259" s="860">
        <v>0</v>
      </c>
      <c r="AR259" s="860">
        <v>2389543</v>
      </c>
      <c r="AS259" s="860">
        <v>175085</v>
      </c>
      <c r="AT259" s="860">
        <v>31552</v>
      </c>
      <c r="AU259" s="860">
        <v>252247</v>
      </c>
      <c r="AV259" s="860">
        <v>1014141</v>
      </c>
      <c r="AW259" s="860">
        <v>0</v>
      </c>
      <c r="AX259" s="860">
        <v>25810</v>
      </c>
      <c r="AY259" s="860">
        <v>250198</v>
      </c>
      <c r="AZ259" s="860">
        <v>413921</v>
      </c>
      <c r="BA259" s="860">
        <v>499718</v>
      </c>
      <c r="BB259" s="860">
        <v>0</v>
      </c>
      <c r="BC259" s="860">
        <v>0</v>
      </c>
      <c r="BD259" s="860">
        <v>0</v>
      </c>
      <c r="BE259" s="860">
        <v>0</v>
      </c>
      <c r="BF259" s="860">
        <v>0</v>
      </c>
      <c r="BG259" s="860">
        <v>0</v>
      </c>
      <c r="BH259" s="860">
        <v>0</v>
      </c>
      <c r="BI259" s="860">
        <v>295217</v>
      </c>
      <c r="BJ259" s="860">
        <v>437271</v>
      </c>
      <c r="BK259" s="860">
        <v>0</v>
      </c>
      <c r="BL259" s="860">
        <v>347950</v>
      </c>
      <c r="BM259" s="860">
        <v>275144</v>
      </c>
      <c r="BN259" s="860">
        <v>0</v>
      </c>
      <c r="BO259" s="860">
        <v>684323</v>
      </c>
      <c r="BP259" s="860">
        <v>57618</v>
      </c>
      <c r="BQ259" s="860">
        <v>54750</v>
      </c>
      <c r="BR259" s="860">
        <v>232753</v>
      </c>
      <c r="BS259" s="860">
        <v>0</v>
      </c>
      <c r="BT259" s="860">
        <v>2199505</v>
      </c>
      <c r="BU259" s="860">
        <v>304085</v>
      </c>
      <c r="BV259" s="860">
        <v>463415</v>
      </c>
      <c r="BW259" s="860">
        <v>20009</v>
      </c>
      <c r="BX259" s="860">
        <v>0</v>
      </c>
      <c r="BY259" s="860">
        <v>0</v>
      </c>
      <c r="BZ259" s="860">
        <v>0</v>
      </c>
      <c r="CA259" s="860">
        <v>621186</v>
      </c>
      <c r="CB259" s="860">
        <v>0</v>
      </c>
    </row>
    <row r="260" spans="1:80" x14ac:dyDescent="0.25">
      <c r="A260" s="860"/>
      <c r="B260" s="860">
        <v>600</v>
      </c>
      <c r="C260" s="860" t="s">
        <v>1198</v>
      </c>
      <c r="D260" s="860"/>
      <c r="E260" s="860"/>
      <c r="F260" s="860"/>
      <c r="G260" s="860"/>
      <c r="H260" s="860"/>
      <c r="I260" s="860"/>
      <c r="J260" s="860"/>
      <c r="K260" s="860"/>
      <c r="L260" s="860"/>
      <c r="M260" s="860"/>
      <c r="N260" s="860"/>
      <c r="O260" s="860"/>
      <c r="P260" s="860"/>
      <c r="Q260" s="860"/>
      <c r="R260" s="860"/>
      <c r="S260" s="860"/>
      <c r="T260" s="860"/>
      <c r="U260" s="860"/>
      <c r="V260" s="860"/>
      <c r="W260" s="860"/>
      <c r="X260" s="860"/>
      <c r="Y260" s="860"/>
      <c r="Z260" s="860"/>
      <c r="AA260" s="860"/>
      <c r="AB260" s="860"/>
      <c r="AC260" s="860"/>
      <c r="AD260" s="860"/>
      <c r="AE260" s="860"/>
      <c r="AF260" s="860"/>
      <c r="AG260" s="860"/>
      <c r="AH260" s="860"/>
      <c r="AI260" s="860"/>
      <c r="AJ260" s="860"/>
      <c r="AK260" s="860"/>
      <c r="AL260" s="860"/>
      <c r="AM260" s="860"/>
      <c r="AN260" s="860"/>
      <c r="AO260" s="860"/>
      <c r="AP260" s="860"/>
      <c r="AQ260" s="860"/>
      <c r="AR260" s="860"/>
      <c r="AS260" s="860"/>
      <c r="AT260" s="860"/>
      <c r="AU260" s="860"/>
      <c r="AV260" s="860"/>
      <c r="AW260" s="860"/>
      <c r="AX260" s="860"/>
      <c r="AY260" s="860"/>
      <c r="AZ260" s="860"/>
      <c r="BA260" s="860"/>
      <c r="BB260" s="860"/>
      <c r="BC260" s="860"/>
      <c r="BD260" s="860"/>
      <c r="BE260" s="860"/>
      <c r="BF260" s="860"/>
      <c r="BG260" s="860"/>
      <c r="BH260" s="860"/>
      <c r="BI260" s="860"/>
      <c r="BJ260" s="860"/>
      <c r="BK260" s="860"/>
      <c r="BL260" s="860"/>
      <c r="BM260" s="860"/>
      <c r="BN260" s="860"/>
      <c r="BO260" s="860"/>
      <c r="BP260" s="860"/>
      <c r="BQ260" s="860"/>
      <c r="BR260" s="860"/>
      <c r="BS260" s="860"/>
      <c r="BT260" s="860"/>
      <c r="BU260" s="860"/>
      <c r="BV260" s="860"/>
      <c r="BW260" s="860"/>
      <c r="BX260" s="860"/>
      <c r="BY260" s="860"/>
      <c r="BZ260" s="860"/>
      <c r="CA260" s="860"/>
      <c r="CB260" s="860"/>
    </row>
    <row r="261" spans="1:80" x14ac:dyDescent="0.25">
      <c r="A261" s="860"/>
      <c r="B261" s="860">
        <v>601</v>
      </c>
      <c r="C261" s="860" t="s">
        <v>1199</v>
      </c>
      <c r="D261" s="860"/>
      <c r="E261" s="860"/>
      <c r="F261" s="860"/>
      <c r="G261" s="860"/>
      <c r="H261" s="860"/>
      <c r="I261" s="860"/>
      <c r="J261" s="860"/>
      <c r="K261" s="860"/>
      <c r="L261" s="860"/>
      <c r="M261" s="860"/>
      <c r="N261" s="860"/>
      <c r="O261" s="860"/>
      <c r="P261" s="860"/>
      <c r="Q261" s="860"/>
      <c r="R261" s="860"/>
      <c r="S261" s="860"/>
      <c r="T261" s="860"/>
      <c r="U261" s="860"/>
      <c r="V261" s="860"/>
      <c r="W261" s="860"/>
      <c r="X261" s="860"/>
      <c r="Y261" s="860"/>
      <c r="Z261" s="860"/>
      <c r="AA261" s="860"/>
      <c r="AB261" s="860"/>
      <c r="AC261" s="860"/>
      <c r="AD261" s="860"/>
      <c r="AE261" s="860"/>
      <c r="AF261" s="860"/>
      <c r="AG261" s="860"/>
      <c r="AH261" s="860"/>
      <c r="AI261" s="860"/>
      <c r="AJ261" s="860"/>
      <c r="AK261" s="860"/>
      <c r="AL261" s="860"/>
      <c r="AM261" s="860"/>
      <c r="AN261" s="860"/>
      <c r="AO261" s="860"/>
      <c r="AP261" s="860"/>
      <c r="AQ261" s="860"/>
      <c r="AR261" s="860"/>
      <c r="AS261" s="860"/>
      <c r="AT261" s="860"/>
      <c r="AU261" s="860"/>
      <c r="AV261" s="860"/>
      <c r="AW261" s="860"/>
      <c r="AX261" s="860"/>
      <c r="AY261" s="860"/>
      <c r="AZ261" s="860"/>
      <c r="BA261" s="860"/>
      <c r="BB261" s="860"/>
      <c r="BC261" s="860"/>
      <c r="BD261" s="860"/>
      <c r="BE261" s="860"/>
      <c r="BF261" s="860"/>
      <c r="BG261" s="860"/>
      <c r="BH261" s="860"/>
      <c r="BI261" s="860"/>
      <c r="BJ261" s="860"/>
      <c r="BK261" s="860"/>
      <c r="BL261" s="860"/>
      <c r="BM261" s="860"/>
      <c r="BN261" s="860"/>
      <c r="BO261" s="860"/>
      <c r="BP261" s="860"/>
      <c r="BQ261" s="860"/>
      <c r="BR261" s="860"/>
      <c r="BS261" s="860"/>
      <c r="BT261" s="860"/>
      <c r="BU261" s="860"/>
      <c r="BV261" s="860"/>
      <c r="BW261" s="860"/>
      <c r="BX261" s="860"/>
      <c r="BY261" s="860"/>
      <c r="BZ261" s="860"/>
      <c r="CA261" s="860"/>
      <c r="CB261" s="860"/>
    </row>
    <row r="262" spans="1:80" x14ac:dyDescent="0.25">
      <c r="A262" s="860">
        <v>602</v>
      </c>
      <c r="B262" s="860">
        <v>602</v>
      </c>
      <c r="C262" s="860" t="s">
        <v>812</v>
      </c>
      <c r="D262" s="860"/>
      <c r="E262" s="860">
        <v>0</v>
      </c>
      <c r="F262" s="860">
        <v>0</v>
      </c>
      <c r="G262" s="860">
        <v>0</v>
      </c>
      <c r="H262" s="860">
        <v>0</v>
      </c>
      <c r="I262" s="860">
        <v>0</v>
      </c>
      <c r="J262" s="860">
        <v>0</v>
      </c>
      <c r="K262" s="860">
        <v>0</v>
      </c>
      <c r="L262" s="860">
        <v>0</v>
      </c>
      <c r="M262" s="860">
        <v>0</v>
      </c>
      <c r="N262" s="860">
        <v>0</v>
      </c>
      <c r="O262" s="860">
        <v>0</v>
      </c>
      <c r="P262" s="860">
        <v>0</v>
      </c>
      <c r="Q262" s="860">
        <v>0</v>
      </c>
      <c r="R262" s="860">
        <v>0</v>
      </c>
      <c r="S262" s="860">
        <v>0</v>
      </c>
      <c r="T262" s="860">
        <v>0</v>
      </c>
      <c r="U262" s="860">
        <v>0</v>
      </c>
      <c r="V262" s="860">
        <v>0</v>
      </c>
      <c r="W262" s="860">
        <v>0</v>
      </c>
      <c r="X262" s="860">
        <v>0</v>
      </c>
      <c r="Y262" s="860">
        <v>0</v>
      </c>
      <c r="Z262" s="860">
        <v>0</v>
      </c>
      <c r="AA262" s="860">
        <v>0</v>
      </c>
      <c r="AB262" s="860">
        <v>0</v>
      </c>
      <c r="AC262" s="860">
        <v>0</v>
      </c>
      <c r="AD262" s="860">
        <v>0</v>
      </c>
      <c r="AE262" s="860">
        <v>0</v>
      </c>
      <c r="AF262" s="860">
        <v>0</v>
      </c>
      <c r="AG262" s="860">
        <v>0</v>
      </c>
      <c r="AH262" s="860">
        <v>0</v>
      </c>
      <c r="AI262" s="860">
        <v>0</v>
      </c>
      <c r="AJ262" s="860">
        <v>0</v>
      </c>
      <c r="AK262" s="860">
        <v>0</v>
      </c>
      <c r="AL262" s="860">
        <v>0</v>
      </c>
      <c r="AM262" s="860">
        <v>0</v>
      </c>
      <c r="AN262" s="860">
        <v>0</v>
      </c>
      <c r="AO262" s="860">
        <v>0</v>
      </c>
      <c r="AP262" s="860">
        <v>0</v>
      </c>
      <c r="AQ262" s="860">
        <v>0</v>
      </c>
      <c r="AR262" s="860">
        <v>0</v>
      </c>
      <c r="AS262" s="860">
        <v>0</v>
      </c>
      <c r="AT262" s="860">
        <v>0</v>
      </c>
      <c r="AU262" s="860">
        <v>0</v>
      </c>
      <c r="AV262" s="860">
        <v>0</v>
      </c>
      <c r="AW262" s="860">
        <v>0</v>
      </c>
      <c r="AX262" s="860">
        <v>0</v>
      </c>
      <c r="AY262" s="860">
        <v>0</v>
      </c>
      <c r="AZ262" s="860">
        <v>0</v>
      </c>
      <c r="BA262" s="860">
        <v>0</v>
      </c>
      <c r="BB262" s="860">
        <v>0</v>
      </c>
      <c r="BC262" s="860">
        <v>0</v>
      </c>
      <c r="BD262" s="860">
        <v>0</v>
      </c>
      <c r="BE262" s="860">
        <v>0</v>
      </c>
      <c r="BF262" s="860">
        <v>0</v>
      </c>
      <c r="BG262" s="860">
        <v>0</v>
      </c>
      <c r="BH262" s="860">
        <v>0</v>
      </c>
      <c r="BI262" s="860">
        <v>0</v>
      </c>
      <c r="BJ262" s="860">
        <v>0</v>
      </c>
      <c r="BK262" s="860">
        <v>0</v>
      </c>
      <c r="BL262" s="860">
        <v>0</v>
      </c>
      <c r="BM262" s="860">
        <v>0</v>
      </c>
      <c r="BN262" s="860">
        <v>0</v>
      </c>
      <c r="BO262" s="860">
        <v>0</v>
      </c>
      <c r="BP262" s="860">
        <v>0</v>
      </c>
      <c r="BQ262" s="860">
        <v>0</v>
      </c>
      <c r="BR262" s="860">
        <v>0</v>
      </c>
      <c r="BS262" s="860">
        <v>0</v>
      </c>
      <c r="BT262" s="860">
        <v>0</v>
      </c>
      <c r="BU262" s="860">
        <v>0</v>
      </c>
      <c r="BV262" s="860">
        <v>0</v>
      </c>
      <c r="BW262" s="860">
        <v>0</v>
      </c>
      <c r="BX262" s="860">
        <v>0</v>
      </c>
      <c r="BY262" s="860">
        <v>0</v>
      </c>
      <c r="BZ262" s="860">
        <v>0</v>
      </c>
      <c r="CA262" s="860">
        <v>0</v>
      </c>
      <c r="CB262" s="860">
        <v>0</v>
      </c>
    </row>
    <row r="263" spans="1:80" x14ac:dyDescent="0.25">
      <c r="A263" s="860">
        <v>603</v>
      </c>
      <c r="B263" s="860">
        <v>603</v>
      </c>
      <c r="C263" s="860" t="s">
        <v>798</v>
      </c>
      <c r="D263" s="860"/>
      <c r="E263" s="860">
        <v>5</v>
      </c>
      <c r="F263" s="860">
        <v>1</v>
      </c>
      <c r="G263" s="860">
        <v>0</v>
      </c>
      <c r="H263" s="860">
        <v>1</v>
      </c>
      <c r="I263" s="860">
        <v>1</v>
      </c>
      <c r="J263" s="860">
        <v>4</v>
      </c>
      <c r="K263" s="860">
        <v>2</v>
      </c>
      <c r="L263" s="860">
        <v>4</v>
      </c>
      <c r="M263" s="860">
        <v>1</v>
      </c>
      <c r="N263" s="860">
        <v>1</v>
      </c>
      <c r="O263" s="860">
        <v>5</v>
      </c>
      <c r="P263" s="860">
        <v>2</v>
      </c>
      <c r="Q263" s="860">
        <v>1</v>
      </c>
      <c r="R263" s="860">
        <v>1</v>
      </c>
      <c r="S263" s="860">
        <v>1</v>
      </c>
      <c r="T263" s="860">
        <v>1</v>
      </c>
      <c r="U263" s="860">
        <v>0</v>
      </c>
      <c r="V263" s="860">
        <v>2</v>
      </c>
      <c r="W263" s="860">
        <v>4</v>
      </c>
      <c r="X263" s="860">
        <v>1</v>
      </c>
      <c r="Y263" s="860">
        <v>2</v>
      </c>
      <c r="Z263" s="860">
        <v>1</v>
      </c>
      <c r="AA263" s="860">
        <v>2</v>
      </c>
      <c r="AB263" s="860">
        <v>2</v>
      </c>
      <c r="AC263" s="860">
        <v>1</v>
      </c>
      <c r="AD263" s="860">
        <v>1</v>
      </c>
      <c r="AE263" s="860">
        <v>4</v>
      </c>
      <c r="AF263" s="860">
        <v>5</v>
      </c>
      <c r="AG263" s="860">
        <v>1</v>
      </c>
      <c r="AH263" s="860">
        <v>2</v>
      </c>
      <c r="AI263" s="860">
        <v>2</v>
      </c>
      <c r="AJ263" s="860">
        <v>1</v>
      </c>
      <c r="AK263" s="860">
        <v>2</v>
      </c>
      <c r="AL263" s="860">
        <v>2</v>
      </c>
      <c r="AM263" s="860">
        <v>1</v>
      </c>
      <c r="AN263" s="860">
        <v>2</v>
      </c>
      <c r="AO263" s="860">
        <v>2</v>
      </c>
      <c r="AP263" s="860">
        <v>1</v>
      </c>
      <c r="AQ263" s="860">
        <v>1</v>
      </c>
      <c r="AR263" s="860">
        <v>1</v>
      </c>
      <c r="AS263" s="860">
        <v>2</v>
      </c>
      <c r="AT263" s="860">
        <v>4</v>
      </c>
      <c r="AU263" s="860">
        <v>2</v>
      </c>
      <c r="AV263" s="860">
        <v>2</v>
      </c>
      <c r="AW263" s="860">
        <v>2</v>
      </c>
      <c r="AX263" s="860">
        <v>1</v>
      </c>
      <c r="AY263" s="860">
        <v>1</v>
      </c>
      <c r="AZ263" s="860">
        <v>2</v>
      </c>
      <c r="BA263" s="860">
        <v>4</v>
      </c>
      <c r="BB263" s="860">
        <v>5</v>
      </c>
      <c r="BC263" s="860">
        <v>0</v>
      </c>
      <c r="BD263" s="860">
        <v>0</v>
      </c>
      <c r="BE263" s="860">
        <v>2</v>
      </c>
      <c r="BF263" s="860">
        <v>0</v>
      </c>
      <c r="BG263" s="860">
        <v>5</v>
      </c>
      <c r="BH263" s="860">
        <v>2</v>
      </c>
      <c r="BI263" s="860">
        <v>1</v>
      </c>
      <c r="BJ263" s="860">
        <v>2</v>
      </c>
      <c r="BK263" s="860">
        <v>0</v>
      </c>
      <c r="BL263" s="860">
        <v>2</v>
      </c>
      <c r="BM263" s="860">
        <v>1</v>
      </c>
      <c r="BN263" s="860">
        <v>2</v>
      </c>
      <c r="BO263" s="860">
        <v>1</v>
      </c>
      <c r="BP263" s="860">
        <v>4</v>
      </c>
      <c r="BQ263" s="860">
        <v>2</v>
      </c>
      <c r="BR263" s="860">
        <v>1</v>
      </c>
      <c r="BS263" s="860">
        <v>2</v>
      </c>
      <c r="BT263" s="860">
        <v>2</v>
      </c>
      <c r="BU263" s="860">
        <v>2</v>
      </c>
      <c r="BV263" s="860">
        <v>2</v>
      </c>
      <c r="BW263" s="860">
        <v>4</v>
      </c>
      <c r="BX263" s="860">
        <v>1</v>
      </c>
      <c r="BY263" s="860">
        <v>2</v>
      </c>
      <c r="BZ263" s="860">
        <v>2</v>
      </c>
      <c r="CA263" s="860">
        <v>1</v>
      </c>
      <c r="CB263" s="860">
        <v>1</v>
      </c>
    </row>
    <row r="264" spans="1:80" x14ac:dyDescent="0.25">
      <c r="A264" s="860"/>
      <c r="B264" s="860">
        <v>604</v>
      </c>
      <c r="C264" s="860" t="s">
        <v>799</v>
      </c>
      <c r="D264" s="860"/>
      <c r="E264" s="860">
        <v>0</v>
      </c>
      <c r="F264" s="860">
        <v>0</v>
      </c>
      <c r="G264" s="860">
        <v>0</v>
      </c>
      <c r="H264" s="860">
        <v>0</v>
      </c>
      <c r="I264" s="860">
        <v>0</v>
      </c>
      <c r="J264" s="860">
        <v>0</v>
      </c>
      <c r="K264" s="860">
        <v>0</v>
      </c>
      <c r="L264" s="860">
        <v>0</v>
      </c>
      <c r="M264" s="860">
        <v>0</v>
      </c>
      <c r="N264" s="860">
        <v>0</v>
      </c>
      <c r="O264" s="860">
        <v>0</v>
      </c>
      <c r="P264" s="860">
        <v>0</v>
      </c>
      <c r="Q264" s="860">
        <v>0</v>
      </c>
      <c r="R264" s="860">
        <v>0</v>
      </c>
      <c r="S264" s="860">
        <v>0</v>
      </c>
      <c r="T264" s="860">
        <v>0</v>
      </c>
      <c r="U264" s="860">
        <v>0</v>
      </c>
      <c r="V264" s="860">
        <v>0</v>
      </c>
      <c r="W264" s="860">
        <v>0</v>
      </c>
      <c r="X264" s="860">
        <v>0</v>
      </c>
      <c r="Y264" s="860">
        <v>0</v>
      </c>
      <c r="Z264" s="860">
        <v>0</v>
      </c>
      <c r="AA264" s="860">
        <v>0</v>
      </c>
      <c r="AB264" s="860">
        <v>0</v>
      </c>
      <c r="AC264" s="860">
        <v>0</v>
      </c>
      <c r="AD264" s="860">
        <v>0</v>
      </c>
      <c r="AE264" s="860">
        <v>0</v>
      </c>
      <c r="AF264" s="860">
        <v>0</v>
      </c>
      <c r="AG264" s="860">
        <v>0</v>
      </c>
      <c r="AH264" s="860">
        <v>0</v>
      </c>
      <c r="AI264" s="860">
        <v>0</v>
      </c>
      <c r="AJ264" s="860">
        <v>0</v>
      </c>
      <c r="AK264" s="860">
        <v>0</v>
      </c>
      <c r="AL264" s="860">
        <v>0</v>
      </c>
      <c r="AM264" s="860">
        <v>0</v>
      </c>
      <c r="AN264" s="860">
        <v>0</v>
      </c>
      <c r="AO264" s="860">
        <v>0</v>
      </c>
      <c r="AP264" s="860">
        <v>0</v>
      </c>
      <c r="AQ264" s="860">
        <v>0</v>
      </c>
      <c r="AR264" s="860">
        <v>0</v>
      </c>
      <c r="AS264" s="860">
        <v>0</v>
      </c>
      <c r="AT264" s="860">
        <v>0</v>
      </c>
      <c r="AU264" s="860">
        <v>0</v>
      </c>
      <c r="AV264" s="860">
        <v>0</v>
      </c>
      <c r="AW264" s="860">
        <v>0</v>
      </c>
      <c r="AX264" s="860">
        <v>0</v>
      </c>
      <c r="AY264" s="860">
        <v>0</v>
      </c>
      <c r="AZ264" s="860">
        <v>0</v>
      </c>
      <c r="BA264" s="860">
        <v>0</v>
      </c>
      <c r="BB264" s="860">
        <v>0</v>
      </c>
      <c r="BC264" s="860">
        <v>0</v>
      </c>
      <c r="BD264" s="860">
        <v>0</v>
      </c>
      <c r="BE264" s="860">
        <v>0</v>
      </c>
      <c r="BF264" s="860">
        <v>0</v>
      </c>
      <c r="BG264" s="860">
        <v>0</v>
      </c>
      <c r="BH264" s="860">
        <v>0</v>
      </c>
      <c r="BI264" s="860">
        <v>0</v>
      </c>
      <c r="BJ264" s="860">
        <v>0</v>
      </c>
      <c r="BK264" s="860">
        <v>0</v>
      </c>
      <c r="BL264" s="860">
        <v>0</v>
      </c>
      <c r="BM264" s="860">
        <v>0</v>
      </c>
      <c r="BN264" s="860">
        <v>0</v>
      </c>
      <c r="BO264" s="860">
        <v>0</v>
      </c>
      <c r="BP264" s="860">
        <v>0</v>
      </c>
      <c r="BQ264" s="860">
        <v>0</v>
      </c>
      <c r="BR264" s="860">
        <v>0</v>
      </c>
      <c r="BS264" s="860">
        <v>0</v>
      </c>
      <c r="BT264" s="860">
        <v>0</v>
      </c>
      <c r="BU264" s="860">
        <v>0</v>
      </c>
      <c r="BV264" s="860">
        <v>0</v>
      </c>
      <c r="BW264" s="860">
        <v>0</v>
      </c>
      <c r="BX264" s="860">
        <v>0</v>
      </c>
      <c r="BY264" s="860">
        <v>0</v>
      </c>
      <c r="BZ264" s="860">
        <v>0</v>
      </c>
      <c r="CA264" s="860">
        <v>0</v>
      </c>
      <c r="CB264" s="860">
        <v>0</v>
      </c>
    </row>
    <row r="265" spans="1:80" x14ac:dyDescent="0.25">
      <c r="A265" s="860">
        <v>605</v>
      </c>
      <c r="B265" s="860">
        <v>605</v>
      </c>
      <c r="C265" s="860" t="s">
        <v>801</v>
      </c>
      <c r="D265" s="860"/>
      <c r="E265" s="860">
        <v>1</v>
      </c>
      <c r="F265" s="860">
        <v>1</v>
      </c>
      <c r="G265" s="860">
        <v>0</v>
      </c>
      <c r="H265" s="860">
        <v>1</v>
      </c>
      <c r="I265" s="860">
        <v>1</v>
      </c>
      <c r="J265" s="860">
        <v>1</v>
      </c>
      <c r="K265" s="860">
        <v>1</v>
      </c>
      <c r="L265" s="860">
        <v>1</v>
      </c>
      <c r="M265" s="860">
        <v>1</v>
      </c>
      <c r="N265" s="860">
        <v>1</v>
      </c>
      <c r="O265" s="860">
        <v>1</v>
      </c>
      <c r="P265" s="860">
        <v>1</v>
      </c>
      <c r="Q265" s="860">
        <v>1</v>
      </c>
      <c r="R265" s="860">
        <v>1</v>
      </c>
      <c r="S265" s="860">
        <v>1</v>
      </c>
      <c r="T265" s="860">
        <v>1</v>
      </c>
      <c r="U265" s="860">
        <v>0</v>
      </c>
      <c r="V265" s="860">
        <v>2</v>
      </c>
      <c r="W265" s="860">
        <v>1</v>
      </c>
      <c r="X265" s="860">
        <v>1</v>
      </c>
      <c r="Y265" s="860">
        <v>1</v>
      </c>
      <c r="Z265" s="860">
        <v>1</v>
      </c>
      <c r="AA265" s="860">
        <v>1</v>
      </c>
      <c r="AB265" s="860">
        <v>1</v>
      </c>
      <c r="AC265" s="860">
        <v>1</v>
      </c>
      <c r="AD265" s="860">
        <v>1</v>
      </c>
      <c r="AE265" s="860">
        <v>1</v>
      </c>
      <c r="AF265" s="860">
        <v>1</v>
      </c>
      <c r="AG265" s="860">
        <v>1</v>
      </c>
      <c r="AH265" s="860">
        <v>1</v>
      </c>
      <c r="AI265" s="860">
        <v>1</v>
      </c>
      <c r="AJ265" s="860">
        <v>1</v>
      </c>
      <c r="AK265" s="860">
        <v>1</v>
      </c>
      <c r="AL265" s="860">
        <v>1</v>
      </c>
      <c r="AM265" s="860">
        <v>1</v>
      </c>
      <c r="AN265" s="860">
        <v>1</v>
      </c>
      <c r="AO265" s="860">
        <v>1</v>
      </c>
      <c r="AP265" s="860">
        <v>1</v>
      </c>
      <c r="AQ265" s="860">
        <v>1</v>
      </c>
      <c r="AR265" s="860">
        <v>1</v>
      </c>
      <c r="AS265" s="860">
        <v>1</v>
      </c>
      <c r="AT265" s="860">
        <v>1</v>
      </c>
      <c r="AU265" s="860">
        <v>1</v>
      </c>
      <c r="AV265" s="860">
        <v>1</v>
      </c>
      <c r="AW265" s="860">
        <v>1</v>
      </c>
      <c r="AX265" s="860">
        <v>1</v>
      </c>
      <c r="AY265" s="860">
        <v>1</v>
      </c>
      <c r="AZ265" s="860">
        <v>1</v>
      </c>
      <c r="BA265" s="860">
        <v>1</v>
      </c>
      <c r="BB265" s="860">
        <v>1</v>
      </c>
      <c r="BC265" s="860">
        <v>0</v>
      </c>
      <c r="BD265" s="860">
        <v>0</v>
      </c>
      <c r="BE265" s="860">
        <v>1</v>
      </c>
      <c r="BF265" s="860">
        <v>0</v>
      </c>
      <c r="BG265" s="860">
        <v>1</v>
      </c>
      <c r="BH265" s="860">
        <v>1</v>
      </c>
      <c r="BI265" s="860">
        <v>1</v>
      </c>
      <c r="BJ265" s="860">
        <v>1</v>
      </c>
      <c r="BK265" s="860">
        <v>0</v>
      </c>
      <c r="BL265" s="860">
        <v>1</v>
      </c>
      <c r="BM265" s="860">
        <v>1</v>
      </c>
      <c r="BN265" s="860">
        <v>1</v>
      </c>
      <c r="BO265" s="860">
        <v>1</v>
      </c>
      <c r="BP265" s="860">
        <v>1</v>
      </c>
      <c r="BQ265" s="860">
        <v>1</v>
      </c>
      <c r="BR265" s="860">
        <v>1</v>
      </c>
      <c r="BS265" s="860">
        <v>1</v>
      </c>
      <c r="BT265" s="860">
        <v>1</v>
      </c>
      <c r="BU265" s="860">
        <v>1</v>
      </c>
      <c r="BV265" s="860">
        <v>1</v>
      </c>
      <c r="BW265" s="860">
        <v>1</v>
      </c>
      <c r="BX265" s="860">
        <v>1</v>
      </c>
      <c r="BY265" s="860">
        <v>1</v>
      </c>
      <c r="BZ265" s="860">
        <v>1</v>
      </c>
      <c r="CA265" s="860">
        <v>1</v>
      </c>
      <c r="CB265" s="860">
        <v>1</v>
      </c>
    </row>
    <row r="266" spans="1:80" x14ac:dyDescent="0.25">
      <c r="A266" s="860">
        <v>606</v>
      </c>
      <c r="B266" s="860">
        <v>606</v>
      </c>
      <c r="C266" s="860" t="s">
        <v>820</v>
      </c>
      <c r="D266" s="860"/>
      <c r="E266" s="860">
        <v>1</v>
      </c>
      <c r="F266" s="860">
        <v>1</v>
      </c>
      <c r="G266" s="860">
        <v>0</v>
      </c>
      <c r="H266" s="860">
        <v>1</v>
      </c>
      <c r="I266" s="860">
        <v>0</v>
      </c>
      <c r="J266" s="860">
        <v>0</v>
      </c>
      <c r="K266" s="860">
        <v>0</v>
      </c>
      <c r="L266" s="860">
        <v>1</v>
      </c>
      <c r="M266" s="860">
        <v>1</v>
      </c>
      <c r="N266" s="860">
        <v>0</v>
      </c>
      <c r="O266" s="860">
        <v>0</v>
      </c>
      <c r="P266" s="860">
        <v>0</v>
      </c>
      <c r="Q266" s="860">
        <v>1</v>
      </c>
      <c r="R266" s="860">
        <v>0</v>
      </c>
      <c r="S266" s="860">
        <v>0</v>
      </c>
      <c r="T266" s="860">
        <v>1</v>
      </c>
      <c r="U266" s="860">
        <v>0</v>
      </c>
      <c r="V266" s="860">
        <v>1</v>
      </c>
      <c r="W266" s="860">
        <v>0</v>
      </c>
      <c r="X266" s="860">
        <v>0</v>
      </c>
      <c r="Y266" s="860">
        <v>0</v>
      </c>
      <c r="Z266" s="860">
        <v>0</v>
      </c>
      <c r="AA266" s="860">
        <v>0</v>
      </c>
      <c r="AB266" s="860">
        <v>0</v>
      </c>
      <c r="AC266" s="860">
        <v>0</v>
      </c>
      <c r="AD266" s="860">
        <v>0</v>
      </c>
      <c r="AE266" s="860">
        <v>0</v>
      </c>
      <c r="AF266" s="860">
        <v>0</v>
      </c>
      <c r="AG266" s="860">
        <v>0</v>
      </c>
      <c r="AH266" s="860">
        <v>0</v>
      </c>
      <c r="AI266" s="860">
        <v>0</v>
      </c>
      <c r="AJ266" s="860">
        <v>0</v>
      </c>
      <c r="AK266" s="860">
        <v>1</v>
      </c>
      <c r="AL266" s="860">
        <v>0</v>
      </c>
      <c r="AM266" s="860">
        <v>0</v>
      </c>
      <c r="AN266" s="860">
        <v>1</v>
      </c>
      <c r="AO266" s="860">
        <v>1</v>
      </c>
      <c r="AP266" s="860">
        <v>0</v>
      </c>
      <c r="AQ266" s="860">
        <v>0</v>
      </c>
      <c r="AR266" s="860">
        <v>1</v>
      </c>
      <c r="AS266" s="860">
        <v>0</v>
      </c>
      <c r="AT266" s="860">
        <v>0</v>
      </c>
      <c r="AU266" s="860">
        <v>0</v>
      </c>
      <c r="AV266" s="860">
        <v>1</v>
      </c>
      <c r="AW266" s="860">
        <v>0</v>
      </c>
      <c r="AX266" s="860">
        <v>0</v>
      </c>
      <c r="AY266" s="860">
        <v>0</v>
      </c>
      <c r="AZ266" s="860">
        <v>1</v>
      </c>
      <c r="BA266" s="860">
        <v>0</v>
      </c>
      <c r="BB266" s="860">
        <v>0</v>
      </c>
      <c r="BC266" s="860">
        <v>0</v>
      </c>
      <c r="BD266" s="860">
        <v>0</v>
      </c>
      <c r="BE266" s="860">
        <v>0</v>
      </c>
      <c r="BF266" s="860">
        <v>0</v>
      </c>
      <c r="BG266" s="860">
        <v>0</v>
      </c>
      <c r="BH266" s="860">
        <v>0</v>
      </c>
      <c r="BI266" s="860">
        <v>0</v>
      </c>
      <c r="BJ266" s="860">
        <v>0</v>
      </c>
      <c r="BK266" s="860">
        <v>0</v>
      </c>
      <c r="BL266" s="860">
        <v>0</v>
      </c>
      <c r="BM266" s="860">
        <v>0</v>
      </c>
      <c r="BN266" s="860">
        <v>0</v>
      </c>
      <c r="BO266" s="860">
        <v>1</v>
      </c>
      <c r="BP266" s="860">
        <v>0</v>
      </c>
      <c r="BQ266" s="860">
        <v>1</v>
      </c>
      <c r="BR266" s="860">
        <v>0</v>
      </c>
      <c r="BS266" s="860">
        <v>0</v>
      </c>
      <c r="BT266" s="860">
        <v>1</v>
      </c>
      <c r="BU266" s="860">
        <v>0</v>
      </c>
      <c r="BV266" s="860">
        <v>0</v>
      </c>
      <c r="BW266" s="860">
        <v>0</v>
      </c>
      <c r="BX266" s="860">
        <v>1</v>
      </c>
      <c r="BY266" s="860">
        <v>0</v>
      </c>
      <c r="BZ266" s="860">
        <v>0</v>
      </c>
      <c r="CA266" s="860">
        <v>1</v>
      </c>
      <c r="CB266" s="860">
        <v>0</v>
      </c>
    </row>
    <row r="267" spans="1:80" x14ac:dyDescent="0.25">
      <c r="A267" s="860">
        <v>607</v>
      </c>
      <c r="B267" s="860">
        <v>607</v>
      </c>
      <c r="C267" s="860" t="s">
        <v>791</v>
      </c>
      <c r="D267" s="860"/>
      <c r="E267" s="860">
        <v>0</v>
      </c>
      <c r="F267" s="860">
        <v>0</v>
      </c>
      <c r="G267" s="860">
        <v>0</v>
      </c>
      <c r="H267" s="860">
        <v>1769155</v>
      </c>
      <c r="I267" s="860">
        <v>404555</v>
      </c>
      <c r="J267" s="860">
        <v>493142</v>
      </c>
      <c r="K267" s="860">
        <v>0</v>
      </c>
      <c r="L267" s="860">
        <v>397022</v>
      </c>
      <c r="M267" s="860">
        <v>45979353</v>
      </c>
      <c r="N267" s="860">
        <v>0</v>
      </c>
      <c r="O267" s="860">
        <v>1165326</v>
      </c>
      <c r="P267" s="860">
        <v>0</v>
      </c>
      <c r="Q267" s="860">
        <v>12173463</v>
      </c>
      <c r="R267" s="860">
        <v>7390209</v>
      </c>
      <c r="S267" s="860">
        <v>204382</v>
      </c>
      <c r="T267" s="860">
        <v>9866082</v>
      </c>
      <c r="U267" s="860">
        <v>0</v>
      </c>
      <c r="V267" s="860">
        <v>4743598</v>
      </c>
      <c r="W267" s="860">
        <v>0</v>
      </c>
      <c r="X267" s="860">
        <v>1619688</v>
      </c>
      <c r="Y267" s="860">
        <v>6502587</v>
      </c>
      <c r="Z267" s="860">
        <v>1962656</v>
      </c>
      <c r="AA267" s="860">
        <v>64890</v>
      </c>
      <c r="AB267" s="860">
        <v>0</v>
      </c>
      <c r="AC267" s="860">
        <v>0</v>
      </c>
      <c r="AD267" s="860">
        <v>0</v>
      </c>
      <c r="AE267" s="860">
        <v>0</v>
      </c>
      <c r="AF267" s="860">
        <v>0</v>
      </c>
      <c r="AG267" s="860">
        <v>0</v>
      </c>
      <c r="AH267" s="860">
        <v>0</v>
      </c>
      <c r="AI267" s="860">
        <v>0</v>
      </c>
      <c r="AJ267" s="860">
        <v>0</v>
      </c>
      <c r="AK267" s="860">
        <v>2011980</v>
      </c>
      <c r="AL267" s="860">
        <v>0</v>
      </c>
      <c r="AM267" s="860">
        <v>0</v>
      </c>
      <c r="AN267" s="860">
        <v>0</v>
      </c>
      <c r="AO267" s="860">
        <v>2843310</v>
      </c>
      <c r="AP267" s="860">
        <v>0</v>
      </c>
      <c r="AQ267" s="860">
        <v>0</v>
      </c>
      <c r="AR267" s="860">
        <v>17324385</v>
      </c>
      <c r="AS267" s="860">
        <v>0</v>
      </c>
      <c r="AT267" s="860">
        <v>307115</v>
      </c>
      <c r="AU267" s="860">
        <v>835900</v>
      </c>
      <c r="AV267" s="860">
        <v>11546868</v>
      </c>
      <c r="AW267" s="860">
        <v>0</v>
      </c>
      <c r="AX267" s="860">
        <v>0</v>
      </c>
      <c r="AY267" s="860">
        <v>0</v>
      </c>
      <c r="AZ267" s="860">
        <v>108680</v>
      </c>
      <c r="BA267" s="860">
        <v>1452160</v>
      </c>
      <c r="BB267" s="860">
        <v>0</v>
      </c>
      <c r="BC267" s="860">
        <v>0</v>
      </c>
      <c r="BD267" s="860">
        <v>0</v>
      </c>
      <c r="BE267" s="860">
        <v>0</v>
      </c>
      <c r="BF267" s="860">
        <v>0</v>
      </c>
      <c r="BG267" s="860">
        <v>0</v>
      </c>
      <c r="BH267" s="860">
        <v>0</v>
      </c>
      <c r="BI267" s="860">
        <v>3089589</v>
      </c>
      <c r="BJ267" s="860">
        <v>183213</v>
      </c>
      <c r="BK267" s="860">
        <v>0</v>
      </c>
      <c r="BL267" s="860">
        <v>457206</v>
      </c>
      <c r="BM267" s="860">
        <v>2310695</v>
      </c>
      <c r="BN267" s="860">
        <v>0</v>
      </c>
      <c r="BO267" s="860">
        <v>130107</v>
      </c>
      <c r="BP267" s="860">
        <v>0</v>
      </c>
      <c r="BQ267" s="860">
        <v>0</v>
      </c>
      <c r="BR267" s="860">
        <v>0</v>
      </c>
      <c r="BS267" s="860">
        <v>0</v>
      </c>
      <c r="BT267" s="860">
        <v>0</v>
      </c>
      <c r="BU267" s="860">
        <v>0</v>
      </c>
      <c r="BV267" s="860">
        <v>4605268</v>
      </c>
      <c r="BW267" s="860">
        <v>0</v>
      </c>
      <c r="BX267" s="860">
        <v>0</v>
      </c>
      <c r="BY267" s="860">
        <v>0</v>
      </c>
      <c r="BZ267" s="860">
        <v>0</v>
      </c>
      <c r="CA267" s="860">
        <v>6176707</v>
      </c>
      <c r="CB267" s="860">
        <v>0</v>
      </c>
    </row>
    <row r="268" spans="1:80" x14ac:dyDescent="0.25">
      <c r="A268" s="860">
        <v>608</v>
      </c>
      <c r="B268" s="860">
        <v>608</v>
      </c>
      <c r="C268" s="860" t="s">
        <v>792</v>
      </c>
      <c r="D268" s="860"/>
      <c r="E268" s="860">
        <v>0</v>
      </c>
      <c r="F268" s="860">
        <v>0</v>
      </c>
      <c r="G268" s="860">
        <v>0</v>
      </c>
      <c r="H268" s="860">
        <v>0</v>
      </c>
      <c r="I268" s="860">
        <v>0</v>
      </c>
      <c r="J268" s="860">
        <v>0</v>
      </c>
      <c r="K268" s="860">
        <v>0</v>
      </c>
      <c r="L268" s="860">
        <v>0</v>
      </c>
      <c r="M268" s="860">
        <v>0</v>
      </c>
      <c r="N268" s="860">
        <v>0</v>
      </c>
      <c r="O268" s="860">
        <v>0</v>
      </c>
      <c r="P268" s="860">
        <v>0</v>
      </c>
      <c r="Q268" s="860">
        <v>0</v>
      </c>
      <c r="R268" s="860">
        <v>0</v>
      </c>
      <c r="S268" s="860">
        <v>0</v>
      </c>
      <c r="T268" s="860">
        <v>0</v>
      </c>
      <c r="U268" s="860">
        <v>0</v>
      </c>
      <c r="V268" s="860">
        <v>0</v>
      </c>
      <c r="W268" s="860">
        <v>0</v>
      </c>
      <c r="X268" s="860">
        <v>0</v>
      </c>
      <c r="Y268" s="860">
        <v>0</v>
      </c>
      <c r="Z268" s="860">
        <v>0</v>
      </c>
      <c r="AA268" s="860">
        <v>0</v>
      </c>
      <c r="AB268" s="860">
        <v>0</v>
      </c>
      <c r="AC268" s="860">
        <v>0</v>
      </c>
      <c r="AD268" s="860">
        <v>0</v>
      </c>
      <c r="AE268" s="860">
        <v>0</v>
      </c>
      <c r="AF268" s="860">
        <v>0</v>
      </c>
      <c r="AG268" s="860">
        <v>0</v>
      </c>
      <c r="AH268" s="860">
        <v>0</v>
      </c>
      <c r="AI268" s="860">
        <v>0</v>
      </c>
      <c r="AJ268" s="860">
        <v>0</v>
      </c>
      <c r="AK268" s="860">
        <v>0</v>
      </c>
      <c r="AL268" s="860">
        <v>0</v>
      </c>
      <c r="AM268" s="860">
        <v>0</v>
      </c>
      <c r="AN268" s="860">
        <v>0</v>
      </c>
      <c r="AO268" s="860">
        <v>0</v>
      </c>
      <c r="AP268" s="860">
        <v>0</v>
      </c>
      <c r="AQ268" s="860">
        <v>0</v>
      </c>
      <c r="AR268" s="860">
        <v>0</v>
      </c>
      <c r="AS268" s="860">
        <v>0</v>
      </c>
      <c r="AT268" s="860">
        <v>0</v>
      </c>
      <c r="AU268" s="860">
        <v>0</v>
      </c>
      <c r="AV268" s="860">
        <v>0</v>
      </c>
      <c r="AW268" s="860">
        <v>0</v>
      </c>
      <c r="AX268" s="860">
        <v>0</v>
      </c>
      <c r="AY268" s="860">
        <v>0</v>
      </c>
      <c r="AZ268" s="860">
        <v>0</v>
      </c>
      <c r="BA268" s="860">
        <v>0</v>
      </c>
      <c r="BB268" s="860">
        <v>0</v>
      </c>
      <c r="BC268" s="860">
        <v>0</v>
      </c>
      <c r="BD268" s="860">
        <v>0</v>
      </c>
      <c r="BE268" s="860">
        <v>0</v>
      </c>
      <c r="BF268" s="860">
        <v>0</v>
      </c>
      <c r="BG268" s="860">
        <v>0</v>
      </c>
      <c r="BH268" s="860">
        <v>0</v>
      </c>
      <c r="BI268" s="860">
        <v>0</v>
      </c>
      <c r="BJ268" s="860">
        <v>0</v>
      </c>
      <c r="BK268" s="860">
        <v>0</v>
      </c>
      <c r="BL268" s="860">
        <v>0</v>
      </c>
      <c r="BM268" s="860">
        <v>0</v>
      </c>
      <c r="BN268" s="860">
        <v>0</v>
      </c>
      <c r="BO268" s="860">
        <v>0</v>
      </c>
      <c r="BP268" s="860">
        <v>0</v>
      </c>
      <c r="BQ268" s="860">
        <v>0</v>
      </c>
      <c r="BR268" s="860">
        <v>0</v>
      </c>
      <c r="BS268" s="860">
        <v>0</v>
      </c>
      <c r="BT268" s="860">
        <v>0</v>
      </c>
      <c r="BU268" s="860">
        <v>0</v>
      </c>
      <c r="BV268" s="860">
        <v>0</v>
      </c>
      <c r="BW268" s="860">
        <v>0</v>
      </c>
      <c r="BX268" s="860">
        <v>0</v>
      </c>
      <c r="BY268" s="860">
        <v>0</v>
      </c>
      <c r="BZ268" s="860">
        <v>0</v>
      </c>
      <c r="CA268" s="860">
        <v>0</v>
      </c>
      <c r="CB268" s="860">
        <v>0</v>
      </c>
    </row>
    <row r="269" spans="1:80" x14ac:dyDescent="0.25">
      <c r="A269" s="860">
        <v>609</v>
      </c>
      <c r="B269" s="860">
        <v>609</v>
      </c>
      <c r="C269" s="860" t="s">
        <v>813</v>
      </c>
      <c r="D269" s="860"/>
      <c r="E269" s="861">
        <v>0</v>
      </c>
      <c r="F269" s="861">
        <v>0</v>
      </c>
      <c r="G269" s="861">
        <v>0</v>
      </c>
      <c r="H269" s="861">
        <v>0</v>
      </c>
      <c r="I269" s="861">
        <v>0</v>
      </c>
      <c r="J269" s="861">
        <v>0</v>
      </c>
      <c r="K269" s="861">
        <v>0</v>
      </c>
      <c r="L269" s="861">
        <v>0</v>
      </c>
      <c r="M269" s="861">
        <v>0</v>
      </c>
      <c r="N269" s="861">
        <v>0</v>
      </c>
      <c r="O269" s="861">
        <v>0</v>
      </c>
      <c r="P269" s="861">
        <v>0</v>
      </c>
      <c r="Q269" s="861">
        <v>0</v>
      </c>
      <c r="R269" s="861">
        <v>0</v>
      </c>
      <c r="S269" s="861">
        <v>0</v>
      </c>
      <c r="T269" s="861">
        <v>0</v>
      </c>
      <c r="U269" s="861">
        <v>0</v>
      </c>
      <c r="V269" s="861">
        <v>0</v>
      </c>
      <c r="W269" s="861">
        <v>0</v>
      </c>
      <c r="X269" s="861">
        <v>0</v>
      </c>
      <c r="Y269" s="861">
        <v>0</v>
      </c>
      <c r="Z269" s="861">
        <v>0</v>
      </c>
      <c r="AA269" s="861">
        <v>0</v>
      </c>
      <c r="AB269" s="861">
        <v>0</v>
      </c>
      <c r="AC269" s="861">
        <v>0</v>
      </c>
      <c r="AD269" s="861">
        <v>0</v>
      </c>
      <c r="AE269" s="861">
        <v>0</v>
      </c>
      <c r="AF269" s="861">
        <v>0</v>
      </c>
      <c r="AG269" s="861">
        <v>0</v>
      </c>
      <c r="AH269" s="861">
        <v>0</v>
      </c>
      <c r="AI269" s="861">
        <v>0</v>
      </c>
      <c r="AJ269" s="861">
        <v>0</v>
      </c>
      <c r="AK269" s="861">
        <v>0</v>
      </c>
      <c r="AL269" s="861">
        <v>0</v>
      </c>
      <c r="AM269" s="861">
        <v>0</v>
      </c>
      <c r="AN269" s="861">
        <v>0</v>
      </c>
      <c r="AO269" s="861">
        <v>0</v>
      </c>
      <c r="AP269" s="861">
        <v>0</v>
      </c>
      <c r="AQ269" s="861">
        <v>0</v>
      </c>
      <c r="AR269" s="861">
        <v>0</v>
      </c>
      <c r="AS269" s="861">
        <v>0</v>
      </c>
      <c r="AT269" s="861">
        <v>0</v>
      </c>
      <c r="AU269" s="861">
        <v>0</v>
      </c>
      <c r="AV269" s="861">
        <v>0</v>
      </c>
      <c r="AW269" s="861">
        <v>0</v>
      </c>
      <c r="AX269" s="861">
        <v>0</v>
      </c>
      <c r="AY269" s="861">
        <v>0</v>
      </c>
      <c r="AZ269" s="861">
        <v>0</v>
      </c>
      <c r="BA269" s="861">
        <v>0</v>
      </c>
      <c r="BB269" s="861">
        <v>0</v>
      </c>
      <c r="BC269" s="861">
        <v>0</v>
      </c>
      <c r="BD269" s="861">
        <v>0</v>
      </c>
      <c r="BE269" s="861">
        <v>0</v>
      </c>
      <c r="BF269" s="861">
        <v>0</v>
      </c>
      <c r="BG269" s="861">
        <v>0</v>
      </c>
      <c r="BH269" s="861">
        <v>0</v>
      </c>
      <c r="BI269" s="861">
        <v>0</v>
      </c>
      <c r="BJ269" s="861">
        <v>0</v>
      </c>
      <c r="BK269" s="861">
        <v>0</v>
      </c>
      <c r="BL269" s="861">
        <v>0</v>
      </c>
      <c r="BM269" s="861">
        <v>0</v>
      </c>
      <c r="BN269" s="861">
        <v>0</v>
      </c>
      <c r="BO269" s="861">
        <v>0</v>
      </c>
      <c r="BP269" s="861">
        <v>0</v>
      </c>
      <c r="BQ269" s="861">
        <v>0</v>
      </c>
      <c r="BR269" s="861">
        <v>0</v>
      </c>
      <c r="BS269" s="861">
        <v>0</v>
      </c>
      <c r="BT269" s="861">
        <v>0</v>
      </c>
      <c r="BU269" s="861">
        <v>0</v>
      </c>
      <c r="BV269" s="861">
        <v>0</v>
      </c>
      <c r="BW269" s="861">
        <v>0</v>
      </c>
      <c r="BX269" s="861">
        <v>0</v>
      </c>
      <c r="BY269" s="861">
        <v>0</v>
      </c>
      <c r="BZ269" s="861">
        <v>0</v>
      </c>
      <c r="CA269" s="861">
        <v>0</v>
      </c>
      <c r="CB269" s="861">
        <v>0</v>
      </c>
    </row>
    <row r="270" spans="1:80" x14ac:dyDescent="0.25">
      <c r="A270" s="860">
        <v>610</v>
      </c>
      <c r="B270" s="860">
        <v>610</v>
      </c>
      <c r="C270" s="860" t="s">
        <v>793</v>
      </c>
      <c r="D270" s="860"/>
      <c r="E270" s="860">
        <v>0</v>
      </c>
      <c r="F270" s="860">
        <v>0</v>
      </c>
      <c r="G270" s="860">
        <v>0</v>
      </c>
      <c r="H270" s="860">
        <v>0</v>
      </c>
      <c r="I270" s="860">
        <v>0</v>
      </c>
      <c r="J270" s="860">
        <v>0</v>
      </c>
      <c r="K270" s="860">
        <v>0</v>
      </c>
      <c r="L270" s="860">
        <v>0</v>
      </c>
      <c r="M270" s="860">
        <v>0</v>
      </c>
      <c r="N270" s="860">
        <v>0</v>
      </c>
      <c r="O270" s="860">
        <v>0</v>
      </c>
      <c r="P270" s="860">
        <v>0</v>
      </c>
      <c r="Q270" s="860">
        <v>0</v>
      </c>
      <c r="R270" s="860">
        <v>0</v>
      </c>
      <c r="S270" s="860">
        <v>0</v>
      </c>
      <c r="T270" s="860">
        <v>0</v>
      </c>
      <c r="U270" s="860">
        <v>0</v>
      </c>
      <c r="V270" s="860">
        <v>0</v>
      </c>
      <c r="W270" s="860">
        <v>0</v>
      </c>
      <c r="X270" s="860">
        <v>0</v>
      </c>
      <c r="Y270" s="860">
        <v>0</v>
      </c>
      <c r="Z270" s="860">
        <v>0</v>
      </c>
      <c r="AA270" s="860">
        <v>0</v>
      </c>
      <c r="AB270" s="860">
        <v>0</v>
      </c>
      <c r="AC270" s="860">
        <v>0</v>
      </c>
      <c r="AD270" s="860">
        <v>0</v>
      </c>
      <c r="AE270" s="860">
        <v>0</v>
      </c>
      <c r="AF270" s="860">
        <v>0</v>
      </c>
      <c r="AG270" s="860">
        <v>0</v>
      </c>
      <c r="AH270" s="860">
        <v>0</v>
      </c>
      <c r="AI270" s="860">
        <v>0</v>
      </c>
      <c r="AJ270" s="860">
        <v>0</v>
      </c>
      <c r="AK270" s="860">
        <v>0</v>
      </c>
      <c r="AL270" s="860">
        <v>0</v>
      </c>
      <c r="AM270" s="860">
        <v>0</v>
      </c>
      <c r="AN270" s="860">
        <v>0</v>
      </c>
      <c r="AO270" s="860">
        <v>0</v>
      </c>
      <c r="AP270" s="860">
        <v>0</v>
      </c>
      <c r="AQ270" s="860">
        <v>0</v>
      </c>
      <c r="AR270" s="860">
        <v>0</v>
      </c>
      <c r="AS270" s="860">
        <v>0</v>
      </c>
      <c r="AT270" s="860">
        <v>0</v>
      </c>
      <c r="AU270" s="860">
        <v>0</v>
      </c>
      <c r="AV270" s="860">
        <v>0</v>
      </c>
      <c r="AW270" s="860">
        <v>0</v>
      </c>
      <c r="AX270" s="860">
        <v>0</v>
      </c>
      <c r="AY270" s="860">
        <v>0</v>
      </c>
      <c r="AZ270" s="860">
        <v>0</v>
      </c>
      <c r="BA270" s="860">
        <v>0</v>
      </c>
      <c r="BB270" s="860">
        <v>0</v>
      </c>
      <c r="BC270" s="860">
        <v>0</v>
      </c>
      <c r="BD270" s="860">
        <v>0</v>
      </c>
      <c r="BE270" s="860">
        <v>0</v>
      </c>
      <c r="BF270" s="860">
        <v>0</v>
      </c>
      <c r="BG270" s="860">
        <v>0</v>
      </c>
      <c r="BH270" s="860">
        <v>0</v>
      </c>
      <c r="BI270" s="860">
        <v>0</v>
      </c>
      <c r="BJ270" s="860">
        <v>0</v>
      </c>
      <c r="BK270" s="860">
        <v>0</v>
      </c>
      <c r="BL270" s="860">
        <v>0</v>
      </c>
      <c r="BM270" s="860">
        <v>0</v>
      </c>
      <c r="BN270" s="860">
        <v>0</v>
      </c>
      <c r="BO270" s="860">
        <v>0</v>
      </c>
      <c r="BP270" s="860">
        <v>0</v>
      </c>
      <c r="BQ270" s="860">
        <v>0</v>
      </c>
      <c r="BR270" s="860">
        <v>0</v>
      </c>
      <c r="BS270" s="860">
        <v>0</v>
      </c>
      <c r="BT270" s="860">
        <v>0</v>
      </c>
      <c r="BU270" s="860">
        <v>0</v>
      </c>
      <c r="BV270" s="860">
        <v>0</v>
      </c>
      <c r="BW270" s="860">
        <v>0</v>
      </c>
      <c r="BX270" s="860">
        <v>0</v>
      </c>
      <c r="BY270" s="860">
        <v>0</v>
      </c>
      <c r="BZ270" s="860">
        <v>0</v>
      </c>
      <c r="CA270" s="860">
        <v>0</v>
      </c>
      <c r="CB270" s="860">
        <v>0</v>
      </c>
    </row>
    <row r="271" spans="1:80" x14ac:dyDescent="0.25">
      <c r="A271" s="860">
        <v>611</v>
      </c>
      <c r="B271" s="860">
        <v>611</v>
      </c>
      <c r="C271" s="860" t="s">
        <v>794</v>
      </c>
      <c r="D271" s="860"/>
      <c r="E271" s="860">
        <v>0</v>
      </c>
      <c r="F271" s="860">
        <v>0</v>
      </c>
      <c r="G271" s="860">
        <v>0</v>
      </c>
      <c r="H271" s="860">
        <v>0</v>
      </c>
      <c r="I271" s="860">
        <v>0</v>
      </c>
      <c r="J271" s="860">
        <v>0</v>
      </c>
      <c r="K271" s="860">
        <v>0</v>
      </c>
      <c r="L271" s="860">
        <v>0</v>
      </c>
      <c r="M271" s="860">
        <v>0</v>
      </c>
      <c r="N271" s="860">
        <v>0</v>
      </c>
      <c r="O271" s="860">
        <v>0</v>
      </c>
      <c r="P271" s="860">
        <v>0</v>
      </c>
      <c r="Q271" s="860">
        <v>0</v>
      </c>
      <c r="R271" s="860">
        <v>0</v>
      </c>
      <c r="S271" s="860">
        <v>0</v>
      </c>
      <c r="T271" s="860">
        <v>0</v>
      </c>
      <c r="U271" s="860">
        <v>0</v>
      </c>
      <c r="V271" s="860">
        <v>0</v>
      </c>
      <c r="W271" s="860">
        <v>0</v>
      </c>
      <c r="X271" s="860">
        <v>0</v>
      </c>
      <c r="Y271" s="860">
        <v>0</v>
      </c>
      <c r="Z271" s="860">
        <v>0</v>
      </c>
      <c r="AA271" s="860">
        <v>0</v>
      </c>
      <c r="AB271" s="860">
        <v>0</v>
      </c>
      <c r="AC271" s="860">
        <v>0</v>
      </c>
      <c r="AD271" s="860">
        <v>0</v>
      </c>
      <c r="AE271" s="860">
        <v>0</v>
      </c>
      <c r="AF271" s="860">
        <v>0</v>
      </c>
      <c r="AG271" s="860">
        <v>0</v>
      </c>
      <c r="AH271" s="860">
        <v>0</v>
      </c>
      <c r="AI271" s="860">
        <v>0</v>
      </c>
      <c r="AJ271" s="860">
        <v>0</v>
      </c>
      <c r="AK271" s="860">
        <v>0</v>
      </c>
      <c r="AL271" s="860">
        <v>0</v>
      </c>
      <c r="AM271" s="860">
        <v>0</v>
      </c>
      <c r="AN271" s="860">
        <v>0</v>
      </c>
      <c r="AO271" s="860">
        <v>0</v>
      </c>
      <c r="AP271" s="860">
        <v>0</v>
      </c>
      <c r="AQ271" s="860">
        <v>0</v>
      </c>
      <c r="AR271" s="860">
        <v>0</v>
      </c>
      <c r="AS271" s="860">
        <v>0</v>
      </c>
      <c r="AT271" s="860">
        <v>0</v>
      </c>
      <c r="AU271" s="860">
        <v>0</v>
      </c>
      <c r="AV271" s="860">
        <v>0</v>
      </c>
      <c r="AW271" s="860">
        <v>0</v>
      </c>
      <c r="AX271" s="860">
        <v>0</v>
      </c>
      <c r="AY271" s="860">
        <v>0</v>
      </c>
      <c r="AZ271" s="860">
        <v>0</v>
      </c>
      <c r="BA271" s="860">
        <v>0</v>
      </c>
      <c r="BB271" s="860">
        <v>0</v>
      </c>
      <c r="BC271" s="860">
        <v>0</v>
      </c>
      <c r="BD271" s="860">
        <v>0</v>
      </c>
      <c r="BE271" s="860">
        <v>0</v>
      </c>
      <c r="BF271" s="860">
        <v>0</v>
      </c>
      <c r="BG271" s="860">
        <v>0</v>
      </c>
      <c r="BH271" s="860">
        <v>0</v>
      </c>
      <c r="BI271" s="860">
        <v>0</v>
      </c>
      <c r="BJ271" s="860">
        <v>0</v>
      </c>
      <c r="BK271" s="860">
        <v>0</v>
      </c>
      <c r="BL271" s="860">
        <v>0</v>
      </c>
      <c r="BM271" s="860">
        <v>0</v>
      </c>
      <c r="BN271" s="860">
        <v>0</v>
      </c>
      <c r="BO271" s="860">
        <v>0</v>
      </c>
      <c r="BP271" s="860">
        <v>0</v>
      </c>
      <c r="BQ271" s="860">
        <v>0</v>
      </c>
      <c r="BR271" s="860">
        <v>0</v>
      </c>
      <c r="BS271" s="860">
        <v>0</v>
      </c>
      <c r="BT271" s="860">
        <v>0</v>
      </c>
      <c r="BU271" s="860">
        <v>0</v>
      </c>
      <c r="BV271" s="860">
        <v>0</v>
      </c>
      <c r="BW271" s="860">
        <v>0</v>
      </c>
      <c r="BX271" s="860">
        <v>0</v>
      </c>
      <c r="BY271" s="860">
        <v>0</v>
      </c>
      <c r="BZ271" s="860">
        <v>0</v>
      </c>
      <c r="CA271" s="860">
        <v>0</v>
      </c>
      <c r="CB271" s="860">
        <v>0</v>
      </c>
    </row>
    <row r="272" spans="1:80" x14ac:dyDescent="0.25">
      <c r="A272" s="860">
        <v>612</v>
      </c>
      <c r="B272" s="860">
        <v>612</v>
      </c>
      <c r="C272" s="860" t="s">
        <v>814</v>
      </c>
      <c r="D272" s="860"/>
      <c r="E272" s="861">
        <v>0</v>
      </c>
      <c r="F272" s="861">
        <v>0</v>
      </c>
      <c r="G272" s="861">
        <v>0</v>
      </c>
      <c r="H272" s="861">
        <v>0</v>
      </c>
      <c r="I272" s="861">
        <v>0</v>
      </c>
      <c r="J272" s="861">
        <v>0</v>
      </c>
      <c r="K272" s="861">
        <v>0</v>
      </c>
      <c r="L272" s="861">
        <v>0</v>
      </c>
      <c r="M272" s="861">
        <v>0</v>
      </c>
      <c r="N272" s="861">
        <v>0</v>
      </c>
      <c r="O272" s="861">
        <v>0</v>
      </c>
      <c r="P272" s="861">
        <v>0</v>
      </c>
      <c r="Q272" s="861">
        <v>0</v>
      </c>
      <c r="R272" s="861">
        <v>0</v>
      </c>
      <c r="S272" s="861">
        <v>0</v>
      </c>
      <c r="T272" s="861">
        <v>0</v>
      </c>
      <c r="U272" s="861">
        <v>0</v>
      </c>
      <c r="V272" s="861">
        <v>0</v>
      </c>
      <c r="W272" s="861">
        <v>0</v>
      </c>
      <c r="X272" s="861">
        <v>0</v>
      </c>
      <c r="Y272" s="861">
        <v>0</v>
      </c>
      <c r="Z272" s="861">
        <v>0</v>
      </c>
      <c r="AA272" s="861">
        <v>0</v>
      </c>
      <c r="AB272" s="861">
        <v>0</v>
      </c>
      <c r="AC272" s="861">
        <v>0</v>
      </c>
      <c r="AD272" s="861">
        <v>0</v>
      </c>
      <c r="AE272" s="861">
        <v>0</v>
      </c>
      <c r="AF272" s="861">
        <v>0</v>
      </c>
      <c r="AG272" s="861">
        <v>0</v>
      </c>
      <c r="AH272" s="861">
        <v>0</v>
      </c>
      <c r="AI272" s="861">
        <v>0</v>
      </c>
      <c r="AJ272" s="861">
        <v>0</v>
      </c>
      <c r="AK272" s="861">
        <v>0</v>
      </c>
      <c r="AL272" s="861">
        <v>0</v>
      </c>
      <c r="AM272" s="861">
        <v>0</v>
      </c>
      <c r="AN272" s="861">
        <v>0</v>
      </c>
      <c r="AO272" s="861">
        <v>0</v>
      </c>
      <c r="AP272" s="861">
        <v>0</v>
      </c>
      <c r="AQ272" s="861">
        <v>0</v>
      </c>
      <c r="AR272" s="861">
        <v>0</v>
      </c>
      <c r="AS272" s="861">
        <v>0</v>
      </c>
      <c r="AT272" s="861">
        <v>0</v>
      </c>
      <c r="AU272" s="861">
        <v>0</v>
      </c>
      <c r="AV272" s="861">
        <v>0</v>
      </c>
      <c r="AW272" s="861">
        <v>0</v>
      </c>
      <c r="AX272" s="861">
        <v>0</v>
      </c>
      <c r="AY272" s="861">
        <v>0</v>
      </c>
      <c r="AZ272" s="861">
        <v>0</v>
      </c>
      <c r="BA272" s="861">
        <v>0</v>
      </c>
      <c r="BB272" s="861">
        <v>0</v>
      </c>
      <c r="BC272" s="861">
        <v>0</v>
      </c>
      <c r="BD272" s="861">
        <v>0</v>
      </c>
      <c r="BE272" s="861">
        <v>0</v>
      </c>
      <c r="BF272" s="861">
        <v>0</v>
      </c>
      <c r="BG272" s="861">
        <v>0</v>
      </c>
      <c r="BH272" s="861">
        <v>0</v>
      </c>
      <c r="BI272" s="861">
        <v>0</v>
      </c>
      <c r="BJ272" s="861">
        <v>0</v>
      </c>
      <c r="BK272" s="861">
        <v>0</v>
      </c>
      <c r="BL272" s="861">
        <v>0</v>
      </c>
      <c r="BM272" s="861">
        <v>0</v>
      </c>
      <c r="BN272" s="861">
        <v>0</v>
      </c>
      <c r="BO272" s="861">
        <v>0</v>
      </c>
      <c r="BP272" s="861">
        <v>0</v>
      </c>
      <c r="BQ272" s="861">
        <v>0</v>
      </c>
      <c r="BR272" s="861">
        <v>0</v>
      </c>
      <c r="BS272" s="861">
        <v>0</v>
      </c>
      <c r="BT272" s="861">
        <v>0</v>
      </c>
      <c r="BU272" s="861">
        <v>0</v>
      </c>
      <c r="BV272" s="861">
        <v>0</v>
      </c>
      <c r="BW272" s="861">
        <v>0</v>
      </c>
      <c r="BX272" s="861">
        <v>0</v>
      </c>
      <c r="BY272" s="861">
        <v>0</v>
      </c>
      <c r="BZ272" s="861">
        <v>0</v>
      </c>
      <c r="CA272" s="861">
        <v>0</v>
      </c>
      <c r="CB272" s="861">
        <v>0</v>
      </c>
    </row>
    <row r="273" spans="1:80" x14ac:dyDescent="0.25">
      <c r="A273" s="860">
        <v>613</v>
      </c>
      <c r="B273" s="860">
        <v>613</v>
      </c>
      <c r="C273" s="860" t="s">
        <v>802</v>
      </c>
      <c r="D273" s="860"/>
      <c r="E273" s="860">
        <v>0</v>
      </c>
      <c r="F273" s="860">
        <v>0</v>
      </c>
      <c r="G273" s="860">
        <v>0</v>
      </c>
      <c r="H273" s="860">
        <v>0</v>
      </c>
      <c r="I273" s="860">
        <v>0</v>
      </c>
      <c r="J273" s="860">
        <v>0</v>
      </c>
      <c r="K273" s="860">
        <v>0</v>
      </c>
      <c r="L273" s="860">
        <v>0</v>
      </c>
      <c r="M273" s="860">
        <v>0</v>
      </c>
      <c r="N273" s="860">
        <v>0</v>
      </c>
      <c r="O273" s="860">
        <v>0</v>
      </c>
      <c r="P273" s="860">
        <v>0</v>
      </c>
      <c r="Q273" s="860">
        <v>0</v>
      </c>
      <c r="R273" s="860">
        <v>0</v>
      </c>
      <c r="S273" s="860">
        <v>0</v>
      </c>
      <c r="T273" s="860">
        <v>0</v>
      </c>
      <c r="U273" s="860">
        <v>0</v>
      </c>
      <c r="V273" s="860">
        <v>0</v>
      </c>
      <c r="W273" s="860">
        <v>0</v>
      </c>
      <c r="X273" s="860">
        <v>0</v>
      </c>
      <c r="Y273" s="860">
        <v>0</v>
      </c>
      <c r="Z273" s="860">
        <v>0</v>
      </c>
      <c r="AA273" s="860">
        <v>0</v>
      </c>
      <c r="AB273" s="860">
        <v>0</v>
      </c>
      <c r="AC273" s="860">
        <v>0</v>
      </c>
      <c r="AD273" s="860">
        <v>0</v>
      </c>
      <c r="AE273" s="860">
        <v>0</v>
      </c>
      <c r="AF273" s="860">
        <v>0</v>
      </c>
      <c r="AG273" s="860">
        <v>0</v>
      </c>
      <c r="AH273" s="860">
        <v>0</v>
      </c>
      <c r="AI273" s="860">
        <v>0</v>
      </c>
      <c r="AJ273" s="860">
        <v>0</v>
      </c>
      <c r="AK273" s="860">
        <v>0</v>
      </c>
      <c r="AL273" s="860">
        <v>0</v>
      </c>
      <c r="AM273" s="860">
        <v>0</v>
      </c>
      <c r="AN273" s="860">
        <v>0</v>
      </c>
      <c r="AO273" s="860">
        <v>0</v>
      </c>
      <c r="AP273" s="860">
        <v>0</v>
      </c>
      <c r="AQ273" s="860">
        <v>0</v>
      </c>
      <c r="AR273" s="860">
        <v>0</v>
      </c>
      <c r="AS273" s="860">
        <v>0</v>
      </c>
      <c r="AT273" s="860">
        <v>0</v>
      </c>
      <c r="AU273" s="860">
        <v>0</v>
      </c>
      <c r="AV273" s="860">
        <v>0</v>
      </c>
      <c r="AW273" s="860">
        <v>0</v>
      </c>
      <c r="AX273" s="860">
        <v>0</v>
      </c>
      <c r="AY273" s="860">
        <v>0</v>
      </c>
      <c r="AZ273" s="860">
        <v>0</v>
      </c>
      <c r="BA273" s="860">
        <v>0</v>
      </c>
      <c r="BB273" s="860">
        <v>0</v>
      </c>
      <c r="BC273" s="860">
        <v>0</v>
      </c>
      <c r="BD273" s="860">
        <v>0</v>
      </c>
      <c r="BE273" s="860">
        <v>0</v>
      </c>
      <c r="BF273" s="860">
        <v>0</v>
      </c>
      <c r="BG273" s="860">
        <v>0</v>
      </c>
      <c r="BH273" s="860">
        <v>0</v>
      </c>
      <c r="BI273" s="860">
        <v>0</v>
      </c>
      <c r="BJ273" s="860">
        <v>0</v>
      </c>
      <c r="BK273" s="860">
        <v>0</v>
      </c>
      <c r="BL273" s="860">
        <v>0</v>
      </c>
      <c r="BM273" s="860">
        <v>0</v>
      </c>
      <c r="BN273" s="860">
        <v>0</v>
      </c>
      <c r="BO273" s="860">
        <v>0</v>
      </c>
      <c r="BP273" s="860">
        <v>0</v>
      </c>
      <c r="BQ273" s="860">
        <v>0</v>
      </c>
      <c r="BR273" s="860">
        <v>0</v>
      </c>
      <c r="BS273" s="860">
        <v>0</v>
      </c>
      <c r="BT273" s="860">
        <v>0</v>
      </c>
      <c r="BU273" s="860">
        <v>0</v>
      </c>
      <c r="BV273" s="860">
        <v>0</v>
      </c>
      <c r="BW273" s="860">
        <v>0</v>
      </c>
      <c r="BX273" s="860">
        <v>0</v>
      </c>
      <c r="BY273" s="860">
        <v>0</v>
      </c>
      <c r="BZ273" s="860">
        <v>0</v>
      </c>
      <c r="CA273" s="860">
        <v>0</v>
      </c>
      <c r="CB273" s="860">
        <v>0</v>
      </c>
    </row>
    <row r="274" spans="1:80" x14ac:dyDescent="0.25">
      <c r="A274" s="860">
        <v>614</v>
      </c>
      <c r="B274" s="860">
        <v>614</v>
      </c>
      <c r="C274" s="860" t="s">
        <v>795</v>
      </c>
      <c r="D274" s="860"/>
      <c r="E274" s="860">
        <v>0</v>
      </c>
      <c r="F274" s="860">
        <v>0</v>
      </c>
      <c r="G274" s="860">
        <v>0</v>
      </c>
      <c r="H274" s="860">
        <v>0</v>
      </c>
      <c r="I274" s="860">
        <v>0</v>
      </c>
      <c r="J274" s="860">
        <v>0</v>
      </c>
      <c r="K274" s="860">
        <v>0</v>
      </c>
      <c r="L274" s="860">
        <v>0</v>
      </c>
      <c r="M274" s="860">
        <v>0</v>
      </c>
      <c r="N274" s="860">
        <v>0</v>
      </c>
      <c r="O274" s="860">
        <v>0</v>
      </c>
      <c r="P274" s="860">
        <v>0</v>
      </c>
      <c r="Q274" s="860">
        <v>0</v>
      </c>
      <c r="R274" s="860">
        <v>0</v>
      </c>
      <c r="S274" s="860">
        <v>0</v>
      </c>
      <c r="T274" s="860">
        <v>0</v>
      </c>
      <c r="U274" s="860">
        <v>0</v>
      </c>
      <c r="V274" s="860">
        <v>0</v>
      </c>
      <c r="W274" s="860">
        <v>0</v>
      </c>
      <c r="X274" s="860">
        <v>0</v>
      </c>
      <c r="Y274" s="860">
        <v>0</v>
      </c>
      <c r="Z274" s="860">
        <v>0</v>
      </c>
      <c r="AA274" s="860">
        <v>0</v>
      </c>
      <c r="AB274" s="860">
        <v>0</v>
      </c>
      <c r="AC274" s="860">
        <v>0</v>
      </c>
      <c r="AD274" s="860">
        <v>0</v>
      </c>
      <c r="AE274" s="860">
        <v>0</v>
      </c>
      <c r="AF274" s="860">
        <v>0</v>
      </c>
      <c r="AG274" s="860">
        <v>0</v>
      </c>
      <c r="AH274" s="860">
        <v>0</v>
      </c>
      <c r="AI274" s="860">
        <v>0</v>
      </c>
      <c r="AJ274" s="860">
        <v>0</v>
      </c>
      <c r="AK274" s="860">
        <v>0</v>
      </c>
      <c r="AL274" s="860">
        <v>0</v>
      </c>
      <c r="AM274" s="860">
        <v>0</v>
      </c>
      <c r="AN274" s="860">
        <v>0</v>
      </c>
      <c r="AO274" s="860">
        <v>0</v>
      </c>
      <c r="AP274" s="860">
        <v>0</v>
      </c>
      <c r="AQ274" s="860">
        <v>0</v>
      </c>
      <c r="AR274" s="860">
        <v>0</v>
      </c>
      <c r="AS274" s="860">
        <v>0</v>
      </c>
      <c r="AT274" s="860">
        <v>0</v>
      </c>
      <c r="AU274" s="860">
        <v>0</v>
      </c>
      <c r="AV274" s="860">
        <v>0</v>
      </c>
      <c r="AW274" s="860">
        <v>0</v>
      </c>
      <c r="AX274" s="860">
        <v>0</v>
      </c>
      <c r="AY274" s="860">
        <v>0</v>
      </c>
      <c r="AZ274" s="860">
        <v>0</v>
      </c>
      <c r="BA274" s="860">
        <v>0</v>
      </c>
      <c r="BB274" s="860">
        <v>0</v>
      </c>
      <c r="BC274" s="860">
        <v>0</v>
      </c>
      <c r="BD274" s="860">
        <v>0</v>
      </c>
      <c r="BE274" s="860">
        <v>0</v>
      </c>
      <c r="BF274" s="860">
        <v>0</v>
      </c>
      <c r="BG274" s="860">
        <v>0</v>
      </c>
      <c r="BH274" s="860">
        <v>0</v>
      </c>
      <c r="BI274" s="860">
        <v>0</v>
      </c>
      <c r="BJ274" s="860">
        <v>0</v>
      </c>
      <c r="BK274" s="860">
        <v>0</v>
      </c>
      <c r="BL274" s="860">
        <v>0</v>
      </c>
      <c r="BM274" s="860">
        <v>0</v>
      </c>
      <c r="BN274" s="860">
        <v>0</v>
      </c>
      <c r="BO274" s="860">
        <v>0</v>
      </c>
      <c r="BP274" s="860">
        <v>0</v>
      </c>
      <c r="BQ274" s="860">
        <v>0</v>
      </c>
      <c r="BR274" s="860">
        <v>0</v>
      </c>
      <c r="BS274" s="860">
        <v>0</v>
      </c>
      <c r="BT274" s="860">
        <v>0</v>
      </c>
      <c r="BU274" s="860">
        <v>0</v>
      </c>
      <c r="BV274" s="860">
        <v>0</v>
      </c>
      <c r="BW274" s="860">
        <v>0</v>
      </c>
      <c r="BX274" s="860">
        <v>0</v>
      </c>
      <c r="BY274" s="860">
        <v>0</v>
      </c>
      <c r="BZ274" s="860">
        <v>0</v>
      </c>
      <c r="CA274" s="860">
        <v>0</v>
      </c>
      <c r="CB274" s="860">
        <v>0</v>
      </c>
    </row>
    <row r="275" spans="1:80" x14ac:dyDescent="0.25">
      <c r="A275" s="860">
        <v>615</v>
      </c>
      <c r="B275" s="860">
        <v>615</v>
      </c>
      <c r="C275" s="860" t="s">
        <v>815</v>
      </c>
      <c r="D275" s="860"/>
      <c r="E275" s="861">
        <v>0</v>
      </c>
      <c r="F275" s="861">
        <v>0</v>
      </c>
      <c r="G275" s="861">
        <v>0</v>
      </c>
      <c r="H275" s="861">
        <v>0</v>
      </c>
      <c r="I275" s="861">
        <v>0</v>
      </c>
      <c r="J275" s="861">
        <v>0</v>
      </c>
      <c r="K275" s="861">
        <v>0</v>
      </c>
      <c r="L275" s="861">
        <v>0</v>
      </c>
      <c r="M275" s="861">
        <v>0</v>
      </c>
      <c r="N275" s="861">
        <v>0</v>
      </c>
      <c r="O275" s="861">
        <v>0</v>
      </c>
      <c r="P275" s="861">
        <v>0</v>
      </c>
      <c r="Q275" s="861">
        <v>0</v>
      </c>
      <c r="R275" s="861">
        <v>0</v>
      </c>
      <c r="S275" s="861">
        <v>0</v>
      </c>
      <c r="T275" s="861">
        <v>0</v>
      </c>
      <c r="U275" s="861">
        <v>0</v>
      </c>
      <c r="V275" s="861">
        <v>0</v>
      </c>
      <c r="W275" s="861">
        <v>0</v>
      </c>
      <c r="X275" s="861">
        <v>0</v>
      </c>
      <c r="Y275" s="861">
        <v>0</v>
      </c>
      <c r="Z275" s="861">
        <v>0</v>
      </c>
      <c r="AA275" s="861">
        <v>0</v>
      </c>
      <c r="AB275" s="861">
        <v>0</v>
      </c>
      <c r="AC275" s="861">
        <v>0</v>
      </c>
      <c r="AD275" s="861">
        <v>0</v>
      </c>
      <c r="AE275" s="861">
        <v>0</v>
      </c>
      <c r="AF275" s="861">
        <v>0</v>
      </c>
      <c r="AG275" s="861">
        <v>0</v>
      </c>
      <c r="AH275" s="861">
        <v>0</v>
      </c>
      <c r="AI275" s="861">
        <v>0</v>
      </c>
      <c r="AJ275" s="861">
        <v>0</v>
      </c>
      <c r="AK275" s="861">
        <v>0</v>
      </c>
      <c r="AL275" s="861">
        <v>0</v>
      </c>
      <c r="AM275" s="861">
        <v>0</v>
      </c>
      <c r="AN275" s="861">
        <v>0</v>
      </c>
      <c r="AO275" s="861">
        <v>0</v>
      </c>
      <c r="AP275" s="861">
        <v>0</v>
      </c>
      <c r="AQ275" s="861">
        <v>0</v>
      </c>
      <c r="AR275" s="861">
        <v>0</v>
      </c>
      <c r="AS275" s="861">
        <v>0</v>
      </c>
      <c r="AT275" s="861">
        <v>0</v>
      </c>
      <c r="AU275" s="861">
        <v>0</v>
      </c>
      <c r="AV275" s="861">
        <v>0</v>
      </c>
      <c r="AW275" s="861">
        <v>0</v>
      </c>
      <c r="AX275" s="861">
        <v>0</v>
      </c>
      <c r="AY275" s="861">
        <v>0</v>
      </c>
      <c r="AZ275" s="861">
        <v>0</v>
      </c>
      <c r="BA275" s="861">
        <v>0</v>
      </c>
      <c r="BB275" s="861">
        <v>0</v>
      </c>
      <c r="BC275" s="861">
        <v>0</v>
      </c>
      <c r="BD275" s="861">
        <v>0</v>
      </c>
      <c r="BE275" s="861">
        <v>0</v>
      </c>
      <c r="BF275" s="861">
        <v>0</v>
      </c>
      <c r="BG275" s="861">
        <v>0</v>
      </c>
      <c r="BH275" s="861">
        <v>0</v>
      </c>
      <c r="BI275" s="861">
        <v>0</v>
      </c>
      <c r="BJ275" s="861">
        <v>0</v>
      </c>
      <c r="BK275" s="861">
        <v>0</v>
      </c>
      <c r="BL275" s="861">
        <v>0</v>
      </c>
      <c r="BM275" s="861">
        <v>0</v>
      </c>
      <c r="BN275" s="861">
        <v>0</v>
      </c>
      <c r="BO275" s="861">
        <v>0</v>
      </c>
      <c r="BP275" s="861">
        <v>0</v>
      </c>
      <c r="BQ275" s="861">
        <v>0</v>
      </c>
      <c r="BR275" s="861">
        <v>0</v>
      </c>
      <c r="BS275" s="861">
        <v>0</v>
      </c>
      <c r="BT275" s="861">
        <v>0</v>
      </c>
      <c r="BU275" s="861">
        <v>0</v>
      </c>
      <c r="BV275" s="861">
        <v>0</v>
      </c>
      <c r="BW275" s="861">
        <v>0</v>
      </c>
      <c r="BX275" s="861">
        <v>0</v>
      </c>
      <c r="BY275" s="861">
        <v>0</v>
      </c>
      <c r="BZ275" s="861">
        <v>0</v>
      </c>
      <c r="CA275" s="861">
        <v>0</v>
      </c>
      <c r="CB275" s="861">
        <v>0</v>
      </c>
    </row>
    <row r="276" spans="1:80" x14ac:dyDescent="0.25">
      <c r="A276" s="860">
        <v>616</v>
      </c>
      <c r="B276" s="860">
        <v>616</v>
      </c>
      <c r="C276" s="860" t="s">
        <v>796</v>
      </c>
      <c r="D276" s="860"/>
      <c r="E276" s="860">
        <v>0</v>
      </c>
      <c r="F276" s="860">
        <v>0</v>
      </c>
      <c r="G276" s="860">
        <v>0</v>
      </c>
      <c r="H276" s="860">
        <v>0</v>
      </c>
      <c r="I276" s="860">
        <v>0</v>
      </c>
      <c r="J276" s="860">
        <v>0</v>
      </c>
      <c r="K276" s="860">
        <v>0</v>
      </c>
      <c r="L276" s="860">
        <v>0</v>
      </c>
      <c r="M276" s="860">
        <v>0</v>
      </c>
      <c r="N276" s="860">
        <v>0</v>
      </c>
      <c r="O276" s="860">
        <v>0</v>
      </c>
      <c r="P276" s="860">
        <v>0</v>
      </c>
      <c r="Q276" s="860">
        <v>0</v>
      </c>
      <c r="R276" s="860">
        <v>0</v>
      </c>
      <c r="S276" s="860">
        <v>0</v>
      </c>
      <c r="T276" s="860">
        <v>0</v>
      </c>
      <c r="U276" s="860">
        <v>0</v>
      </c>
      <c r="V276" s="860">
        <v>0</v>
      </c>
      <c r="W276" s="860">
        <v>0</v>
      </c>
      <c r="X276" s="860">
        <v>0</v>
      </c>
      <c r="Y276" s="860">
        <v>0</v>
      </c>
      <c r="Z276" s="860">
        <v>0</v>
      </c>
      <c r="AA276" s="860">
        <v>0</v>
      </c>
      <c r="AB276" s="860">
        <v>403634</v>
      </c>
      <c r="AC276" s="860">
        <v>0</v>
      </c>
      <c r="AD276" s="860">
        <v>0</v>
      </c>
      <c r="AE276" s="860">
        <v>0</v>
      </c>
      <c r="AF276" s="860">
        <v>0</v>
      </c>
      <c r="AG276" s="860">
        <v>0</v>
      </c>
      <c r="AH276" s="860">
        <v>0</v>
      </c>
      <c r="AI276" s="860">
        <v>0</v>
      </c>
      <c r="AJ276" s="860">
        <v>0</v>
      </c>
      <c r="AK276" s="860">
        <v>0</v>
      </c>
      <c r="AL276" s="860">
        <v>0</v>
      </c>
      <c r="AM276" s="860">
        <v>0</v>
      </c>
      <c r="AN276" s="860">
        <v>0</v>
      </c>
      <c r="AO276" s="860">
        <v>0</v>
      </c>
      <c r="AP276" s="860">
        <v>0</v>
      </c>
      <c r="AQ276" s="860">
        <v>0</v>
      </c>
      <c r="AR276" s="860">
        <v>0</v>
      </c>
      <c r="AS276" s="860">
        <v>0</v>
      </c>
      <c r="AT276" s="860">
        <v>0</v>
      </c>
      <c r="AU276" s="860">
        <v>0</v>
      </c>
      <c r="AV276" s="860">
        <v>0</v>
      </c>
      <c r="AW276" s="860">
        <v>0</v>
      </c>
      <c r="AX276" s="860">
        <v>0</v>
      </c>
      <c r="AY276" s="860">
        <v>0</v>
      </c>
      <c r="AZ276" s="860">
        <v>0</v>
      </c>
      <c r="BA276" s="860">
        <v>0</v>
      </c>
      <c r="BB276" s="860">
        <v>0</v>
      </c>
      <c r="BC276" s="860">
        <v>0</v>
      </c>
      <c r="BD276" s="860">
        <v>0</v>
      </c>
      <c r="BE276" s="860">
        <v>0</v>
      </c>
      <c r="BF276" s="860">
        <v>0</v>
      </c>
      <c r="BG276" s="860">
        <v>0</v>
      </c>
      <c r="BH276" s="860">
        <v>0</v>
      </c>
      <c r="BI276" s="860">
        <v>0</v>
      </c>
      <c r="BJ276" s="860">
        <v>0</v>
      </c>
      <c r="BK276" s="860">
        <v>0</v>
      </c>
      <c r="BL276" s="860">
        <v>0</v>
      </c>
      <c r="BM276" s="860">
        <v>0</v>
      </c>
      <c r="BN276" s="860">
        <v>0</v>
      </c>
      <c r="BO276" s="860">
        <v>0</v>
      </c>
      <c r="BP276" s="860">
        <v>0</v>
      </c>
      <c r="BQ276" s="860">
        <v>0</v>
      </c>
      <c r="BR276" s="860">
        <v>0</v>
      </c>
      <c r="BS276" s="860">
        <v>0</v>
      </c>
      <c r="BT276" s="860">
        <v>0</v>
      </c>
      <c r="BU276" s="860">
        <v>0</v>
      </c>
      <c r="BV276" s="860">
        <v>0</v>
      </c>
      <c r="BW276" s="860">
        <v>0</v>
      </c>
      <c r="BX276" s="860">
        <v>0</v>
      </c>
      <c r="BY276" s="860">
        <v>0</v>
      </c>
      <c r="BZ276" s="860">
        <v>0</v>
      </c>
      <c r="CA276" s="860">
        <v>0</v>
      </c>
      <c r="CB276" s="860">
        <v>0</v>
      </c>
    </row>
    <row r="277" spans="1:80" x14ac:dyDescent="0.25">
      <c r="A277" s="860">
        <v>617</v>
      </c>
      <c r="B277" s="860">
        <v>617</v>
      </c>
      <c r="C277" s="860" t="s">
        <v>797</v>
      </c>
      <c r="D277" s="860"/>
      <c r="E277" s="860">
        <v>0</v>
      </c>
      <c r="F277" s="860">
        <v>0</v>
      </c>
      <c r="G277" s="860">
        <v>0</v>
      </c>
      <c r="H277" s="860">
        <v>0</v>
      </c>
      <c r="I277" s="860">
        <v>0</v>
      </c>
      <c r="J277" s="860">
        <v>0</v>
      </c>
      <c r="K277" s="860">
        <v>0</v>
      </c>
      <c r="L277" s="860">
        <v>0</v>
      </c>
      <c r="M277" s="860">
        <v>0</v>
      </c>
      <c r="N277" s="860">
        <v>0</v>
      </c>
      <c r="O277" s="860">
        <v>0</v>
      </c>
      <c r="P277" s="860">
        <v>0</v>
      </c>
      <c r="Q277" s="860">
        <v>0</v>
      </c>
      <c r="R277" s="860">
        <v>0</v>
      </c>
      <c r="S277" s="860">
        <v>0</v>
      </c>
      <c r="T277" s="860">
        <v>0</v>
      </c>
      <c r="U277" s="860">
        <v>0</v>
      </c>
      <c r="V277" s="860">
        <v>0</v>
      </c>
      <c r="W277" s="860">
        <v>0</v>
      </c>
      <c r="X277" s="860">
        <v>0</v>
      </c>
      <c r="Y277" s="860">
        <v>0</v>
      </c>
      <c r="Z277" s="860">
        <v>0</v>
      </c>
      <c r="AA277" s="860">
        <v>0</v>
      </c>
      <c r="AB277" s="860">
        <v>0</v>
      </c>
      <c r="AC277" s="860">
        <v>0</v>
      </c>
      <c r="AD277" s="860">
        <v>0</v>
      </c>
      <c r="AE277" s="860">
        <v>0</v>
      </c>
      <c r="AF277" s="860">
        <v>0</v>
      </c>
      <c r="AG277" s="860">
        <v>0</v>
      </c>
      <c r="AH277" s="860">
        <v>0</v>
      </c>
      <c r="AI277" s="860">
        <v>0</v>
      </c>
      <c r="AJ277" s="860">
        <v>0</v>
      </c>
      <c r="AK277" s="860">
        <v>0</v>
      </c>
      <c r="AL277" s="860">
        <v>0</v>
      </c>
      <c r="AM277" s="860">
        <v>0</v>
      </c>
      <c r="AN277" s="860">
        <v>0</v>
      </c>
      <c r="AO277" s="860">
        <v>0</v>
      </c>
      <c r="AP277" s="860">
        <v>0</v>
      </c>
      <c r="AQ277" s="860">
        <v>0</v>
      </c>
      <c r="AR277" s="860">
        <v>0</v>
      </c>
      <c r="AS277" s="860">
        <v>0</v>
      </c>
      <c r="AT277" s="860">
        <v>0</v>
      </c>
      <c r="AU277" s="860">
        <v>0</v>
      </c>
      <c r="AV277" s="860">
        <v>0</v>
      </c>
      <c r="AW277" s="860">
        <v>0</v>
      </c>
      <c r="AX277" s="860">
        <v>0</v>
      </c>
      <c r="AY277" s="860">
        <v>0</v>
      </c>
      <c r="AZ277" s="860">
        <v>0</v>
      </c>
      <c r="BA277" s="860">
        <v>0</v>
      </c>
      <c r="BB277" s="860">
        <v>0</v>
      </c>
      <c r="BC277" s="860">
        <v>0</v>
      </c>
      <c r="BD277" s="860">
        <v>0</v>
      </c>
      <c r="BE277" s="860">
        <v>0</v>
      </c>
      <c r="BF277" s="860">
        <v>0</v>
      </c>
      <c r="BG277" s="860">
        <v>0</v>
      </c>
      <c r="BH277" s="860">
        <v>0</v>
      </c>
      <c r="BI277" s="860">
        <v>0</v>
      </c>
      <c r="BJ277" s="860">
        <v>0</v>
      </c>
      <c r="BK277" s="860">
        <v>0</v>
      </c>
      <c r="BL277" s="860">
        <v>0</v>
      </c>
      <c r="BM277" s="860">
        <v>0</v>
      </c>
      <c r="BN277" s="860">
        <v>0</v>
      </c>
      <c r="BO277" s="860">
        <v>0</v>
      </c>
      <c r="BP277" s="860">
        <v>0</v>
      </c>
      <c r="BQ277" s="860">
        <v>0</v>
      </c>
      <c r="BR277" s="860">
        <v>0</v>
      </c>
      <c r="BS277" s="860">
        <v>0</v>
      </c>
      <c r="BT277" s="860">
        <v>0</v>
      </c>
      <c r="BU277" s="860">
        <v>0</v>
      </c>
      <c r="BV277" s="860">
        <v>0</v>
      </c>
      <c r="BW277" s="860">
        <v>0</v>
      </c>
      <c r="BX277" s="860">
        <v>0</v>
      </c>
      <c r="BY277" s="860">
        <v>0</v>
      </c>
      <c r="BZ277" s="860">
        <v>0</v>
      </c>
      <c r="CA277" s="860">
        <v>0</v>
      </c>
      <c r="CB277" s="860">
        <v>0</v>
      </c>
    </row>
    <row r="278" spans="1:80" x14ac:dyDescent="0.25">
      <c r="A278" s="860">
        <v>618</v>
      </c>
      <c r="B278" s="860">
        <v>618</v>
      </c>
      <c r="C278" s="860" t="s">
        <v>816</v>
      </c>
      <c r="D278" s="860"/>
      <c r="E278" s="861">
        <v>0</v>
      </c>
      <c r="F278" s="861">
        <v>0</v>
      </c>
      <c r="G278" s="861">
        <v>0</v>
      </c>
      <c r="H278" s="861">
        <v>0</v>
      </c>
      <c r="I278" s="861">
        <v>0</v>
      </c>
      <c r="J278" s="861">
        <v>0</v>
      </c>
      <c r="K278" s="861">
        <v>0</v>
      </c>
      <c r="L278" s="861">
        <v>0</v>
      </c>
      <c r="M278" s="861">
        <v>0</v>
      </c>
      <c r="N278" s="861">
        <v>0</v>
      </c>
      <c r="O278" s="861">
        <v>0</v>
      </c>
      <c r="P278" s="861">
        <v>0</v>
      </c>
      <c r="Q278" s="861">
        <v>0</v>
      </c>
      <c r="R278" s="861">
        <v>0</v>
      </c>
      <c r="S278" s="861">
        <v>0</v>
      </c>
      <c r="T278" s="861">
        <v>0</v>
      </c>
      <c r="U278" s="861">
        <v>0</v>
      </c>
      <c r="V278" s="861">
        <v>0</v>
      </c>
      <c r="W278" s="861">
        <v>0</v>
      </c>
      <c r="X278" s="861">
        <v>0</v>
      </c>
      <c r="Y278" s="861">
        <v>0</v>
      </c>
      <c r="Z278" s="861">
        <v>0</v>
      </c>
      <c r="AA278" s="861">
        <v>0</v>
      </c>
      <c r="AB278" s="861">
        <v>0</v>
      </c>
      <c r="AC278" s="861">
        <v>0</v>
      </c>
      <c r="AD278" s="861">
        <v>0</v>
      </c>
      <c r="AE278" s="861">
        <v>0</v>
      </c>
      <c r="AF278" s="861">
        <v>0</v>
      </c>
      <c r="AG278" s="861">
        <v>0</v>
      </c>
      <c r="AH278" s="861">
        <v>0</v>
      </c>
      <c r="AI278" s="861">
        <v>0</v>
      </c>
      <c r="AJ278" s="861">
        <v>0</v>
      </c>
      <c r="AK278" s="861">
        <v>0</v>
      </c>
      <c r="AL278" s="861">
        <v>0</v>
      </c>
      <c r="AM278" s="861">
        <v>0</v>
      </c>
      <c r="AN278" s="861">
        <v>0</v>
      </c>
      <c r="AO278" s="861">
        <v>0</v>
      </c>
      <c r="AP278" s="861">
        <v>0</v>
      </c>
      <c r="AQ278" s="861">
        <v>0</v>
      </c>
      <c r="AR278" s="861">
        <v>0</v>
      </c>
      <c r="AS278" s="861">
        <v>0</v>
      </c>
      <c r="AT278" s="861">
        <v>0</v>
      </c>
      <c r="AU278" s="861">
        <v>0</v>
      </c>
      <c r="AV278" s="861">
        <v>0</v>
      </c>
      <c r="AW278" s="861">
        <v>0</v>
      </c>
      <c r="AX278" s="861">
        <v>0</v>
      </c>
      <c r="AY278" s="861">
        <v>0</v>
      </c>
      <c r="AZ278" s="861">
        <v>0</v>
      </c>
      <c r="BA278" s="861">
        <v>0</v>
      </c>
      <c r="BB278" s="861">
        <v>0</v>
      </c>
      <c r="BC278" s="861">
        <v>0</v>
      </c>
      <c r="BD278" s="861">
        <v>0</v>
      </c>
      <c r="BE278" s="861">
        <v>0</v>
      </c>
      <c r="BF278" s="861">
        <v>0</v>
      </c>
      <c r="BG278" s="861">
        <v>0</v>
      </c>
      <c r="BH278" s="861">
        <v>0</v>
      </c>
      <c r="BI278" s="861">
        <v>0</v>
      </c>
      <c r="BJ278" s="861">
        <v>0</v>
      </c>
      <c r="BK278" s="861">
        <v>0</v>
      </c>
      <c r="BL278" s="861">
        <v>0</v>
      </c>
      <c r="BM278" s="861">
        <v>0</v>
      </c>
      <c r="BN278" s="861">
        <v>0</v>
      </c>
      <c r="BO278" s="861">
        <v>0</v>
      </c>
      <c r="BP278" s="861">
        <v>0</v>
      </c>
      <c r="BQ278" s="861">
        <v>0</v>
      </c>
      <c r="BR278" s="861">
        <v>0</v>
      </c>
      <c r="BS278" s="861">
        <v>0</v>
      </c>
      <c r="BT278" s="861">
        <v>0</v>
      </c>
      <c r="BU278" s="861">
        <v>0</v>
      </c>
      <c r="BV278" s="861">
        <v>0</v>
      </c>
      <c r="BW278" s="861">
        <v>0</v>
      </c>
      <c r="BX278" s="861">
        <v>0</v>
      </c>
      <c r="BY278" s="861">
        <v>0</v>
      </c>
      <c r="BZ278" s="861">
        <v>0</v>
      </c>
      <c r="CA278" s="861">
        <v>0</v>
      </c>
      <c r="CB278" s="861">
        <v>0</v>
      </c>
    </row>
    <row r="279" spans="1:80" x14ac:dyDescent="0.25">
      <c r="A279" s="860">
        <v>619</v>
      </c>
      <c r="B279" s="860">
        <v>619</v>
      </c>
      <c r="C279" s="860" t="s">
        <v>818</v>
      </c>
      <c r="D279" s="860"/>
      <c r="E279" s="861">
        <v>0</v>
      </c>
      <c r="F279" s="861">
        <v>0</v>
      </c>
      <c r="G279" s="861">
        <v>0</v>
      </c>
      <c r="H279" s="861">
        <v>0</v>
      </c>
      <c r="I279" s="861">
        <v>0</v>
      </c>
      <c r="J279" s="861">
        <v>0</v>
      </c>
      <c r="K279" s="861">
        <v>0</v>
      </c>
      <c r="L279" s="861">
        <v>0</v>
      </c>
      <c r="M279" s="861">
        <v>0</v>
      </c>
      <c r="N279" s="861">
        <v>0</v>
      </c>
      <c r="O279" s="861">
        <v>0</v>
      </c>
      <c r="P279" s="861">
        <v>0</v>
      </c>
      <c r="Q279" s="861">
        <v>0</v>
      </c>
      <c r="R279" s="861">
        <v>0</v>
      </c>
      <c r="S279" s="861">
        <v>0</v>
      </c>
      <c r="T279" s="861">
        <v>0</v>
      </c>
      <c r="U279" s="861">
        <v>0</v>
      </c>
      <c r="V279" s="861">
        <v>0</v>
      </c>
      <c r="W279" s="861">
        <v>0</v>
      </c>
      <c r="X279" s="861">
        <v>0</v>
      </c>
      <c r="Y279" s="861">
        <v>0</v>
      </c>
      <c r="Z279" s="861">
        <v>0</v>
      </c>
      <c r="AA279" s="861">
        <v>0</v>
      </c>
      <c r="AB279" s="861">
        <v>0</v>
      </c>
      <c r="AC279" s="861">
        <v>0</v>
      </c>
      <c r="AD279" s="861">
        <v>0</v>
      </c>
      <c r="AE279" s="861">
        <v>0</v>
      </c>
      <c r="AF279" s="861">
        <v>0</v>
      </c>
      <c r="AG279" s="861">
        <v>0</v>
      </c>
      <c r="AH279" s="861">
        <v>0</v>
      </c>
      <c r="AI279" s="861">
        <v>0</v>
      </c>
      <c r="AJ279" s="861">
        <v>0</v>
      </c>
      <c r="AK279" s="861">
        <v>0</v>
      </c>
      <c r="AL279" s="861">
        <v>0</v>
      </c>
      <c r="AM279" s="861">
        <v>0</v>
      </c>
      <c r="AN279" s="861">
        <v>0</v>
      </c>
      <c r="AO279" s="861">
        <v>0</v>
      </c>
      <c r="AP279" s="861">
        <v>0</v>
      </c>
      <c r="AQ279" s="861">
        <v>0</v>
      </c>
      <c r="AR279" s="861">
        <v>0</v>
      </c>
      <c r="AS279" s="861">
        <v>0</v>
      </c>
      <c r="AT279" s="861">
        <v>0</v>
      </c>
      <c r="AU279" s="861">
        <v>0</v>
      </c>
      <c r="AV279" s="861">
        <v>0</v>
      </c>
      <c r="AW279" s="861">
        <v>0</v>
      </c>
      <c r="AX279" s="861">
        <v>0</v>
      </c>
      <c r="AY279" s="861">
        <v>0</v>
      </c>
      <c r="AZ279" s="861">
        <v>0</v>
      </c>
      <c r="BA279" s="861">
        <v>0</v>
      </c>
      <c r="BB279" s="861">
        <v>0</v>
      </c>
      <c r="BC279" s="861">
        <v>0</v>
      </c>
      <c r="BD279" s="861">
        <v>0</v>
      </c>
      <c r="BE279" s="861">
        <v>0</v>
      </c>
      <c r="BF279" s="861">
        <v>0</v>
      </c>
      <c r="BG279" s="861">
        <v>0</v>
      </c>
      <c r="BH279" s="861">
        <v>0</v>
      </c>
      <c r="BI279" s="861">
        <v>0</v>
      </c>
      <c r="BJ279" s="861">
        <v>0</v>
      </c>
      <c r="BK279" s="861">
        <v>0</v>
      </c>
      <c r="BL279" s="861">
        <v>0</v>
      </c>
      <c r="BM279" s="861">
        <v>0</v>
      </c>
      <c r="BN279" s="861">
        <v>0</v>
      </c>
      <c r="BO279" s="861">
        <v>0</v>
      </c>
      <c r="BP279" s="861">
        <v>0</v>
      </c>
      <c r="BQ279" s="861">
        <v>0</v>
      </c>
      <c r="BR279" s="861">
        <v>0</v>
      </c>
      <c r="BS279" s="861">
        <v>0</v>
      </c>
      <c r="BT279" s="861">
        <v>0</v>
      </c>
      <c r="BU279" s="861">
        <v>0</v>
      </c>
      <c r="BV279" s="861">
        <v>0</v>
      </c>
      <c r="BW279" s="861">
        <v>0</v>
      </c>
      <c r="BX279" s="861">
        <v>0</v>
      </c>
      <c r="BY279" s="861">
        <v>0</v>
      </c>
      <c r="BZ279" s="861">
        <v>0</v>
      </c>
      <c r="CA279" s="861">
        <v>0</v>
      </c>
      <c r="CB279" s="861">
        <v>0</v>
      </c>
    </row>
    <row r="280" spans="1:80" x14ac:dyDescent="0.25">
      <c r="A280" s="860">
        <v>620</v>
      </c>
      <c r="B280" s="860">
        <v>620</v>
      </c>
      <c r="C280" s="860" t="s">
        <v>806</v>
      </c>
      <c r="D280" s="860"/>
      <c r="E280" s="861">
        <v>1</v>
      </c>
      <c r="F280" s="861">
        <v>1</v>
      </c>
      <c r="G280" s="861">
        <v>0</v>
      </c>
      <c r="H280" s="861">
        <v>1</v>
      </c>
      <c r="I280" s="861">
        <v>2</v>
      </c>
      <c r="J280" s="861">
        <v>2</v>
      </c>
      <c r="K280" s="861">
        <v>2</v>
      </c>
      <c r="L280" s="861">
        <v>2</v>
      </c>
      <c r="M280" s="861">
        <v>2</v>
      </c>
      <c r="N280" s="861">
        <v>2</v>
      </c>
      <c r="O280" s="861">
        <v>2</v>
      </c>
      <c r="P280" s="861">
        <v>2</v>
      </c>
      <c r="Q280" s="861">
        <v>2</v>
      </c>
      <c r="R280" s="861">
        <v>2</v>
      </c>
      <c r="S280" s="861">
        <v>2</v>
      </c>
      <c r="T280" s="861">
        <v>2</v>
      </c>
      <c r="U280" s="861">
        <v>0</v>
      </c>
      <c r="V280" s="861">
        <v>2</v>
      </c>
      <c r="W280" s="861">
        <v>2</v>
      </c>
      <c r="X280" s="861">
        <v>2</v>
      </c>
      <c r="Y280" s="861">
        <v>1</v>
      </c>
      <c r="Z280" s="861">
        <v>2</v>
      </c>
      <c r="AA280" s="861">
        <v>1</v>
      </c>
      <c r="AB280" s="861">
        <v>1</v>
      </c>
      <c r="AC280" s="861">
        <v>2</v>
      </c>
      <c r="AD280" s="861">
        <v>1</v>
      </c>
      <c r="AE280" s="861">
        <v>2</v>
      </c>
      <c r="AF280" s="861">
        <v>2</v>
      </c>
      <c r="AG280" s="861">
        <v>1</v>
      </c>
      <c r="AH280" s="861">
        <v>0</v>
      </c>
      <c r="AI280" s="861">
        <v>2</v>
      </c>
      <c r="AJ280" s="861">
        <v>2</v>
      </c>
      <c r="AK280" s="861">
        <v>2</v>
      </c>
      <c r="AL280" s="861">
        <v>2</v>
      </c>
      <c r="AM280" s="861">
        <v>2</v>
      </c>
      <c r="AN280" s="861">
        <v>2</v>
      </c>
      <c r="AO280" s="861">
        <v>0</v>
      </c>
      <c r="AP280" s="861">
        <v>2</v>
      </c>
      <c r="AQ280" s="861">
        <v>2</v>
      </c>
      <c r="AR280" s="861">
        <v>1</v>
      </c>
      <c r="AS280" s="861">
        <v>2</v>
      </c>
      <c r="AT280" s="861">
        <v>2</v>
      </c>
      <c r="AU280" s="861">
        <v>2</v>
      </c>
      <c r="AV280" s="861">
        <v>2</v>
      </c>
      <c r="AW280" s="861">
        <v>2</v>
      </c>
      <c r="AX280" s="861">
        <v>2</v>
      </c>
      <c r="AY280" s="861">
        <v>2</v>
      </c>
      <c r="AZ280" s="861">
        <v>2</v>
      </c>
      <c r="BA280" s="861">
        <v>2</v>
      </c>
      <c r="BB280" s="861">
        <v>2</v>
      </c>
      <c r="BC280" s="861">
        <v>0</v>
      </c>
      <c r="BD280" s="861">
        <v>0</v>
      </c>
      <c r="BE280" s="861">
        <v>0</v>
      </c>
      <c r="BF280" s="861">
        <v>0</v>
      </c>
      <c r="BG280" s="861">
        <v>2</v>
      </c>
      <c r="BH280" s="861">
        <v>2</v>
      </c>
      <c r="BI280" s="861">
        <v>2</v>
      </c>
      <c r="BJ280" s="861">
        <v>2</v>
      </c>
      <c r="BK280" s="861">
        <v>0</v>
      </c>
      <c r="BL280" s="861">
        <v>2</v>
      </c>
      <c r="BM280" s="861">
        <v>2</v>
      </c>
      <c r="BN280" s="861">
        <v>0</v>
      </c>
      <c r="BO280" s="861">
        <v>2</v>
      </c>
      <c r="BP280" s="861">
        <v>2</v>
      </c>
      <c r="BQ280" s="861">
        <v>2</v>
      </c>
      <c r="BR280" s="861">
        <v>2</v>
      </c>
      <c r="BS280" s="861">
        <v>2</v>
      </c>
      <c r="BT280" s="861">
        <v>2</v>
      </c>
      <c r="BU280" s="861">
        <v>2</v>
      </c>
      <c r="BV280" s="861">
        <v>2</v>
      </c>
      <c r="BW280" s="861">
        <v>2</v>
      </c>
      <c r="BX280" s="861">
        <v>2</v>
      </c>
      <c r="BY280" s="861">
        <v>2</v>
      </c>
      <c r="BZ280" s="861">
        <v>2</v>
      </c>
      <c r="CA280" s="861">
        <v>1</v>
      </c>
      <c r="CB280" s="861">
        <v>2</v>
      </c>
    </row>
    <row r="281" spans="1:80" x14ac:dyDescent="0.25">
      <c r="A281" s="860">
        <v>621</v>
      </c>
      <c r="B281" s="860">
        <v>621</v>
      </c>
      <c r="C281" s="860" t="s">
        <v>824</v>
      </c>
      <c r="D281" s="860"/>
      <c r="E281" s="861">
        <v>0</v>
      </c>
      <c r="F281" s="861">
        <v>0</v>
      </c>
      <c r="G281" s="861">
        <v>0</v>
      </c>
      <c r="H281" s="861">
        <v>0</v>
      </c>
      <c r="I281" s="861">
        <v>0</v>
      </c>
      <c r="J281" s="861">
        <v>0</v>
      </c>
      <c r="K281" s="861">
        <v>0</v>
      </c>
      <c r="L281" s="861">
        <v>0</v>
      </c>
      <c r="M281" s="861">
        <v>0</v>
      </c>
      <c r="N281" s="861">
        <v>0</v>
      </c>
      <c r="O281" s="861">
        <v>0</v>
      </c>
      <c r="P281" s="861">
        <v>0</v>
      </c>
      <c r="Q281" s="861">
        <v>0</v>
      </c>
      <c r="R281" s="861">
        <v>0</v>
      </c>
      <c r="S281" s="861">
        <v>0</v>
      </c>
      <c r="T281" s="861">
        <v>0</v>
      </c>
      <c r="U281" s="861">
        <v>0</v>
      </c>
      <c r="V281" s="861">
        <v>4743598</v>
      </c>
      <c r="W281" s="861">
        <v>0</v>
      </c>
      <c r="X281" s="861">
        <v>0</v>
      </c>
      <c r="Y281" s="861">
        <v>0</v>
      </c>
      <c r="Z281" s="861">
        <v>0</v>
      </c>
      <c r="AA281" s="861">
        <v>0</v>
      </c>
      <c r="AB281" s="861">
        <v>2243524</v>
      </c>
      <c r="AC281" s="861">
        <v>0</v>
      </c>
      <c r="AD281" s="861">
        <v>0</v>
      </c>
      <c r="AE281" s="861">
        <v>0</v>
      </c>
      <c r="AF281" s="861">
        <v>0</v>
      </c>
      <c r="AG281" s="861">
        <v>0</v>
      </c>
      <c r="AH281" s="861">
        <v>0</v>
      </c>
      <c r="AI281" s="861">
        <v>0</v>
      </c>
      <c r="AJ281" s="861">
        <v>0</v>
      </c>
      <c r="AK281" s="861">
        <v>0</v>
      </c>
      <c r="AL281" s="861">
        <v>0</v>
      </c>
      <c r="AM281" s="861">
        <v>0</v>
      </c>
      <c r="AN281" s="861">
        <v>0</v>
      </c>
      <c r="AO281" s="861">
        <v>0</v>
      </c>
      <c r="AP281" s="861">
        <v>0</v>
      </c>
      <c r="AQ281" s="861">
        <v>0</v>
      </c>
      <c r="AR281" s="861">
        <v>0</v>
      </c>
      <c r="AS281" s="861">
        <v>0</v>
      </c>
      <c r="AT281" s="861">
        <v>0</v>
      </c>
      <c r="AU281" s="861">
        <v>0</v>
      </c>
      <c r="AV281" s="861">
        <v>0</v>
      </c>
      <c r="AW281" s="861">
        <v>0</v>
      </c>
      <c r="AX281" s="861">
        <v>0</v>
      </c>
      <c r="AY281" s="861">
        <v>0</v>
      </c>
      <c r="AZ281" s="861">
        <v>0</v>
      </c>
      <c r="BA281" s="861">
        <v>0</v>
      </c>
      <c r="BB281" s="861">
        <v>0</v>
      </c>
      <c r="BC281" s="861">
        <v>0</v>
      </c>
      <c r="BD281" s="861">
        <v>0</v>
      </c>
      <c r="BE281" s="861">
        <v>0</v>
      </c>
      <c r="BF281" s="861">
        <v>0</v>
      </c>
      <c r="BG281" s="861">
        <v>0</v>
      </c>
      <c r="BH281" s="861">
        <v>0</v>
      </c>
      <c r="BI281" s="861">
        <v>0</v>
      </c>
      <c r="BJ281" s="861">
        <v>0</v>
      </c>
      <c r="BK281" s="861">
        <v>0</v>
      </c>
      <c r="BL281" s="861">
        <v>0</v>
      </c>
      <c r="BM281" s="861">
        <v>0</v>
      </c>
      <c r="BN281" s="861">
        <v>0</v>
      </c>
      <c r="BO281" s="861">
        <v>0</v>
      </c>
      <c r="BP281" s="861">
        <v>0</v>
      </c>
      <c r="BQ281" s="861">
        <v>0</v>
      </c>
      <c r="BR281" s="861">
        <v>0</v>
      </c>
      <c r="BS281" s="861">
        <v>0</v>
      </c>
      <c r="BT281" s="861">
        <v>0</v>
      </c>
      <c r="BU281" s="861">
        <v>0</v>
      </c>
      <c r="BV281" s="861">
        <v>0</v>
      </c>
      <c r="BW281" s="861">
        <v>0</v>
      </c>
      <c r="BX281" s="861">
        <v>0</v>
      </c>
      <c r="BY281" s="861">
        <v>0</v>
      </c>
      <c r="BZ281" s="861">
        <v>0</v>
      </c>
      <c r="CA281" s="861">
        <v>0</v>
      </c>
      <c r="CB281" s="861">
        <v>0</v>
      </c>
    </row>
    <row r="282" spans="1:80" x14ac:dyDescent="0.25">
      <c r="A282" s="860">
        <v>622</v>
      </c>
      <c r="B282" s="860">
        <v>622</v>
      </c>
      <c r="C282" s="860" t="s">
        <v>834</v>
      </c>
      <c r="D282" s="860"/>
      <c r="E282" s="861">
        <v>433190</v>
      </c>
      <c r="F282" s="861">
        <v>838148</v>
      </c>
      <c r="G282" s="861">
        <v>0</v>
      </c>
      <c r="H282" s="861">
        <v>9254032</v>
      </c>
      <c r="I282" s="861">
        <v>483721</v>
      </c>
      <c r="J282" s="861">
        <v>47448</v>
      </c>
      <c r="K282" s="861">
        <v>195718</v>
      </c>
      <c r="L282" s="861">
        <v>311251</v>
      </c>
      <c r="M282" s="861">
        <v>7117026</v>
      </c>
      <c r="N282" s="861">
        <v>0</v>
      </c>
      <c r="O282" s="861">
        <v>126446</v>
      </c>
      <c r="P282" s="861">
        <v>210190</v>
      </c>
      <c r="Q282" s="861">
        <v>5066136</v>
      </c>
      <c r="R282" s="861">
        <v>2372816</v>
      </c>
      <c r="S282" s="861">
        <v>1563803</v>
      </c>
      <c r="T282" s="861">
        <v>2938382</v>
      </c>
      <c r="U282" s="861">
        <v>0</v>
      </c>
      <c r="V282" s="861">
        <v>5135171</v>
      </c>
      <c r="W282" s="861">
        <v>0</v>
      </c>
      <c r="X282" s="861">
        <v>1041458</v>
      </c>
      <c r="Y282" s="861">
        <v>1954098</v>
      </c>
      <c r="Z282" s="861">
        <v>848824</v>
      </c>
      <c r="AA282" s="861">
        <v>347074</v>
      </c>
      <c r="AB282" s="861">
        <v>544926</v>
      </c>
      <c r="AC282" s="861">
        <v>0</v>
      </c>
      <c r="AD282" s="861">
        <v>0</v>
      </c>
      <c r="AE282" s="861">
        <v>160132</v>
      </c>
      <c r="AF282" s="861">
        <v>640295</v>
      </c>
      <c r="AG282" s="861">
        <v>0</v>
      </c>
      <c r="AH282" s="861">
        <v>0</v>
      </c>
      <c r="AI282" s="861">
        <v>0</v>
      </c>
      <c r="AJ282" s="861">
        <v>376728</v>
      </c>
      <c r="AK282" s="861">
        <v>2593444</v>
      </c>
      <c r="AL282" s="861">
        <v>21826</v>
      </c>
      <c r="AM282" s="861">
        <v>0</v>
      </c>
      <c r="AN282" s="861">
        <v>2239727</v>
      </c>
      <c r="AO282" s="861">
        <v>3518658</v>
      </c>
      <c r="AP282" s="861">
        <v>18504</v>
      </c>
      <c r="AQ282" s="861">
        <v>188838</v>
      </c>
      <c r="AR282" s="861">
        <v>5836199</v>
      </c>
      <c r="AS282" s="861">
        <v>496059</v>
      </c>
      <c r="AT282" s="861">
        <v>49582</v>
      </c>
      <c r="AU282" s="861">
        <v>668226</v>
      </c>
      <c r="AV282" s="861">
        <v>2261791</v>
      </c>
      <c r="AW282" s="861">
        <v>10438</v>
      </c>
      <c r="AX282" s="861">
        <v>85879</v>
      </c>
      <c r="AY282" s="861">
        <v>465216</v>
      </c>
      <c r="AZ282" s="861">
        <v>628196</v>
      </c>
      <c r="BA282" s="861">
        <v>1100529</v>
      </c>
      <c r="BB282" s="861">
        <v>0</v>
      </c>
      <c r="BC282" s="861">
        <v>0</v>
      </c>
      <c r="BD282" s="861">
        <v>0</v>
      </c>
      <c r="BE282" s="861">
        <v>0</v>
      </c>
      <c r="BF282" s="861">
        <v>0</v>
      </c>
      <c r="BG282" s="861">
        <v>65239</v>
      </c>
      <c r="BH282" s="861">
        <v>0</v>
      </c>
      <c r="BI282" s="861">
        <v>478264</v>
      </c>
      <c r="BJ282" s="861">
        <v>381473</v>
      </c>
      <c r="BK282" s="861">
        <v>0</v>
      </c>
      <c r="BL282" s="861">
        <v>895322</v>
      </c>
      <c r="BM282" s="861">
        <v>559398</v>
      </c>
      <c r="BN282" s="861">
        <v>0</v>
      </c>
      <c r="BO282" s="861">
        <v>1322818</v>
      </c>
      <c r="BP282" s="861">
        <v>340431</v>
      </c>
      <c r="BQ282" s="861">
        <v>160845</v>
      </c>
      <c r="BR282" s="861">
        <v>313149</v>
      </c>
      <c r="BS282" s="861">
        <v>34636</v>
      </c>
      <c r="BT282" s="861">
        <v>2787739</v>
      </c>
      <c r="BU282" s="861">
        <v>322639</v>
      </c>
      <c r="BV282" s="861">
        <v>538522</v>
      </c>
      <c r="BW282" s="861">
        <v>135223</v>
      </c>
      <c r="BX282" s="861">
        <v>36771</v>
      </c>
      <c r="BY282" s="861">
        <v>0</v>
      </c>
      <c r="BZ282" s="861">
        <v>0</v>
      </c>
      <c r="CA282" s="861">
        <v>2546709</v>
      </c>
      <c r="CB282" s="861">
        <v>0</v>
      </c>
    </row>
    <row r="283" spans="1:80" x14ac:dyDescent="0.25">
      <c r="A283" s="860">
        <v>624</v>
      </c>
      <c r="B283" s="860">
        <v>624</v>
      </c>
      <c r="C283" s="860" t="s">
        <v>829</v>
      </c>
      <c r="D283" s="860"/>
      <c r="E283" s="861">
        <v>2</v>
      </c>
      <c r="F283" s="861">
        <v>1</v>
      </c>
      <c r="G283" s="861">
        <v>0</v>
      </c>
      <c r="H283" s="861">
        <v>1</v>
      </c>
      <c r="I283" s="861">
        <v>1</v>
      </c>
      <c r="J283" s="861">
        <v>1</v>
      </c>
      <c r="K283" s="861">
        <v>2</v>
      </c>
      <c r="L283" s="861">
        <v>2</v>
      </c>
      <c r="M283" s="861">
        <v>1</v>
      </c>
      <c r="N283" s="861">
        <v>1</v>
      </c>
      <c r="O283" s="861">
        <v>1</v>
      </c>
      <c r="P283" s="861">
        <v>1</v>
      </c>
      <c r="Q283" s="861">
        <v>1</v>
      </c>
      <c r="R283" s="861">
        <v>1</v>
      </c>
      <c r="S283" s="861">
        <v>1</v>
      </c>
      <c r="T283" s="861">
        <v>1</v>
      </c>
      <c r="U283" s="861">
        <v>0</v>
      </c>
      <c r="V283" s="861">
        <v>1</v>
      </c>
      <c r="W283" s="861">
        <v>1</v>
      </c>
      <c r="X283" s="861">
        <v>1</v>
      </c>
      <c r="Y283" s="861">
        <v>1</v>
      </c>
      <c r="Z283" s="861">
        <v>1</v>
      </c>
      <c r="AA283" s="861">
        <v>1</v>
      </c>
      <c r="AB283" s="861">
        <v>1</v>
      </c>
      <c r="AC283" s="861">
        <v>1</v>
      </c>
      <c r="AD283" s="861">
        <v>1</v>
      </c>
      <c r="AE283" s="861">
        <v>1</v>
      </c>
      <c r="AF283" s="861">
        <v>1</v>
      </c>
      <c r="AG283" s="861">
        <v>2</v>
      </c>
      <c r="AH283" s="861">
        <v>1</v>
      </c>
      <c r="AI283" s="861">
        <v>1</v>
      </c>
      <c r="AJ283" s="861">
        <v>2</v>
      </c>
      <c r="AK283" s="861">
        <v>1</v>
      </c>
      <c r="AL283" s="861">
        <v>1</v>
      </c>
      <c r="AM283" s="861">
        <v>0</v>
      </c>
      <c r="AN283" s="861">
        <v>1</v>
      </c>
      <c r="AO283" s="861">
        <v>2</v>
      </c>
      <c r="AP283" s="861">
        <v>2</v>
      </c>
      <c r="AQ283" s="861">
        <v>1</v>
      </c>
      <c r="AR283" s="861">
        <v>1</v>
      </c>
      <c r="AS283" s="861">
        <v>1</v>
      </c>
      <c r="AT283" s="861">
        <v>2</v>
      </c>
      <c r="AU283" s="861">
        <v>1</v>
      </c>
      <c r="AV283" s="861">
        <v>1</v>
      </c>
      <c r="AW283" s="861">
        <v>1</v>
      </c>
      <c r="AX283" s="861">
        <v>2</v>
      </c>
      <c r="AY283" s="861">
        <v>1</v>
      </c>
      <c r="AZ283" s="861">
        <v>1</v>
      </c>
      <c r="BA283" s="861">
        <v>1</v>
      </c>
      <c r="BB283" s="861">
        <v>1</v>
      </c>
      <c r="BC283" s="861">
        <v>0</v>
      </c>
      <c r="BD283" s="861">
        <v>0</v>
      </c>
      <c r="BE283" s="861">
        <v>1</v>
      </c>
      <c r="BF283" s="861">
        <v>0</v>
      </c>
      <c r="BG283" s="861">
        <v>1</v>
      </c>
      <c r="BH283" s="861">
        <v>1</v>
      </c>
      <c r="BI283" s="861">
        <v>2</v>
      </c>
      <c r="BJ283" s="861">
        <v>2</v>
      </c>
      <c r="BK283" s="861">
        <v>0</v>
      </c>
      <c r="BL283" s="861">
        <v>1</v>
      </c>
      <c r="BM283" s="861">
        <v>1</v>
      </c>
      <c r="BN283" s="861">
        <v>2</v>
      </c>
      <c r="BO283" s="861">
        <v>2</v>
      </c>
      <c r="BP283" s="861">
        <v>2</v>
      </c>
      <c r="BQ283" s="861">
        <v>2</v>
      </c>
      <c r="BR283" s="861">
        <v>1</v>
      </c>
      <c r="BS283" s="861">
        <v>1</v>
      </c>
      <c r="BT283" s="861">
        <v>1</v>
      </c>
      <c r="BU283" s="861">
        <v>2</v>
      </c>
      <c r="BV283" s="861">
        <v>1</v>
      </c>
      <c r="BW283" s="861">
        <v>1</v>
      </c>
      <c r="BX283" s="861">
        <v>1</v>
      </c>
      <c r="BY283" s="861">
        <v>1</v>
      </c>
      <c r="BZ283" s="861">
        <v>1</v>
      </c>
      <c r="CA283" s="861">
        <v>1</v>
      </c>
      <c r="CB283" s="861">
        <v>2</v>
      </c>
    </row>
    <row r="284" spans="1:80" x14ac:dyDescent="0.25">
      <c r="A284" s="860">
        <v>625</v>
      </c>
      <c r="B284" s="860">
        <v>625</v>
      </c>
      <c r="C284" s="860" t="s">
        <v>998</v>
      </c>
      <c r="D284" s="860"/>
      <c r="E284" s="861">
        <v>4</v>
      </c>
      <c r="F284" s="861">
        <v>1</v>
      </c>
      <c r="G284" s="861">
        <v>0</v>
      </c>
      <c r="H284" s="861">
        <v>1</v>
      </c>
      <c r="I284" s="861">
        <v>1</v>
      </c>
      <c r="J284" s="861">
        <v>4</v>
      </c>
      <c r="K284" s="861">
        <v>1</v>
      </c>
      <c r="L284" s="861">
        <v>3</v>
      </c>
      <c r="M284" s="861">
        <v>1</v>
      </c>
      <c r="N284" s="861">
        <v>1</v>
      </c>
      <c r="O284" s="861">
        <v>3</v>
      </c>
      <c r="P284" s="861">
        <v>1</v>
      </c>
      <c r="Q284" s="861">
        <v>1</v>
      </c>
      <c r="R284" s="861">
        <v>1</v>
      </c>
      <c r="S284" s="861">
        <v>1</v>
      </c>
      <c r="T284" s="861">
        <v>1</v>
      </c>
      <c r="U284" s="861">
        <v>0</v>
      </c>
      <c r="V284" s="861">
        <v>3</v>
      </c>
      <c r="W284" s="861">
        <v>3</v>
      </c>
      <c r="X284" s="861">
        <v>1</v>
      </c>
      <c r="Y284" s="861">
        <v>1</v>
      </c>
      <c r="Z284" s="861">
        <v>1</v>
      </c>
      <c r="AA284" s="861">
        <v>1</v>
      </c>
      <c r="AB284" s="861">
        <v>1</v>
      </c>
      <c r="AC284" s="861">
        <v>1</v>
      </c>
      <c r="AD284" s="861">
        <v>1</v>
      </c>
      <c r="AE284" s="861">
        <v>3</v>
      </c>
      <c r="AF284" s="861">
        <v>3</v>
      </c>
      <c r="AG284" s="861">
        <v>1</v>
      </c>
      <c r="AH284" s="861">
        <v>1</v>
      </c>
      <c r="AI284" s="861">
        <v>1</v>
      </c>
      <c r="AJ284" s="861">
        <v>1</v>
      </c>
      <c r="AK284" s="861">
        <v>1</v>
      </c>
      <c r="AL284" s="861">
        <v>1</v>
      </c>
      <c r="AM284" s="861">
        <v>1</v>
      </c>
      <c r="AN284" s="861">
        <v>1</v>
      </c>
      <c r="AO284" s="861">
        <v>1</v>
      </c>
      <c r="AP284" s="861">
        <v>1</v>
      </c>
      <c r="AQ284" s="861">
        <v>1</v>
      </c>
      <c r="AR284" s="861">
        <v>1</v>
      </c>
      <c r="AS284" s="861">
        <v>1</v>
      </c>
      <c r="AT284" s="861">
        <v>1</v>
      </c>
      <c r="AU284" s="861">
        <v>1</v>
      </c>
      <c r="AV284" s="861">
        <v>1</v>
      </c>
      <c r="AW284" s="861">
        <v>1</v>
      </c>
      <c r="AX284" s="861">
        <v>3</v>
      </c>
      <c r="AY284" s="861">
        <v>1</v>
      </c>
      <c r="AZ284" s="861">
        <v>1</v>
      </c>
      <c r="BA284" s="861">
        <v>4</v>
      </c>
      <c r="BB284" s="861">
        <v>2</v>
      </c>
      <c r="BC284" s="861">
        <v>0</v>
      </c>
      <c r="BD284" s="861">
        <v>0</v>
      </c>
      <c r="BE284" s="861">
        <v>1</v>
      </c>
      <c r="BF284" s="861">
        <v>0</v>
      </c>
      <c r="BG284" s="861">
        <v>4</v>
      </c>
      <c r="BH284" s="861">
        <v>1</v>
      </c>
      <c r="BI284" s="861">
        <v>3</v>
      </c>
      <c r="BJ284" s="861">
        <v>1</v>
      </c>
      <c r="BK284" s="861">
        <v>0</v>
      </c>
      <c r="BL284" s="861">
        <v>1</v>
      </c>
      <c r="BM284" s="861">
        <v>1</v>
      </c>
      <c r="BN284" s="861">
        <v>1</v>
      </c>
      <c r="BO284" s="861">
        <v>3</v>
      </c>
      <c r="BP284" s="861">
        <v>3</v>
      </c>
      <c r="BQ284" s="861">
        <v>1</v>
      </c>
      <c r="BR284" s="861">
        <v>1</v>
      </c>
      <c r="BS284" s="861">
        <v>1</v>
      </c>
      <c r="BT284" s="861">
        <v>1</v>
      </c>
      <c r="BU284" s="861">
        <v>3</v>
      </c>
      <c r="BV284" s="861">
        <v>1</v>
      </c>
      <c r="BW284" s="861">
        <v>3</v>
      </c>
      <c r="BX284" s="861">
        <v>1</v>
      </c>
      <c r="BY284" s="861">
        <v>1</v>
      </c>
      <c r="BZ284" s="861">
        <v>1</v>
      </c>
      <c r="CA284" s="861">
        <v>1</v>
      </c>
      <c r="CB284" s="861">
        <v>1</v>
      </c>
    </row>
    <row r="285" spans="1:80" x14ac:dyDescent="0.25">
      <c r="E285" s="516"/>
      <c r="F285" s="516"/>
      <c r="G285" s="516"/>
      <c r="H285" s="516"/>
      <c r="I285" s="516"/>
      <c r="J285" s="516"/>
      <c r="K285" s="516"/>
      <c r="L285" s="516"/>
      <c r="M285" s="516"/>
      <c r="N285" s="516"/>
      <c r="O285" s="516"/>
      <c r="P285" s="516"/>
      <c r="Q285" s="516"/>
      <c r="R285" s="516"/>
      <c r="S285" s="516"/>
      <c r="T285" s="516"/>
      <c r="U285" s="516"/>
      <c r="V285" s="516"/>
      <c r="W285" s="516"/>
      <c r="X285" s="516"/>
      <c r="Y285" s="516"/>
      <c r="Z285" s="516"/>
      <c r="AA285" s="516"/>
      <c r="AB285" s="516"/>
      <c r="AC285" s="516"/>
      <c r="AD285" s="516"/>
      <c r="AE285" s="516"/>
      <c r="AF285" s="516"/>
      <c r="AG285" s="516"/>
      <c r="AH285" s="516"/>
      <c r="AI285" s="516"/>
      <c r="AJ285" s="516"/>
      <c r="AK285" s="516"/>
      <c r="AL285" s="516"/>
      <c r="AM285" s="516"/>
      <c r="AN285" s="516"/>
      <c r="AO285" s="516"/>
      <c r="AP285" s="516"/>
      <c r="AQ285" s="516"/>
      <c r="AR285" s="516"/>
      <c r="AS285" s="516"/>
      <c r="AT285" s="516"/>
      <c r="AU285" s="516"/>
      <c r="AV285" s="516"/>
      <c r="AW285" s="516"/>
      <c r="AX285" s="516"/>
      <c r="AY285" s="516"/>
      <c r="AZ285" s="516"/>
      <c r="BA285" s="516"/>
      <c r="BB285" s="516"/>
      <c r="BC285" s="516"/>
      <c r="BD285" s="516"/>
      <c r="BE285" s="516"/>
      <c r="BF285" s="516"/>
      <c r="BG285" s="516"/>
      <c r="BH285" s="516"/>
      <c r="BI285" s="516"/>
      <c r="BJ285" s="516"/>
      <c r="BK285" s="516"/>
      <c r="BL285" s="516"/>
      <c r="BM285" s="516"/>
      <c r="BN285" s="516"/>
      <c r="BO285" s="516"/>
      <c r="BP285" s="516"/>
      <c r="BQ285" s="516"/>
      <c r="BR285" s="516"/>
      <c r="BS285" s="516"/>
      <c r="BT285" s="516"/>
      <c r="BU285" s="516"/>
      <c r="BV285" s="516"/>
      <c r="BW285" s="516"/>
      <c r="BX285" s="516"/>
      <c r="BY285" s="516"/>
      <c r="BZ285" s="516"/>
      <c r="CA285" s="516"/>
      <c r="CB285" s="516"/>
    </row>
    <row r="286" spans="1:80" s="373" customFormat="1" x14ac:dyDescent="0.25">
      <c r="A286" s="511"/>
      <c r="B286" s="511"/>
      <c r="C286" s="509"/>
      <c r="D286" s="508"/>
      <c r="E286" s="387"/>
      <c r="F286" s="387"/>
      <c r="G286" s="387"/>
      <c r="H286" s="387"/>
      <c r="I286" s="387"/>
      <c r="J286" s="387"/>
      <c r="K286" s="387"/>
      <c r="L286" s="387"/>
      <c r="M286" s="387"/>
      <c r="N286" s="387"/>
      <c r="O286" s="387"/>
      <c r="P286" s="387"/>
      <c r="Q286" s="387"/>
      <c r="R286" s="387"/>
      <c r="S286" s="387"/>
      <c r="T286" s="387"/>
      <c r="U286" s="387"/>
      <c r="V286" s="387"/>
      <c r="W286" s="387"/>
      <c r="X286" s="387"/>
      <c r="Y286" s="387"/>
      <c r="Z286" s="387"/>
      <c r="AA286" s="387"/>
      <c r="AB286" s="387"/>
      <c r="AC286" s="387"/>
      <c r="AD286" s="387"/>
      <c r="AE286" s="387"/>
      <c r="AF286" s="387"/>
      <c r="AG286" s="387"/>
      <c r="AH286" s="387"/>
      <c r="AI286" s="387"/>
      <c r="AJ286" s="387"/>
      <c r="AK286" s="387"/>
      <c r="AL286" s="387"/>
      <c r="AM286" s="387"/>
      <c r="AN286" s="387"/>
      <c r="AO286" s="387"/>
      <c r="AP286" s="387"/>
      <c r="AQ286" s="387"/>
      <c r="AR286" s="387"/>
      <c r="AS286" s="387"/>
      <c r="AT286" s="387"/>
      <c r="AU286" s="387"/>
      <c r="AV286" s="387"/>
      <c r="AW286" s="387"/>
      <c r="AX286" s="387"/>
      <c r="AY286" s="387"/>
      <c r="AZ286" s="387"/>
      <c r="BA286" s="387"/>
      <c r="BB286" s="387"/>
      <c r="BC286" s="387"/>
      <c r="BD286" s="387"/>
      <c r="BE286" s="387"/>
      <c r="BF286" s="387"/>
      <c r="BG286" s="387"/>
      <c r="BH286" s="387"/>
      <c r="BI286" s="387"/>
      <c r="BJ286" s="387"/>
      <c r="BK286" s="387"/>
      <c r="BL286" s="387"/>
      <c r="BM286" s="387"/>
      <c r="BN286" s="387"/>
      <c r="BO286" s="387"/>
      <c r="BP286" s="387"/>
      <c r="BQ286" s="387"/>
      <c r="BR286" s="387"/>
      <c r="BS286" s="387"/>
      <c r="BT286" s="877"/>
      <c r="BU286" s="877"/>
      <c r="BV286" s="877"/>
      <c r="BW286" s="877"/>
      <c r="BX286" s="877"/>
      <c r="BY286" s="877"/>
      <c r="BZ286" s="877"/>
      <c r="CA286" s="877"/>
      <c r="CB286" s="877"/>
    </row>
    <row r="287" spans="1:80" s="373" customFormat="1" x14ac:dyDescent="0.25">
      <c r="A287" s="511"/>
      <c r="B287" s="511"/>
      <c r="C287" s="509"/>
      <c r="D287" s="508"/>
      <c r="E287" s="387"/>
      <c r="F287" s="387"/>
      <c r="G287" s="387"/>
      <c r="H287" s="387"/>
      <c r="I287" s="387"/>
      <c r="J287" s="387"/>
      <c r="K287" s="387"/>
      <c r="L287" s="387"/>
      <c r="M287" s="387"/>
      <c r="N287" s="387"/>
      <c r="O287" s="387"/>
      <c r="P287" s="387"/>
      <c r="Q287" s="387"/>
      <c r="R287" s="387"/>
      <c r="S287" s="387"/>
      <c r="T287" s="387"/>
      <c r="U287" s="387"/>
      <c r="V287" s="387"/>
      <c r="W287" s="387"/>
      <c r="X287" s="387"/>
      <c r="Y287" s="387"/>
      <c r="Z287" s="387"/>
      <c r="AA287" s="387"/>
      <c r="AB287" s="387"/>
      <c r="AC287" s="387"/>
      <c r="AD287" s="387"/>
      <c r="AE287" s="387"/>
      <c r="AF287" s="387"/>
      <c r="AG287" s="387"/>
      <c r="AH287" s="387"/>
      <c r="AI287" s="387"/>
      <c r="AJ287" s="387"/>
      <c r="AK287" s="387"/>
      <c r="AL287" s="387"/>
      <c r="AM287" s="387"/>
      <c r="AN287" s="387"/>
      <c r="AO287" s="387"/>
      <c r="AP287" s="387"/>
      <c r="AQ287" s="387"/>
      <c r="AR287" s="387"/>
      <c r="AS287" s="387"/>
      <c r="AT287" s="387"/>
      <c r="AU287" s="387"/>
      <c r="AV287" s="387"/>
      <c r="AW287" s="387"/>
      <c r="AX287" s="387"/>
      <c r="AY287" s="387"/>
      <c r="AZ287" s="387"/>
      <c r="BA287" s="387"/>
      <c r="BB287" s="387"/>
      <c r="BC287" s="387"/>
      <c r="BD287" s="387"/>
      <c r="BE287" s="387"/>
      <c r="BF287" s="387"/>
      <c r="BG287" s="387"/>
      <c r="BH287" s="387"/>
      <c r="BI287" s="387"/>
      <c r="BJ287" s="387"/>
      <c r="BK287" s="387"/>
      <c r="BL287" s="387"/>
      <c r="BM287" s="387"/>
      <c r="BN287" s="387"/>
      <c r="BO287" s="387"/>
      <c r="BP287" s="387"/>
      <c r="BQ287" s="387"/>
      <c r="BR287" s="387"/>
      <c r="BS287" s="387"/>
      <c r="BT287" s="387"/>
      <c r="BU287" s="387"/>
      <c r="BV287" s="387"/>
      <c r="BW287" s="387"/>
      <c r="BX287" s="387"/>
      <c r="BY287" s="387"/>
      <c r="BZ287" s="387"/>
      <c r="CA287" s="387"/>
      <c r="CB287" s="387"/>
    </row>
    <row r="288" spans="1:80" s="373" customFormat="1" x14ac:dyDescent="0.25">
      <c r="A288" s="511"/>
      <c r="B288" s="511"/>
      <c r="C288" s="509"/>
      <c r="D288" s="508"/>
      <c r="E288" s="387"/>
      <c r="F288" s="387"/>
      <c r="G288" s="387"/>
      <c r="H288" s="387"/>
      <c r="I288" s="387"/>
      <c r="J288" s="387"/>
      <c r="K288" s="387"/>
      <c r="L288" s="387"/>
      <c r="M288" s="387"/>
      <c r="N288" s="387"/>
      <c r="O288" s="387"/>
      <c r="P288" s="387"/>
      <c r="Q288" s="387"/>
      <c r="R288" s="387"/>
      <c r="S288" s="387"/>
      <c r="T288" s="387"/>
      <c r="U288" s="387"/>
      <c r="V288" s="387"/>
      <c r="W288" s="387"/>
      <c r="X288" s="387"/>
      <c r="Y288" s="387"/>
      <c r="Z288" s="387"/>
      <c r="AA288" s="387"/>
      <c r="AB288" s="387"/>
      <c r="AC288" s="387"/>
      <c r="AD288" s="387"/>
      <c r="AE288" s="387"/>
      <c r="AF288" s="387"/>
      <c r="AG288" s="387"/>
      <c r="AH288" s="387"/>
      <c r="AI288" s="387"/>
      <c r="AJ288" s="387"/>
      <c r="AK288" s="387"/>
      <c r="AL288" s="387"/>
      <c r="AM288" s="387"/>
      <c r="AN288" s="387"/>
      <c r="AO288" s="387"/>
      <c r="AP288" s="387"/>
      <c r="AQ288" s="387"/>
      <c r="AR288" s="387"/>
      <c r="AS288" s="387"/>
      <c r="AT288" s="387"/>
      <c r="AU288" s="387"/>
      <c r="AV288" s="387"/>
      <c r="AW288" s="387"/>
      <c r="AX288" s="387"/>
      <c r="AY288" s="387"/>
      <c r="AZ288" s="387"/>
      <c r="BA288" s="387"/>
      <c r="BB288" s="387"/>
      <c r="BC288" s="387"/>
      <c r="BD288" s="387"/>
      <c r="BE288" s="387"/>
      <c r="BF288" s="387"/>
      <c r="BG288" s="387"/>
      <c r="BH288" s="387"/>
      <c r="BI288" s="387"/>
      <c r="BJ288" s="387"/>
      <c r="BK288" s="387"/>
      <c r="BL288" s="387"/>
      <c r="BM288" s="387"/>
      <c r="BN288" s="387"/>
      <c r="BO288" s="387"/>
      <c r="BP288" s="387"/>
      <c r="BQ288" s="387"/>
      <c r="BR288" s="387"/>
      <c r="BS288" s="387"/>
    </row>
    <row r="289" spans="1:80" ht="28.5" x14ac:dyDescent="0.25">
      <c r="A289" s="511">
        <v>647</v>
      </c>
      <c r="B289" s="511">
        <v>647</v>
      </c>
      <c r="C289" s="509" t="s">
        <v>935</v>
      </c>
      <c r="D289" s="508"/>
      <c r="E289" s="387">
        <v>0</v>
      </c>
      <c r="F289" s="387">
        <v>0</v>
      </c>
      <c r="G289" s="387">
        <v>0</v>
      </c>
      <c r="H289" s="387">
        <v>0</v>
      </c>
      <c r="I289" s="387">
        <v>0</v>
      </c>
      <c r="J289" s="387">
        <v>0</v>
      </c>
      <c r="K289" s="387">
        <v>0</v>
      </c>
      <c r="L289" s="387">
        <v>0</v>
      </c>
      <c r="M289" s="387">
        <v>0</v>
      </c>
      <c r="N289" s="387">
        <v>0</v>
      </c>
      <c r="O289" s="387">
        <v>0</v>
      </c>
      <c r="P289" s="387">
        <v>0</v>
      </c>
      <c r="Q289" s="387">
        <v>0</v>
      </c>
      <c r="R289" s="387">
        <v>0</v>
      </c>
      <c r="S289" s="387">
        <v>0</v>
      </c>
      <c r="T289" s="387">
        <v>0</v>
      </c>
      <c r="U289" s="387">
        <v>0</v>
      </c>
      <c r="V289" s="387">
        <v>0</v>
      </c>
      <c r="W289" s="387">
        <v>0</v>
      </c>
      <c r="X289" s="387">
        <v>0</v>
      </c>
      <c r="Y289" s="387">
        <v>0</v>
      </c>
      <c r="Z289" s="387">
        <v>0</v>
      </c>
      <c r="AA289" s="387">
        <v>0</v>
      </c>
      <c r="AB289" s="387">
        <v>0</v>
      </c>
      <c r="AC289" s="387">
        <v>0</v>
      </c>
      <c r="AD289" s="387">
        <v>0</v>
      </c>
      <c r="AE289" s="387">
        <v>0</v>
      </c>
      <c r="AF289" s="387">
        <v>0</v>
      </c>
      <c r="AG289" s="387">
        <v>0</v>
      </c>
      <c r="AH289" s="387">
        <v>0</v>
      </c>
      <c r="AI289" s="387">
        <v>0</v>
      </c>
      <c r="AJ289" s="387">
        <v>0</v>
      </c>
      <c r="AK289" s="387">
        <v>0</v>
      </c>
      <c r="AL289" s="387">
        <v>0</v>
      </c>
      <c r="AM289" s="387">
        <v>0</v>
      </c>
      <c r="AN289" s="387">
        <v>0</v>
      </c>
      <c r="AO289" s="387">
        <v>0</v>
      </c>
      <c r="AP289" s="387">
        <v>0</v>
      </c>
      <c r="AQ289" s="387">
        <v>0</v>
      </c>
      <c r="AR289" s="387">
        <v>0</v>
      </c>
      <c r="AS289" s="387">
        <v>0</v>
      </c>
      <c r="AT289" s="387">
        <v>0</v>
      </c>
      <c r="AU289" s="387">
        <v>0</v>
      </c>
      <c r="AV289" s="387">
        <v>0</v>
      </c>
      <c r="AW289" s="387">
        <v>0</v>
      </c>
      <c r="AX289" s="387">
        <v>0</v>
      </c>
      <c r="AY289" s="387">
        <v>0</v>
      </c>
      <c r="AZ289" s="387">
        <v>0</v>
      </c>
      <c r="BA289" s="387">
        <v>0</v>
      </c>
      <c r="BB289" s="387">
        <v>0</v>
      </c>
      <c r="BC289" s="387">
        <v>0</v>
      </c>
      <c r="BD289" s="387">
        <v>0</v>
      </c>
      <c r="BE289" s="387">
        <v>0</v>
      </c>
      <c r="BF289" s="387">
        <v>0</v>
      </c>
      <c r="BG289" s="387">
        <v>0</v>
      </c>
      <c r="BH289" s="387">
        <v>0</v>
      </c>
      <c r="BI289" s="387">
        <v>0</v>
      </c>
      <c r="BJ289" s="387">
        <v>0</v>
      </c>
      <c r="BK289" s="387">
        <v>0</v>
      </c>
      <c r="BL289" s="387">
        <v>0</v>
      </c>
      <c r="BM289" s="387">
        <v>0</v>
      </c>
      <c r="BN289" s="387">
        <v>0</v>
      </c>
      <c r="BO289" s="387">
        <v>0</v>
      </c>
      <c r="BP289" s="387">
        <v>0</v>
      </c>
      <c r="BQ289" s="387">
        <v>0</v>
      </c>
      <c r="BR289" s="387">
        <v>0</v>
      </c>
      <c r="BS289" s="387">
        <v>0</v>
      </c>
      <c r="BT289" s="387">
        <v>0</v>
      </c>
      <c r="BU289" s="387">
        <v>0</v>
      </c>
      <c r="BV289" s="387">
        <v>0</v>
      </c>
      <c r="BW289" s="387">
        <v>0</v>
      </c>
      <c r="BX289" s="387">
        <v>0</v>
      </c>
      <c r="BY289" s="387">
        <v>0</v>
      </c>
      <c r="BZ289" s="387">
        <v>0</v>
      </c>
      <c r="CA289" s="387">
        <v>0</v>
      </c>
      <c r="CB289" s="387">
        <v>0</v>
      </c>
    </row>
    <row r="290" spans="1:80" x14ac:dyDescent="0.25">
      <c r="A290" s="517" t="s">
        <v>936</v>
      </c>
      <c r="B290" s="507"/>
      <c r="C290" s="507" t="s">
        <v>939</v>
      </c>
      <c r="D290" s="507"/>
      <c r="E290" s="494">
        <f t="shared" ref="E290:AJ290" si="0">E156+E186-E3-E4-E5+E289</f>
        <v>165631</v>
      </c>
      <c r="F290" s="494">
        <f t="shared" si="0"/>
        <v>18941116</v>
      </c>
      <c r="G290" s="494">
        <f t="shared" si="0"/>
        <v>0</v>
      </c>
      <c r="H290" s="494">
        <f t="shared" si="0"/>
        <v>28995396</v>
      </c>
      <c r="I290" s="494">
        <f t="shared" si="0"/>
        <v>4259969</v>
      </c>
      <c r="J290" s="494">
        <f t="shared" si="0"/>
        <v>498184</v>
      </c>
      <c r="K290" s="494">
        <f t="shared" si="0"/>
        <v>2604511</v>
      </c>
      <c r="L290" s="494">
        <f t="shared" si="0"/>
        <v>814534</v>
      </c>
      <c r="M290" s="494">
        <f t="shared" si="0"/>
        <v>18516132</v>
      </c>
      <c r="N290" s="494">
        <f t="shared" si="0"/>
        <v>222616</v>
      </c>
      <c r="O290" s="494">
        <f t="shared" si="0"/>
        <v>576531</v>
      </c>
      <c r="P290" s="494">
        <f t="shared" si="0"/>
        <v>571050</v>
      </c>
      <c r="Q290" s="494">
        <f t="shared" si="0"/>
        <v>13525693</v>
      </c>
      <c r="R290" s="494">
        <f t="shared" si="0"/>
        <v>16922291</v>
      </c>
      <c r="S290" s="494">
        <f t="shared" si="0"/>
        <v>2622026</v>
      </c>
      <c r="T290" s="494">
        <f t="shared" si="0"/>
        <v>7782410</v>
      </c>
      <c r="U290" s="494">
        <f t="shared" si="0"/>
        <v>0</v>
      </c>
      <c r="V290" s="494">
        <f t="shared" si="0"/>
        <v>5004721</v>
      </c>
      <c r="W290" s="494">
        <f t="shared" si="0"/>
        <v>269732</v>
      </c>
      <c r="X290" s="494">
        <f t="shared" si="0"/>
        <v>10745984</v>
      </c>
      <c r="Y290" s="494">
        <f t="shared" si="0"/>
        <v>5799076</v>
      </c>
      <c r="Z290" s="494">
        <f t="shared" si="0"/>
        <v>4098012</v>
      </c>
      <c r="AA290" s="494">
        <f t="shared" si="0"/>
        <v>1780105</v>
      </c>
      <c r="AB290" s="494">
        <f t="shared" si="0"/>
        <v>2470189</v>
      </c>
      <c r="AC290" s="494">
        <f t="shared" si="0"/>
        <v>1167026</v>
      </c>
      <c r="AD290" s="494">
        <f t="shared" si="0"/>
        <v>259852</v>
      </c>
      <c r="AE290" s="494">
        <f t="shared" si="0"/>
        <v>1272415</v>
      </c>
      <c r="AF290" s="494">
        <f t="shared" si="0"/>
        <v>1092205</v>
      </c>
      <c r="AG290" s="494">
        <f t="shared" si="0"/>
        <v>142289</v>
      </c>
      <c r="AH290" s="494">
        <f t="shared" si="0"/>
        <v>79797</v>
      </c>
      <c r="AI290" s="494">
        <f t="shared" si="0"/>
        <v>298317</v>
      </c>
      <c r="AJ290" s="494">
        <f t="shared" si="0"/>
        <v>1524214</v>
      </c>
      <c r="AK290" s="494">
        <f t="shared" ref="AK290:BP290" si="1">AK156+AK186-AK3-AK4-AK5+AK289</f>
        <v>2384564</v>
      </c>
      <c r="AL290" s="494">
        <f t="shared" si="1"/>
        <v>244696</v>
      </c>
      <c r="AM290" s="494">
        <f t="shared" si="1"/>
        <v>110588</v>
      </c>
      <c r="AN290" s="494">
        <f t="shared" si="1"/>
        <v>8448617</v>
      </c>
      <c r="AO290" s="494">
        <f t="shared" si="1"/>
        <v>9961998</v>
      </c>
      <c r="AP290" s="494">
        <f t="shared" si="1"/>
        <v>570026</v>
      </c>
      <c r="AQ290" s="494">
        <f t="shared" si="1"/>
        <v>6738961</v>
      </c>
      <c r="AR290" s="494">
        <f t="shared" si="1"/>
        <v>7637214</v>
      </c>
      <c r="AS290" s="494">
        <f t="shared" si="1"/>
        <v>2583475</v>
      </c>
      <c r="AT290" s="494">
        <f t="shared" si="1"/>
        <v>381440</v>
      </c>
      <c r="AU290" s="494">
        <f t="shared" si="1"/>
        <v>2314503</v>
      </c>
      <c r="AV290" s="494">
        <f t="shared" si="1"/>
        <v>4132754</v>
      </c>
      <c r="AW290" s="494">
        <f t="shared" si="1"/>
        <v>109847</v>
      </c>
      <c r="AX290" s="494">
        <f t="shared" si="1"/>
        <v>337876</v>
      </c>
      <c r="AY290" s="494">
        <f t="shared" si="1"/>
        <v>2735410</v>
      </c>
      <c r="AZ290" s="494">
        <f t="shared" si="1"/>
        <v>2369247</v>
      </c>
      <c r="BA290" s="494">
        <f t="shared" si="1"/>
        <v>1204944</v>
      </c>
      <c r="BB290" s="494">
        <f t="shared" si="1"/>
        <v>84979</v>
      </c>
      <c r="BC290" s="494">
        <f t="shared" si="1"/>
        <v>0</v>
      </c>
      <c r="BD290" s="494">
        <f t="shared" si="1"/>
        <v>0</v>
      </c>
      <c r="BE290" s="494">
        <f t="shared" si="1"/>
        <v>372139</v>
      </c>
      <c r="BF290" s="494">
        <f t="shared" si="1"/>
        <v>0</v>
      </c>
      <c r="BG290" s="494">
        <f t="shared" si="1"/>
        <v>475733</v>
      </c>
      <c r="BH290" s="494">
        <f t="shared" si="1"/>
        <v>153205</v>
      </c>
      <c r="BI290" s="494">
        <f t="shared" si="1"/>
        <v>2491955</v>
      </c>
      <c r="BJ290" s="494">
        <f t="shared" si="1"/>
        <v>3046057</v>
      </c>
      <c r="BK290" s="494">
        <f t="shared" si="1"/>
        <v>0</v>
      </c>
      <c r="BL290" s="494">
        <f t="shared" si="1"/>
        <v>2318006</v>
      </c>
      <c r="BM290" s="494">
        <f t="shared" si="1"/>
        <v>5425708</v>
      </c>
      <c r="BN290" s="494">
        <f t="shared" si="1"/>
        <v>125766</v>
      </c>
      <c r="BO290" s="494">
        <f t="shared" si="1"/>
        <v>2612427</v>
      </c>
      <c r="BP290" s="494">
        <f t="shared" si="1"/>
        <v>3017767</v>
      </c>
      <c r="BQ290" s="494">
        <f t="shared" ref="BQ290:BS290" si="2">BQ156+BQ186-BQ3-BQ4-BQ5+BQ289</f>
        <v>1589609</v>
      </c>
      <c r="BR290" s="494">
        <f t="shared" si="2"/>
        <v>1310274</v>
      </c>
      <c r="BS290" s="494">
        <f t="shared" si="2"/>
        <v>1565789</v>
      </c>
      <c r="BT290" s="494">
        <f t="shared" ref="BT290:CB290" si="3">BT156+BT186-BT3-BT4-BT5+BT289</f>
        <v>10248120</v>
      </c>
      <c r="BU290" s="494">
        <f t="shared" si="3"/>
        <v>1816267</v>
      </c>
      <c r="BV290" s="494">
        <f t="shared" si="3"/>
        <v>1247222</v>
      </c>
      <c r="BW290" s="494">
        <f t="shared" si="3"/>
        <v>924195</v>
      </c>
      <c r="BX290" s="494">
        <f t="shared" si="3"/>
        <v>700657</v>
      </c>
      <c r="BY290" s="494">
        <f t="shared" si="3"/>
        <v>176434</v>
      </c>
      <c r="BZ290" s="494">
        <f t="shared" si="3"/>
        <v>204114</v>
      </c>
      <c r="CA290" s="494">
        <f t="shared" si="3"/>
        <v>10598856</v>
      </c>
      <c r="CB290" s="494">
        <f t="shared" si="3"/>
        <v>157953</v>
      </c>
    </row>
    <row r="291" spans="1:80" x14ac:dyDescent="0.25">
      <c r="A291" s="517" t="s">
        <v>937</v>
      </c>
      <c r="B291" s="507"/>
      <c r="C291" s="507" t="s">
        <v>946</v>
      </c>
      <c r="D291" s="507"/>
      <c r="E291" s="494">
        <f>E182+E159+E15-E183-E158</f>
        <v>2071041</v>
      </c>
      <c r="F291" s="494">
        <f t="shared" ref="F291:BQ291" si="4">F182+F159+F15-F183-F158</f>
        <v>14133653</v>
      </c>
      <c r="G291" s="494">
        <f t="shared" si="4"/>
        <v>0</v>
      </c>
      <c r="H291" s="494">
        <f t="shared" si="4"/>
        <v>44033586</v>
      </c>
      <c r="I291" s="494">
        <f t="shared" si="4"/>
        <v>4129835</v>
      </c>
      <c r="J291" s="494">
        <f t="shared" si="4"/>
        <v>249092</v>
      </c>
      <c r="K291" s="494">
        <f t="shared" si="4"/>
        <v>1323119</v>
      </c>
      <c r="L291" s="494">
        <f t="shared" si="4"/>
        <v>2466989</v>
      </c>
      <c r="M291" s="494">
        <f t="shared" si="4"/>
        <v>44866828</v>
      </c>
      <c r="N291" s="494">
        <f t="shared" si="4"/>
        <v>88033</v>
      </c>
      <c r="O291" s="494">
        <f t="shared" si="4"/>
        <v>865904</v>
      </c>
      <c r="P291" s="494">
        <f t="shared" si="4"/>
        <v>1506682</v>
      </c>
      <c r="Q291" s="494">
        <f t="shared" si="4"/>
        <v>30708935</v>
      </c>
      <c r="R291" s="494">
        <f t="shared" si="4"/>
        <v>17857957</v>
      </c>
      <c r="S291" s="494">
        <f t="shared" si="4"/>
        <v>6790553</v>
      </c>
      <c r="T291" s="494">
        <f t="shared" si="4"/>
        <v>15112900</v>
      </c>
      <c r="U291" s="494">
        <f t="shared" si="4"/>
        <v>0</v>
      </c>
      <c r="V291" s="494">
        <f t="shared" si="4"/>
        <v>23181059</v>
      </c>
      <c r="W291" s="494">
        <f t="shared" si="4"/>
        <v>25435</v>
      </c>
      <c r="X291" s="494">
        <f t="shared" si="4"/>
        <v>9132087</v>
      </c>
      <c r="Y291" s="494">
        <f t="shared" si="4"/>
        <v>15638645</v>
      </c>
      <c r="Z291" s="494">
        <f t="shared" si="4"/>
        <v>5940264</v>
      </c>
      <c r="AA291" s="494">
        <f t="shared" si="4"/>
        <v>1598320</v>
      </c>
      <c r="AB291" s="494">
        <f t="shared" si="4"/>
        <v>5376623</v>
      </c>
      <c r="AC291" s="494">
        <f t="shared" si="4"/>
        <v>1318645</v>
      </c>
      <c r="AD291" s="494">
        <f t="shared" si="4"/>
        <v>326323</v>
      </c>
      <c r="AE291" s="494">
        <f t="shared" si="4"/>
        <v>1374559</v>
      </c>
      <c r="AF291" s="494">
        <f t="shared" si="4"/>
        <v>3437670</v>
      </c>
      <c r="AG291" s="494">
        <f t="shared" si="4"/>
        <v>128079</v>
      </c>
      <c r="AH291" s="494">
        <f t="shared" si="4"/>
        <v>37979</v>
      </c>
      <c r="AI291" s="494">
        <f t="shared" si="4"/>
        <v>93921</v>
      </c>
      <c r="AJ291" s="494">
        <f t="shared" si="4"/>
        <v>2723970</v>
      </c>
      <c r="AK291" s="494">
        <f t="shared" si="4"/>
        <v>8051508</v>
      </c>
      <c r="AL291" s="494">
        <f t="shared" si="4"/>
        <v>364368</v>
      </c>
      <c r="AM291" s="494">
        <f t="shared" si="4"/>
        <v>23239</v>
      </c>
      <c r="AN291" s="494">
        <f t="shared" si="4"/>
        <v>21442896</v>
      </c>
      <c r="AO291" s="494">
        <f t="shared" si="4"/>
        <v>17374687</v>
      </c>
      <c r="AP291" s="494">
        <f t="shared" si="4"/>
        <v>436564</v>
      </c>
      <c r="AQ291" s="494">
        <f t="shared" si="4"/>
        <v>4545189</v>
      </c>
      <c r="AR291" s="494">
        <f t="shared" si="4"/>
        <v>22273401</v>
      </c>
      <c r="AS291" s="494">
        <f t="shared" si="4"/>
        <v>2604104</v>
      </c>
      <c r="AT291" s="494">
        <f t="shared" si="4"/>
        <v>626679</v>
      </c>
      <c r="AU291" s="494">
        <f t="shared" si="4"/>
        <v>6145088</v>
      </c>
      <c r="AV291" s="494">
        <f t="shared" si="4"/>
        <v>11174683</v>
      </c>
      <c r="AW291" s="494">
        <f t="shared" si="4"/>
        <v>304107</v>
      </c>
      <c r="AX291" s="494">
        <f t="shared" si="4"/>
        <v>565179</v>
      </c>
      <c r="AY291" s="494">
        <f t="shared" si="4"/>
        <v>2844742</v>
      </c>
      <c r="AZ291" s="494">
        <f t="shared" si="4"/>
        <v>3463779</v>
      </c>
      <c r="BA291" s="494">
        <f t="shared" si="4"/>
        <v>3925250</v>
      </c>
      <c r="BB291" s="494">
        <f t="shared" si="4"/>
        <v>111857</v>
      </c>
      <c r="BC291" s="494">
        <f t="shared" si="4"/>
        <v>0</v>
      </c>
      <c r="BD291" s="494">
        <f t="shared" si="4"/>
        <v>0</v>
      </c>
      <c r="BE291" s="494">
        <f t="shared" si="4"/>
        <v>75709</v>
      </c>
      <c r="BF291" s="494">
        <f t="shared" si="4"/>
        <v>0</v>
      </c>
      <c r="BG291" s="494">
        <f t="shared" si="4"/>
        <v>386743</v>
      </c>
      <c r="BH291" s="494">
        <f t="shared" si="4"/>
        <v>55165</v>
      </c>
      <c r="BI291" s="494">
        <f t="shared" si="4"/>
        <v>2986916</v>
      </c>
      <c r="BJ291" s="494">
        <f t="shared" si="4"/>
        <v>2463025</v>
      </c>
      <c r="BK291" s="494">
        <f t="shared" si="4"/>
        <v>0</v>
      </c>
      <c r="BL291" s="494">
        <f t="shared" si="4"/>
        <v>9401916</v>
      </c>
      <c r="BM291" s="494">
        <f t="shared" si="4"/>
        <v>4076431</v>
      </c>
      <c r="BN291" s="494">
        <f t="shared" si="4"/>
        <v>41493</v>
      </c>
      <c r="BO291" s="494">
        <f t="shared" si="4"/>
        <v>6819248</v>
      </c>
      <c r="BP291" s="494">
        <f t="shared" si="4"/>
        <v>1863224</v>
      </c>
      <c r="BQ291" s="494">
        <f t="shared" si="4"/>
        <v>915657</v>
      </c>
      <c r="BR291" s="494">
        <f>BR182+BR159+BR15-BR183-BR158</f>
        <v>1823332</v>
      </c>
      <c r="BS291" s="494">
        <f>BS182+BS159+BS15-BS183-BS158</f>
        <v>1270282</v>
      </c>
      <c r="BT291" s="494">
        <f t="shared" ref="BT291:CB291" si="5">BT182+BT159+BT15-BT183-BT158</f>
        <v>22763687</v>
      </c>
      <c r="BU291" s="494">
        <f t="shared" si="5"/>
        <v>1804813</v>
      </c>
      <c r="BV291" s="494">
        <f t="shared" si="5"/>
        <v>2740074</v>
      </c>
      <c r="BW291" s="494">
        <f t="shared" si="5"/>
        <v>1131937</v>
      </c>
      <c r="BX291" s="494">
        <f t="shared" si="5"/>
        <v>1059204</v>
      </c>
      <c r="BY291" s="494">
        <f t="shared" si="5"/>
        <v>27004</v>
      </c>
      <c r="BZ291" s="494">
        <f t="shared" si="5"/>
        <v>44264</v>
      </c>
      <c r="CA291" s="494">
        <f t="shared" si="5"/>
        <v>16935975</v>
      </c>
      <c r="CB291" s="494">
        <f t="shared" si="5"/>
        <v>65366</v>
      </c>
    </row>
    <row r="292" spans="1:80" x14ac:dyDescent="0.25">
      <c r="A292" s="517" t="s">
        <v>938</v>
      </c>
      <c r="B292" s="507"/>
      <c r="C292" s="513" t="s">
        <v>945</v>
      </c>
      <c r="D292" s="507"/>
      <c r="E292" s="514">
        <f>E290/E291</f>
        <v>7.9974756656193677E-2</v>
      </c>
      <c r="F292" s="514">
        <f t="shared" ref="F292:BQ292" si="6">F290/F291</f>
        <v>1.3401429906337732</v>
      </c>
      <c r="G292" s="514" t="e">
        <f t="shared" si="6"/>
        <v>#DIV/0!</v>
      </c>
      <c r="H292" s="514">
        <f t="shared" si="6"/>
        <v>0.65848364019228411</v>
      </c>
      <c r="I292" s="514">
        <f t="shared" si="6"/>
        <v>1.0315107020014116</v>
      </c>
      <c r="J292" s="514">
        <f t="shared" si="6"/>
        <v>2</v>
      </c>
      <c r="K292" s="514">
        <f t="shared" si="6"/>
        <v>1.9684631541078317</v>
      </c>
      <c r="L292" s="514">
        <f t="shared" si="6"/>
        <v>0.33017334086207922</v>
      </c>
      <c r="M292" s="514">
        <f t="shared" si="6"/>
        <v>0.41269090830312322</v>
      </c>
      <c r="N292" s="514">
        <f t="shared" si="6"/>
        <v>2.5287789806095442</v>
      </c>
      <c r="O292" s="514">
        <f t="shared" si="6"/>
        <v>0.66581399323712565</v>
      </c>
      <c r="P292" s="514">
        <f t="shared" si="6"/>
        <v>0.3790116295276641</v>
      </c>
      <c r="Q292" s="514">
        <f t="shared" si="6"/>
        <v>0.44044813016146606</v>
      </c>
      <c r="R292" s="514">
        <f t="shared" si="6"/>
        <v>0.9476050927886096</v>
      </c>
      <c r="S292" s="514">
        <f t="shared" si="6"/>
        <v>0.38612849351150047</v>
      </c>
      <c r="T292" s="514">
        <f t="shared" si="6"/>
        <v>0.514951465304475</v>
      </c>
      <c r="U292" s="514" t="e">
        <f t="shared" si="6"/>
        <v>#DIV/0!</v>
      </c>
      <c r="V292" s="514">
        <f t="shared" si="6"/>
        <v>0.21589699590514824</v>
      </c>
      <c r="W292" s="514">
        <f t="shared" si="6"/>
        <v>10.604757224297229</v>
      </c>
      <c r="X292" s="514">
        <f t="shared" si="6"/>
        <v>1.1767281673948136</v>
      </c>
      <c r="Y292" s="514">
        <f t="shared" si="6"/>
        <v>0.3708170368980177</v>
      </c>
      <c r="Z292" s="514">
        <f t="shared" si="6"/>
        <v>0.6898703491966014</v>
      </c>
      <c r="AA292" s="514">
        <f t="shared" si="6"/>
        <v>1.1137350467991392</v>
      </c>
      <c r="AB292" s="514">
        <f t="shared" si="6"/>
        <v>0.45943131962200062</v>
      </c>
      <c r="AC292" s="514">
        <f t="shared" si="6"/>
        <v>0.88501909156748026</v>
      </c>
      <c r="AD292" s="514">
        <f t="shared" si="6"/>
        <v>0.79630304943261743</v>
      </c>
      <c r="AE292" s="514">
        <f t="shared" si="6"/>
        <v>0.92568962118032039</v>
      </c>
      <c r="AF292" s="514">
        <f t="shared" si="6"/>
        <v>0.31771665110379999</v>
      </c>
      <c r="AG292" s="514">
        <f t="shared" si="6"/>
        <v>1.1109471498059791</v>
      </c>
      <c r="AH292" s="514">
        <f t="shared" si="6"/>
        <v>2.1010821769925485</v>
      </c>
      <c r="AI292" s="514">
        <f t="shared" si="6"/>
        <v>3.1762545117705305</v>
      </c>
      <c r="AJ292" s="514">
        <f t="shared" si="6"/>
        <v>0.55955608909055532</v>
      </c>
      <c r="AK292" s="514">
        <f t="shared" si="6"/>
        <v>0.2961636503373033</v>
      </c>
      <c r="AL292" s="514">
        <f t="shared" si="6"/>
        <v>0.67156281561498266</v>
      </c>
      <c r="AM292" s="514">
        <f t="shared" si="6"/>
        <v>4.758724557855329</v>
      </c>
      <c r="AN292" s="514">
        <f t="shared" si="6"/>
        <v>0.39400540859779387</v>
      </c>
      <c r="AO292" s="514">
        <f t="shared" si="6"/>
        <v>0.57336273165669116</v>
      </c>
      <c r="AP292" s="514">
        <f t="shared" si="6"/>
        <v>1.3057100448044272</v>
      </c>
      <c r="AQ292" s="514">
        <f t="shared" si="6"/>
        <v>1.4826580368825146</v>
      </c>
      <c r="AR292" s="514">
        <f t="shared" si="6"/>
        <v>0.34288495052910867</v>
      </c>
      <c r="AS292" s="514">
        <f t="shared" si="6"/>
        <v>0.9920782733715704</v>
      </c>
      <c r="AT292" s="514">
        <f t="shared" si="6"/>
        <v>0.60866887194241392</v>
      </c>
      <c r="AU292" s="514">
        <f t="shared" si="6"/>
        <v>0.37664277549808889</v>
      </c>
      <c r="AV292" s="514">
        <f t="shared" si="6"/>
        <v>0.36983187800495099</v>
      </c>
      <c r="AW292" s="514">
        <f t="shared" si="6"/>
        <v>0.36121167878411214</v>
      </c>
      <c r="AX292" s="514">
        <f t="shared" si="6"/>
        <v>0.59782122124141202</v>
      </c>
      <c r="AY292" s="514">
        <f t="shared" si="6"/>
        <v>0.9615669892032388</v>
      </c>
      <c r="AZ292" s="514">
        <f t="shared" si="6"/>
        <v>0.68400639879160885</v>
      </c>
      <c r="BA292" s="514">
        <f t="shared" si="6"/>
        <v>0.30697254951913888</v>
      </c>
      <c r="BB292" s="514">
        <f t="shared" si="6"/>
        <v>0.75971105965652574</v>
      </c>
      <c r="BC292" s="514" t="e">
        <f t="shared" si="6"/>
        <v>#DIV/0!</v>
      </c>
      <c r="BD292" s="514" t="e">
        <f t="shared" si="6"/>
        <v>#DIV/0!</v>
      </c>
      <c r="BE292" s="514">
        <f t="shared" si="6"/>
        <v>4.9153865458532007</v>
      </c>
      <c r="BF292" s="514" t="e">
        <f t="shared" si="6"/>
        <v>#DIV/0!</v>
      </c>
      <c r="BG292" s="514">
        <f t="shared" si="6"/>
        <v>1.2301011265879409</v>
      </c>
      <c r="BH292" s="514">
        <f t="shared" si="6"/>
        <v>2.7772138131061364</v>
      </c>
      <c r="BI292" s="514">
        <f t="shared" si="6"/>
        <v>0.83429028469498301</v>
      </c>
      <c r="BJ292" s="514">
        <f t="shared" si="6"/>
        <v>1.2367137970584952</v>
      </c>
      <c r="BK292" s="514" t="e">
        <f t="shared" si="6"/>
        <v>#DIV/0!</v>
      </c>
      <c r="BL292" s="514">
        <f t="shared" si="6"/>
        <v>0.2465461295335972</v>
      </c>
      <c r="BM292" s="514">
        <f t="shared" si="6"/>
        <v>1.3309946862831727</v>
      </c>
      <c r="BN292" s="514">
        <f t="shared" si="6"/>
        <v>3.0310172800231365</v>
      </c>
      <c r="BO292" s="514">
        <f t="shared" si="6"/>
        <v>0.38309605399305025</v>
      </c>
      <c r="BP292" s="514">
        <f t="shared" si="6"/>
        <v>1.619647986500818</v>
      </c>
      <c r="BQ292" s="514">
        <f t="shared" si="6"/>
        <v>1.7360310684022511</v>
      </c>
      <c r="BR292" s="514">
        <f>BR290/BR291</f>
        <v>0.71861515072405902</v>
      </c>
      <c r="BS292" s="514">
        <f>BS290/BS291</f>
        <v>1.2326310220880088</v>
      </c>
      <c r="BT292" s="514">
        <f t="shared" ref="BT292:CB292" si="7">BT290/BT291</f>
        <v>0.45019596342191842</v>
      </c>
      <c r="BU292" s="514">
        <f t="shared" si="7"/>
        <v>1.0063463638615191</v>
      </c>
      <c r="BV292" s="514">
        <f t="shared" si="7"/>
        <v>0.45517821781455536</v>
      </c>
      <c r="BW292" s="514">
        <f t="shared" si="7"/>
        <v>0.81647211814791809</v>
      </c>
      <c r="BX292" s="514">
        <f t="shared" si="7"/>
        <v>0.66149391429790672</v>
      </c>
      <c r="BY292" s="514">
        <f t="shared" si="7"/>
        <v>6.5336246482002664</v>
      </c>
      <c r="BZ292" s="514">
        <f t="shared" si="7"/>
        <v>4.6112868245075003</v>
      </c>
      <c r="CA292" s="514">
        <f t="shared" si="7"/>
        <v>0.62581906267575382</v>
      </c>
      <c r="CB292" s="514">
        <f t="shared" si="7"/>
        <v>2.4164397393140167</v>
      </c>
    </row>
    <row r="293" spans="1:80" x14ac:dyDescent="0.25">
      <c r="A293" s="517" t="s">
        <v>940</v>
      </c>
      <c r="B293" s="507"/>
      <c r="C293" s="515" t="s">
        <v>948</v>
      </c>
      <c r="D293" s="507"/>
      <c r="E293" s="672">
        <f>E97+E51</f>
        <v>0</v>
      </c>
      <c r="F293" s="672">
        <f t="shared" ref="F293:BQ293" si="8">F97+F51</f>
        <v>0</v>
      </c>
      <c r="G293" s="672">
        <f t="shared" si="8"/>
        <v>0</v>
      </c>
      <c r="H293" s="672">
        <f t="shared" si="8"/>
        <v>7485572</v>
      </c>
      <c r="I293" s="672">
        <f t="shared" si="8"/>
        <v>203991</v>
      </c>
      <c r="J293" s="672">
        <f t="shared" si="8"/>
        <v>0</v>
      </c>
      <c r="K293" s="672">
        <f t="shared" si="8"/>
        <v>0</v>
      </c>
      <c r="L293" s="672">
        <f t="shared" si="8"/>
        <v>118348</v>
      </c>
      <c r="M293" s="672">
        <f t="shared" si="8"/>
        <v>4661412</v>
      </c>
      <c r="N293" s="672">
        <f t="shared" si="8"/>
        <v>0</v>
      </c>
      <c r="O293" s="672">
        <f t="shared" si="8"/>
        <v>20548</v>
      </c>
      <c r="P293" s="672">
        <f t="shared" si="8"/>
        <v>74866</v>
      </c>
      <c r="Q293" s="672">
        <f t="shared" si="8"/>
        <v>0</v>
      </c>
      <c r="R293" s="672">
        <f t="shared" si="8"/>
        <v>2813</v>
      </c>
      <c r="S293" s="672">
        <f t="shared" si="8"/>
        <v>860653</v>
      </c>
      <c r="T293" s="672">
        <f t="shared" si="8"/>
        <v>1876010</v>
      </c>
      <c r="U293" s="672">
        <f t="shared" si="8"/>
        <v>0</v>
      </c>
      <c r="V293" s="672">
        <f t="shared" si="8"/>
        <v>1941856</v>
      </c>
      <c r="W293" s="672">
        <f t="shared" si="8"/>
        <v>0</v>
      </c>
      <c r="X293" s="672">
        <f t="shared" si="8"/>
        <v>0</v>
      </c>
      <c r="Y293" s="672">
        <f t="shared" si="8"/>
        <v>151789</v>
      </c>
      <c r="Z293" s="672">
        <f t="shared" si="8"/>
        <v>258815</v>
      </c>
      <c r="AA293" s="672">
        <f t="shared" si="8"/>
        <v>20635</v>
      </c>
      <c r="AB293" s="672">
        <f t="shared" si="8"/>
        <v>130262</v>
      </c>
      <c r="AC293" s="672">
        <f t="shared" si="8"/>
        <v>0</v>
      </c>
      <c r="AD293" s="672">
        <f t="shared" si="8"/>
        <v>12558</v>
      </c>
      <c r="AE293" s="672">
        <f t="shared" si="8"/>
        <v>109941</v>
      </c>
      <c r="AF293" s="672">
        <f t="shared" si="8"/>
        <v>422479</v>
      </c>
      <c r="AG293" s="672">
        <f t="shared" si="8"/>
        <v>0</v>
      </c>
      <c r="AH293" s="672">
        <f t="shared" si="8"/>
        <v>0</v>
      </c>
      <c r="AI293" s="672">
        <f t="shared" si="8"/>
        <v>0</v>
      </c>
      <c r="AJ293" s="672">
        <f t="shared" si="8"/>
        <v>0</v>
      </c>
      <c r="AK293" s="672">
        <f t="shared" si="8"/>
        <v>1007208</v>
      </c>
      <c r="AL293" s="672">
        <f t="shared" si="8"/>
        <v>0</v>
      </c>
      <c r="AM293" s="672">
        <f t="shared" si="8"/>
        <v>0</v>
      </c>
      <c r="AN293" s="672">
        <f t="shared" si="8"/>
        <v>1235325</v>
      </c>
      <c r="AO293" s="672">
        <f t="shared" si="8"/>
        <v>1294959</v>
      </c>
      <c r="AP293" s="672">
        <f t="shared" si="8"/>
        <v>0</v>
      </c>
      <c r="AQ293" s="672">
        <f t="shared" si="8"/>
        <v>0</v>
      </c>
      <c r="AR293" s="672">
        <f t="shared" si="8"/>
        <v>296541</v>
      </c>
      <c r="AS293" s="672">
        <f t="shared" si="8"/>
        <v>6064</v>
      </c>
      <c r="AT293" s="672">
        <f t="shared" si="8"/>
        <v>10875</v>
      </c>
      <c r="AU293" s="672">
        <f t="shared" si="8"/>
        <v>0</v>
      </c>
      <c r="AV293" s="672">
        <f t="shared" si="8"/>
        <v>2468795</v>
      </c>
      <c r="AW293" s="672">
        <f t="shared" si="8"/>
        <v>21597</v>
      </c>
      <c r="AX293" s="672">
        <f t="shared" si="8"/>
        <v>34189</v>
      </c>
      <c r="AY293" s="672">
        <f t="shared" si="8"/>
        <v>911702</v>
      </c>
      <c r="AZ293" s="672">
        <f t="shared" si="8"/>
        <v>62537</v>
      </c>
      <c r="BA293" s="672">
        <f t="shared" si="8"/>
        <v>255451</v>
      </c>
      <c r="BB293" s="672">
        <f t="shared" si="8"/>
        <v>0</v>
      </c>
      <c r="BC293" s="672">
        <f t="shared" si="8"/>
        <v>0</v>
      </c>
      <c r="BD293" s="672">
        <f t="shared" si="8"/>
        <v>0</v>
      </c>
      <c r="BE293" s="672">
        <f t="shared" si="8"/>
        <v>0</v>
      </c>
      <c r="BF293" s="672">
        <f t="shared" si="8"/>
        <v>0</v>
      </c>
      <c r="BG293" s="672">
        <f t="shared" si="8"/>
        <v>0</v>
      </c>
      <c r="BH293" s="672">
        <f t="shared" si="8"/>
        <v>0</v>
      </c>
      <c r="BI293" s="672">
        <f t="shared" si="8"/>
        <v>322234</v>
      </c>
      <c r="BJ293" s="672">
        <f t="shared" si="8"/>
        <v>197182</v>
      </c>
      <c r="BK293" s="672">
        <f t="shared" si="8"/>
        <v>0</v>
      </c>
      <c r="BL293" s="672">
        <f t="shared" si="8"/>
        <v>79013</v>
      </c>
      <c r="BM293" s="672">
        <f t="shared" si="8"/>
        <v>78568</v>
      </c>
      <c r="BN293" s="672">
        <f t="shared" si="8"/>
        <v>0</v>
      </c>
      <c r="BO293" s="672">
        <f t="shared" si="8"/>
        <v>299368</v>
      </c>
      <c r="BP293" s="672">
        <f t="shared" si="8"/>
        <v>112375</v>
      </c>
      <c r="BQ293" s="672">
        <f t="shared" si="8"/>
        <v>68378</v>
      </c>
      <c r="BR293" s="672">
        <f>BR97+BR51</f>
        <v>42173</v>
      </c>
      <c r="BS293" s="672">
        <f>BS97+BS51</f>
        <v>0</v>
      </c>
      <c r="BT293" s="672">
        <f t="shared" ref="BT293:CB293" si="9">BT97+BT51</f>
        <v>0</v>
      </c>
      <c r="BU293" s="672">
        <f t="shared" si="9"/>
        <v>43756</v>
      </c>
      <c r="BV293" s="672">
        <f t="shared" si="9"/>
        <v>367510</v>
      </c>
      <c r="BW293" s="672">
        <f t="shared" si="9"/>
        <v>12589</v>
      </c>
      <c r="BX293" s="672">
        <f t="shared" si="9"/>
        <v>0</v>
      </c>
      <c r="BY293" s="672">
        <f t="shared" si="9"/>
        <v>0</v>
      </c>
      <c r="BZ293" s="672">
        <f t="shared" si="9"/>
        <v>0</v>
      </c>
      <c r="CA293" s="672">
        <f t="shared" si="9"/>
        <v>857075</v>
      </c>
      <c r="CB293" s="672">
        <f t="shared" si="9"/>
        <v>0</v>
      </c>
    </row>
    <row r="294" spans="1:80" x14ac:dyDescent="0.25">
      <c r="A294" s="517" t="s">
        <v>1201</v>
      </c>
      <c r="B294" s="507"/>
      <c r="C294" s="507" t="s">
        <v>941</v>
      </c>
      <c r="D294" s="507"/>
      <c r="E294" s="672">
        <f>E60+E58</f>
        <v>0</v>
      </c>
      <c r="F294" s="672">
        <f t="shared" ref="F294:BQ294" si="10">F60+F58</f>
        <v>0</v>
      </c>
      <c r="G294" s="672">
        <f t="shared" si="10"/>
        <v>0</v>
      </c>
      <c r="H294" s="672">
        <f t="shared" si="10"/>
        <v>0</v>
      </c>
      <c r="I294" s="672">
        <f t="shared" si="10"/>
        <v>0</v>
      </c>
      <c r="J294" s="672">
        <f t="shared" si="10"/>
        <v>0</v>
      </c>
      <c r="K294" s="672">
        <f t="shared" si="10"/>
        <v>0</v>
      </c>
      <c r="L294" s="672">
        <f t="shared" si="10"/>
        <v>0</v>
      </c>
      <c r="M294" s="672">
        <f t="shared" si="10"/>
        <v>0</v>
      </c>
      <c r="N294" s="672">
        <f t="shared" si="10"/>
        <v>0</v>
      </c>
      <c r="O294" s="672">
        <f t="shared" si="10"/>
        <v>0</v>
      </c>
      <c r="P294" s="672">
        <f t="shared" si="10"/>
        <v>0</v>
      </c>
      <c r="Q294" s="672">
        <f t="shared" si="10"/>
        <v>0</v>
      </c>
      <c r="R294" s="672">
        <f t="shared" si="10"/>
        <v>0</v>
      </c>
      <c r="S294" s="672">
        <f t="shared" si="10"/>
        <v>0</v>
      </c>
      <c r="T294" s="672">
        <f t="shared" si="10"/>
        <v>210070</v>
      </c>
      <c r="U294" s="672">
        <f t="shared" si="10"/>
        <v>0</v>
      </c>
      <c r="V294" s="672">
        <f t="shared" si="10"/>
        <v>812457</v>
      </c>
      <c r="W294" s="672">
        <f t="shared" si="10"/>
        <v>0</v>
      </c>
      <c r="X294" s="672">
        <f t="shared" si="10"/>
        <v>0</v>
      </c>
      <c r="Y294" s="672">
        <f t="shared" si="10"/>
        <v>0</v>
      </c>
      <c r="Z294" s="672">
        <f t="shared" si="10"/>
        <v>0</v>
      </c>
      <c r="AA294" s="672">
        <f t="shared" si="10"/>
        <v>85739</v>
      </c>
      <c r="AB294" s="672">
        <f t="shared" si="10"/>
        <v>0</v>
      </c>
      <c r="AC294" s="672">
        <f t="shared" si="10"/>
        <v>0</v>
      </c>
      <c r="AD294" s="672">
        <f t="shared" si="10"/>
        <v>0</v>
      </c>
      <c r="AE294" s="672">
        <f t="shared" si="10"/>
        <v>0</v>
      </c>
      <c r="AF294" s="672">
        <f t="shared" si="10"/>
        <v>82908</v>
      </c>
      <c r="AG294" s="672">
        <f t="shared" si="10"/>
        <v>0</v>
      </c>
      <c r="AH294" s="672">
        <f t="shared" si="10"/>
        <v>0</v>
      </c>
      <c r="AI294" s="672">
        <f t="shared" si="10"/>
        <v>0</v>
      </c>
      <c r="AJ294" s="672">
        <f t="shared" si="10"/>
        <v>0</v>
      </c>
      <c r="AK294" s="672">
        <f t="shared" si="10"/>
        <v>205496</v>
      </c>
      <c r="AL294" s="672">
        <f t="shared" si="10"/>
        <v>0</v>
      </c>
      <c r="AM294" s="672">
        <f t="shared" si="10"/>
        <v>0</v>
      </c>
      <c r="AN294" s="672">
        <f t="shared" si="10"/>
        <v>0</v>
      </c>
      <c r="AO294" s="672">
        <f t="shared" si="10"/>
        <v>0</v>
      </c>
      <c r="AP294" s="672">
        <f t="shared" si="10"/>
        <v>0</v>
      </c>
      <c r="AQ294" s="672">
        <f t="shared" si="10"/>
        <v>0</v>
      </c>
      <c r="AR294" s="672">
        <f t="shared" si="10"/>
        <v>915131</v>
      </c>
      <c r="AS294" s="672">
        <f t="shared" si="10"/>
        <v>0</v>
      </c>
      <c r="AT294" s="672">
        <f t="shared" si="10"/>
        <v>0</v>
      </c>
      <c r="AU294" s="672">
        <f t="shared" si="10"/>
        <v>0</v>
      </c>
      <c r="AV294" s="672">
        <f t="shared" si="10"/>
        <v>0</v>
      </c>
      <c r="AW294" s="672">
        <f t="shared" si="10"/>
        <v>0</v>
      </c>
      <c r="AX294" s="672">
        <f t="shared" si="10"/>
        <v>0</v>
      </c>
      <c r="AY294" s="672">
        <f t="shared" si="10"/>
        <v>0</v>
      </c>
      <c r="AZ294" s="672">
        <f t="shared" si="10"/>
        <v>0</v>
      </c>
      <c r="BA294" s="672">
        <f t="shared" si="10"/>
        <v>120986</v>
      </c>
      <c r="BB294" s="672">
        <f t="shared" si="10"/>
        <v>0</v>
      </c>
      <c r="BC294" s="672">
        <f t="shared" si="10"/>
        <v>0</v>
      </c>
      <c r="BD294" s="672">
        <f t="shared" si="10"/>
        <v>0</v>
      </c>
      <c r="BE294" s="672">
        <f t="shared" si="10"/>
        <v>0</v>
      </c>
      <c r="BF294" s="672">
        <f t="shared" si="10"/>
        <v>0</v>
      </c>
      <c r="BG294" s="672">
        <f t="shared" si="10"/>
        <v>0</v>
      </c>
      <c r="BH294" s="672">
        <f t="shared" si="10"/>
        <v>0</v>
      </c>
      <c r="BI294" s="672">
        <f t="shared" si="10"/>
        <v>0</v>
      </c>
      <c r="BJ294" s="672">
        <f t="shared" si="10"/>
        <v>0</v>
      </c>
      <c r="BK294" s="672">
        <f t="shared" si="10"/>
        <v>0</v>
      </c>
      <c r="BL294" s="672">
        <f t="shared" si="10"/>
        <v>0</v>
      </c>
      <c r="BM294" s="672">
        <f t="shared" si="10"/>
        <v>0</v>
      </c>
      <c r="BN294" s="672">
        <f t="shared" si="10"/>
        <v>0</v>
      </c>
      <c r="BO294" s="672">
        <f t="shared" si="10"/>
        <v>0</v>
      </c>
      <c r="BP294" s="672">
        <f t="shared" si="10"/>
        <v>0</v>
      </c>
      <c r="BQ294" s="672">
        <f t="shared" si="10"/>
        <v>0</v>
      </c>
      <c r="BR294" s="672">
        <f>BR60+BR58</f>
        <v>0</v>
      </c>
      <c r="BS294" s="672">
        <f>BS60+BS58</f>
        <v>0</v>
      </c>
      <c r="BT294" s="672">
        <f t="shared" ref="BT294:CB294" si="11">BT60+BT58</f>
        <v>0</v>
      </c>
      <c r="BU294" s="672">
        <f t="shared" si="11"/>
        <v>0</v>
      </c>
      <c r="BV294" s="672">
        <f t="shared" si="11"/>
        <v>0</v>
      </c>
      <c r="BW294" s="672">
        <f t="shared" si="11"/>
        <v>0</v>
      </c>
      <c r="BX294" s="672">
        <f t="shared" si="11"/>
        <v>0</v>
      </c>
      <c r="BY294" s="672">
        <f t="shared" si="11"/>
        <v>0</v>
      </c>
      <c r="BZ294" s="672">
        <f t="shared" si="11"/>
        <v>0</v>
      </c>
      <c r="CA294" s="672">
        <f t="shared" si="11"/>
        <v>0</v>
      </c>
      <c r="CB294" s="672">
        <f t="shared" si="11"/>
        <v>0</v>
      </c>
    </row>
    <row r="295" spans="1:80" x14ac:dyDescent="0.25">
      <c r="A295" s="517" t="s">
        <v>944</v>
      </c>
      <c r="B295" s="656"/>
      <c r="C295" s="510" t="s">
        <v>943</v>
      </c>
      <c r="D295" s="656"/>
      <c r="E295" s="516">
        <f>E31-E160</f>
        <v>0</v>
      </c>
      <c r="F295" s="516">
        <f t="shared" ref="F295:BQ295" si="12">F31-F160</f>
        <v>0</v>
      </c>
      <c r="G295" s="516">
        <f t="shared" si="12"/>
        <v>0</v>
      </c>
      <c r="H295" s="516">
        <f t="shared" si="12"/>
        <v>36145907</v>
      </c>
      <c r="I295" s="516">
        <f t="shared" si="12"/>
        <v>8283776</v>
      </c>
      <c r="J295" s="516">
        <f t="shared" si="12"/>
        <v>243633</v>
      </c>
      <c r="K295" s="516">
        <f t="shared" si="12"/>
        <v>5516454</v>
      </c>
      <c r="L295" s="516">
        <f t="shared" si="12"/>
        <v>889069</v>
      </c>
      <c r="M295" s="516">
        <f t="shared" si="12"/>
        <v>10574089</v>
      </c>
      <c r="N295" s="516">
        <f t="shared" si="12"/>
        <v>0</v>
      </c>
      <c r="O295" s="516">
        <f t="shared" si="12"/>
        <v>1638473</v>
      </c>
      <c r="P295" s="516">
        <f t="shared" si="12"/>
        <v>1008499</v>
      </c>
      <c r="Q295" s="516">
        <f t="shared" si="12"/>
        <v>0</v>
      </c>
      <c r="R295" s="516">
        <f t="shared" si="12"/>
        <v>8844969</v>
      </c>
      <c r="S295" s="516">
        <f t="shared" si="12"/>
        <v>7616827</v>
      </c>
      <c r="T295" s="516">
        <f t="shared" si="12"/>
        <v>7287172</v>
      </c>
      <c r="U295" s="516">
        <f t="shared" si="12"/>
        <v>0</v>
      </c>
      <c r="V295" s="516">
        <f t="shared" si="12"/>
        <v>7690758</v>
      </c>
      <c r="W295" s="516">
        <f t="shared" si="12"/>
        <v>0</v>
      </c>
      <c r="X295" s="516">
        <f t="shared" si="12"/>
        <v>0</v>
      </c>
      <c r="Y295" s="516">
        <f t="shared" si="12"/>
        <v>225204</v>
      </c>
      <c r="Z295" s="516">
        <f t="shared" si="12"/>
        <v>2572924</v>
      </c>
      <c r="AA295" s="516">
        <f t="shared" si="12"/>
        <v>1020932</v>
      </c>
      <c r="AB295" s="516">
        <f t="shared" si="12"/>
        <v>474569</v>
      </c>
      <c r="AC295" s="516">
        <f t="shared" si="12"/>
        <v>0</v>
      </c>
      <c r="AD295" s="516">
        <f t="shared" si="12"/>
        <v>89870</v>
      </c>
      <c r="AE295" s="516">
        <f t="shared" si="12"/>
        <v>1669286</v>
      </c>
      <c r="AF295" s="516">
        <f t="shared" si="12"/>
        <v>1205943</v>
      </c>
      <c r="AG295" s="516">
        <f t="shared" si="12"/>
        <v>67368</v>
      </c>
      <c r="AH295" s="516">
        <f t="shared" si="12"/>
        <v>0</v>
      </c>
      <c r="AI295" s="516">
        <f t="shared" si="12"/>
        <v>0</v>
      </c>
      <c r="AJ295" s="516">
        <f t="shared" si="12"/>
        <v>868276</v>
      </c>
      <c r="AK295" s="516">
        <f t="shared" si="12"/>
        <v>7312039</v>
      </c>
      <c r="AL295" s="516">
        <f t="shared" si="12"/>
        <v>396468</v>
      </c>
      <c r="AM295" s="516">
        <f t="shared" si="12"/>
        <v>0</v>
      </c>
      <c r="AN295" s="516">
        <f t="shared" si="12"/>
        <v>15602691</v>
      </c>
      <c r="AO295" s="516">
        <f t="shared" si="12"/>
        <v>9418653</v>
      </c>
      <c r="AP295" s="516">
        <f t="shared" si="12"/>
        <v>91513</v>
      </c>
      <c r="AQ295" s="516">
        <f t="shared" si="12"/>
        <v>0</v>
      </c>
      <c r="AR295" s="516">
        <f t="shared" si="12"/>
        <v>6589699</v>
      </c>
      <c r="AS295" s="516">
        <f t="shared" si="12"/>
        <v>1434513</v>
      </c>
      <c r="AT295" s="516">
        <f t="shared" si="12"/>
        <v>257387</v>
      </c>
      <c r="AU295" s="516">
        <f t="shared" si="12"/>
        <v>1366984</v>
      </c>
      <c r="AV295" s="516">
        <f t="shared" si="12"/>
        <v>10953649</v>
      </c>
      <c r="AW295" s="516">
        <f t="shared" si="12"/>
        <v>1084763</v>
      </c>
      <c r="AX295" s="516">
        <f t="shared" si="12"/>
        <v>245930</v>
      </c>
      <c r="AY295" s="516">
        <f t="shared" si="12"/>
        <v>1562977</v>
      </c>
      <c r="AZ295" s="516">
        <f t="shared" si="12"/>
        <v>805991</v>
      </c>
      <c r="BA295" s="516">
        <f t="shared" si="12"/>
        <v>2193280</v>
      </c>
      <c r="BB295" s="516">
        <f t="shared" si="12"/>
        <v>0</v>
      </c>
      <c r="BC295" s="516">
        <f t="shared" si="12"/>
        <v>0</v>
      </c>
      <c r="BD295" s="516">
        <f t="shared" si="12"/>
        <v>0</v>
      </c>
      <c r="BE295" s="516">
        <f t="shared" si="12"/>
        <v>0</v>
      </c>
      <c r="BF295" s="516">
        <f t="shared" si="12"/>
        <v>0</v>
      </c>
      <c r="BG295" s="516">
        <f t="shared" si="12"/>
        <v>28973</v>
      </c>
      <c r="BH295" s="516">
        <f t="shared" si="12"/>
        <v>0</v>
      </c>
      <c r="BI295" s="516">
        <f t="shared" si="12"/>
        <v>898503</v>
      </c>
      <c r="BJ295" s="516">
        <f t="shared" si="12"/>
        <v>1941073</v>
      </c>
      <c r="BK295" s="516">
        <f t="shared" si="12"/>
        <v>0</v>
      </c>
      <c r="BL295" s="516">
        <f t="shared" si="12"/>
        <v>5018136</v>
      </c>
      <c r="BM295" s="516">
        <f t="shared" si="12"/>
        <v>2576961</v>
      </c>
      <c r="BN295" s="516">
        <f t="shared" si="12"/>
        <v>0</v>
      </c>
      <c r="BO295" s="516">
        <f t="shared" si="12"/>
        <v>2281123</v>
      </c>
      <c r="BP295" s="516">
        <f t="shared" si="12"/>
        <v>3818828</v>
      </c>
      <c r="BQ295" s="516">
        <f t="shared" si="12"/>
        <v>886896</v>
      </c>
      <c r="BR295" s="516">
        <f>BR31-BR160</f>
        <v>3389447</v>
      </c>
      <c r="BS295" s="516">
        <f>BS31-BS160</f>
        <v>0</v>
      </c>
      <c r="BT295" s="516">
        <f t="shared" ref="BT295:CB295" si="13">BT31-BT160</f>
        <v>0</v>
      </c>
      <c r="BU295" s="516">
        <f t="shared" si="13"/>
        <v>1260554</v>
      </c>
      <c r="BV295" s="516">
        <f t="shared" si="13"/>
        <v>2272943</v>
      </c>
      <c r="BW295" s="516">
        <f t="shared" si="13"/>
        <v>179380</v>
      </c>
      <c r="BX295" s="516">
        <f t="shared" si="13"/>
        <v>1587567</v>
      </c>
      <c r="BY295" s="516">
        <f t="shared" si="13"/>
        <v>0</v>
      </c>
      <c r="BZ295" s="516">
        <f t="shared" si="13"/>
        <v>0</v>
      </c>
      <c r="CA295" s="516">
        <f t="shared" si="13"/>
        <v>10038366</v>
      </c>
      <c r="CB295" s="516">
        <f t="shared" si="13"/>
        <v>0</v>
      </c>
    </row>
    <row r="296" spans="1:80" x14ac:dyDescent="0.25">
      <c r="A296" s="517" t="s">
        <v>949</v>
      </c>
      <c r="B296" s="656"/>
      <c r="C296" s="510" t="s">
        <v>951</v>
      </c>
      <c r="D296" s="656"/>
      <c r="E296" s="405" t="e">
        <f>E45*365/E50</f>
        <v>#DIV/0!</v>
      </c>
      <c r="F296" s="405" t="e">
        <f t="shared" ref="F296:BQ296" si="14">F45*365/F50</f>
        <v>#DIV/0!</v>
      </c>
      <c r="G296" s="405" t="e">
        <f t="shared" si="14"/>
        <v>#DIV/0!</v>
      </c>
      <c r="H296" s="405">
        <f t="shared" si="14"/>
        <v>52.823488352514573</v>
      </c>
      <c r="I296" s="405">
        <f t="shared" si="14"/>
        <v>26.428956762627138</v>
      </c>
      <c r="J296" s="405">
        <f t="shared" si="14"/>
        <v>40.145749317276838</v>
      </c>
      <c r="K296" s="405">
        <f t="shared" si="14"/>
        <v>34.033780794521377</v>
      </c>
      <c r="L296" s="405">
        <f t="shared" si="14"/>
        <v>102.56935379508243</v>
      </c>
      <c r="M296" s="405">
        <f t="shared" si="14"/>
        <v>78.849558211819541</v>
      </c>
      <c r="N296" s="405" t="e">
        <f t="shared" si="14"/>
        <v>#DIV/0!</v>
      </c>
      <c r="O296" s="405">
        <f t="shared" si="14"/>
        <v>52.02064459877387</v>
      </c>
      <c r="P296" s="405">
        <f t="shared" si="14"/>
        <v>34.68830241331279</v>
      </c>
      <c r="Q296" s="405" t="e">
        <f t="shared" si="14"/>
        <v>#DIV/0!</v>
      </c>
      <c r="R296" s="405">
        <f t="shared" si="14"/>
        <v>88.177762340127273</v>
      </c>
      <c r="S296" s="405">
        <f t="shared" si="14"/>
        <v>72.253767110135072</v>
      </c>
      <c r="T296" s="405">
        <f t="shared" si="14"/>
        <v>33.327229495563635</v>
      </c>
      <c r="U296" s="405" t="e">
        <f t="shared" si="14"/>
        <v>#DIV/0!</v>
      </c>
      <c r="V296" s="405">
        <f t="shared" si="14"/>
        <v>45.742006476463949</v>
      </c>
      <c r="W296" s="405" t="e">
        <f t="shared" si="14"/>
        <v>#DIV/0!</v>
      </c>
      <c r="X296" s="405" t="e">
        <f t="shared" si="14"/>
        <v>#DIV/0!</v>
      </c>
      <c r="Y296" s="405" t="e">
        <f t="shared" si="14"/>
        <v>#DIV/0!</v>
      </c>
      <c r="Z296" s="405">
        <f t="shared" si="14"/>
        <v>62.231233712905649</v>
      </c>
      <c r="AA296" s="405">
        <f t="shared" si="14"/>
        <v>18.572905096525858</v>
      </c>
      <c r="AB296" s="405">
        <f t="shared" si="14"/>
        <v>65.671595792692102</v>
      </c>
      <c r="AC296" s="405" t="e">
        <f t="shared" si="14"/>
        <v>#DIV/0!</v>
      </c>
      <c r="AD296" s="405">
        <f t="shared" si="14"/>
        <v>1.9937515747039556</v>
      </c>
      <c r="AE296" s="405">
        <f t="shared" si="14"/>
        <v>46.177588594916131</v>
      </c>
      <c r="AF296" s="405">
        <f t="shared" si="14"/>
        <v>50.765819759301898</v>
      </c>
      <c r="AG296" s="405">
        <f t="shared" si="14"/>
        <v>70.835971113933169</v>
      </c>
      <c r="AH296" s="405" t="e">
        <f t="shared" si="14"/>
        <v>#DIV/0!</v>
      </c>
      <c r="AI296" s="405" t="e">
        <f t="shared" si="14"/>
        <v>#DIV/0!</v>
      </c>
      <c r="AJ296" s="405">
        <f t="shared" si="14"/>
        <v>73.677632626023225</v>
      </c>
      <c r="AK296" s="405">
        <f t="shared" si="14"/>
        <v>25.492408422118384</v>
      </c>
      <c r="AL296" s="405">
        <f t="shared" si="14"/>
        <v>61.078930232558136</v>
      </c>
      <c r="AM296" s="405" t="e">
        <f t="shared" si="14"/>
        <v>#DIV/0!</v>
      </c>
      <c r="AN296" s="405">
        <f t="shared" si="14"/>
        <v>55.527637720049903</v>
      </c>
      <c r="AO296" s="405">
        <f t="shared" si="14"/>
        <v>23.207333964948287</v>
      </c>
      <c r="AP296" s="405">
        <f t="shared" si="14"/>
        <v>57.73343409625258</v>
      </c>
      <c r="AQ296" s="405" t="e">
        <f t="shared" si="14"/>
        <v>#DIV/0!</v>
      </c>
      <c r="AR296" s="405">
        <f t="shared" si="14"/>
        <v>48.556259633750926</v>
      </c>
      <c r="AS296" s="405">
        <f t="shared" si="14"/>
        <v>120.92427350859337</v>
      </c>
      <c r="AT296" s="405">
        <f t="shared" si="14"/>
        <v>38.425614766764369</v>
      </c>
      <c r="AU296" s="405">
        <f t="shared" si="14"/>
        <v>41.710110830846979</v>
      </c>
      <c r="AV296" s="405">
        <f t="shared" si="14"/>
        <v>36.038205242174143</v>
      </c>
      <c r="AW296" s="405">
        <f t="shared" si="14"/>
        <v>37.551694740615908</v>
      </c>
      <c r="AX296" s="405">
        <f t="shared" si="14"/>
        <v>54.134966887758921</v>
      </c>
      <c r="AY296" s="405">
        <f t="shared" si="14"/>
        <v>50.424072104686182</v>
      </c>
      <c r="AZ296" s="405">
        <f t="shared" si="14"/>
        <v>29.435825681051853</v>
      </c>
      <c r="BA296" s="405">
        <f t="shared" si="14"/>
        <v>40.705040871934607</v>
      </c>
      <c r="BB296" s="405" t="e">
        <f t="shared" si="14"/>
        <v>#DIV/0!</v>
      </c>
      <c r="BC296" s="405" t="e">
        <f t="shared" si="14"/>
        <v>#DIV/0!</v>
      </c>
      <c r="BD296" s="405" t="e">
        <f t="shared" si="14"/>
        <v>#DIV/0!</v>
      </c>
      <c r="BE296" s="405" t="e">
        <f t="shared" si="14"/>
        <v>#DIV/0!</v>
      </c>
      <c r="BF296" s="405" t="e">
        <f t="shared" si="14"/>
        <v>#DIV/0!</v>
      </c>
      <c r="BG296" s="405">
        <f t="shared" si="14"/>
        <v>52.293696161720057</v>
      </c>
      <c r="BH296" s="405" t="e">
        <f t="shared" si="14"/>
        <v>#DIV/0!</v>
      </c>
      <c r="BI296" s="405">
        <f t="shared" si="14"/>
        <v>34.977218175388245</v>
      </c>
      <c r="BJ296" s="405">
        <f t="shared" si="14"/>
        <v>69.976798740198547</v>
      </c>
      <c r="BK296" s="405" t="e">
        <f t="shared" si="14"/>
        <v>#DIV/0!</v>
      </c>
      <c r="BL296" s="405">
        <f t="shared" si="14"/>
        <v>28.645944694401408</v>
      </c>
      <c r="BM296" s="405">
        <f t="shared" si="14"/>
        <v>63.229748410430254</v>
      </c>
      <c r="BN296" s="405" t="e">
        <f t="shared" si="14"/>
        <v>#DIV/0!</v>
      </c>
      <c r="BO296" s="405">
        <f t="shared" si="14"/>
        <v>54.529434673115659</v>
      </c>
      <c r="BP296" s="405">
        <f t="shared" si="14"/>
        <v>64.662111763899091</v>
      </c>
      <c r="BQ296" s="405">
        <f t="shared" si="14"/>
        <v>36.247789549700798</v>
      </c>
      <c r="BR296" s="405">
        <f>BR45*365/BR50</f>
        <v>30.482595135079414</v>
      </c>
      <c r="BS296" s="405" t="e">
        <f>BS45*365/BS50</f>
        <v>#DIV/0!</v>
      </c>
      <c r="BT296" s="862" t="e">
        <f t="shared" ref="BT296:CB296" si="15">BT45*365/BT50</f>
        <v>#DIV/0!</v>
      </c>
      <c r="BU296" s="862">
        <f t="shared" si="15"/>
        <v>109.92991286917534</v>
      </c>
      <c r="BV296" s="862">
        <f t="shared" si="15"/>
        <v>41.907846335318091</v>
      </c>
      <c r="BW296" s="862">
        <f t="shared" si="15"/>
        <v>62.413082334815812</v>
      </c>
      <c r="BX296" s="862">
        <f t="shared" si="15"/>
        <v>39.435472079540254</v>
      </c>
      <c r="BY296" s="862" t="e">
        <f t="shared" si="15"/>
        <v>#DIV/0!</v>
      </c>
      <c r="BZ296" s="862" t="e">
        <f t="shared" si="15"/>
        <v>#DIV/0!</v>
      </c>
      <c r="CA296" s="862">
        <f t="shared" si="15"/>
        <v>50.920279202633829</v>
      </c>
      <c r="CB296" s="862" t="e">
        <f t="shared" si="15"/>
        <v>#DIV/0!</v>
      </c>
    </row>
    <row r="297" spans="1:80" x14ac:dyDescent="0.25">
      <c r="A297" s="517" t="s">
        <v>950</v>
      </c>
      <c r="B297" s="656"/>
      <c r="C297" s="510" t="s">
        <v>952</v>
      </c>
      <c r="D297" s="656"/>
      <c r="E297" s="405" t="e">
        <f>E53*365/E57</f>
        <v>#DIV/0!</v>
      </c>
      <c r="F297" s="405" t="e">
        <f t="shared" ref="F297:BQ297" si="16">F53*365/F57</f>
        <v>#DIV/0!</v>
      </c>
      <c r="G297" s="405" t="e">
        <f t="shared" si="16"/>
        <v>#DIV/0!</v>
      </c>
      <c r="H297" s="405" t="e">
        <f t="shared" si="16"/>
        <v>#DIV/0!</v>
      </c>
      <c r="I297" s="405" t="e">
        <f t="shared" si="16"/>
        <v>#DIV/0!</v>
      </c>
      <c r="J297" s="405" t="e">
        <f t="shared" si="16"/>
        <v>#DIV/0!</v>
      </c>
      <c r="K297" s="405" t="e">
        <f t="shared" si="16"/>
        <v>#DIV/0!</v>
      </c>
      <c r="L297" s="405" t="e">
        <f t="shared" si="16"/>
        <v>#DIV/0!</v>
      </c>
      <c r="M297" s="405" t="e">
        <f t="shared" si="16"/>
        <v>#DIV/0!</v>
      </c>
      <c r="N297" s="405" t="e">
        <f t="shared" si="16"/>
        <v>#DIV/0!</v>
      </c>
      <c r="O297" s="405" t="e">
        <f t="shared" si="16"/>
        <v>#DIV/0!</v>
      </c>
      <c r="P297" s="405" t="e">
        <f t="shared" si="16"/>
        <v>#DIV/0!</v>
      </c>
      <c r="Q297" s="405" t="e">
        <f t="shared" si="16"/>
        <v>#DIV/0!</v>
      </c>
      <c r="R297" s="405" t="e">
        <f t="shared" si="16"/>
        <v>#DIV/0!</v>
      </c>
      <c r="S297" s="405" t="e">
        <f t="shared" si="16"/>
        <v>#DIV/0!</v>
      </c>
      <c r="T297" s="405">
        <f t="shared" si="16"/>
        <v>67.328862045912302</v>
      </c>
      <c r="U297" s="405" t="e">
        <f t="shared" si="16"/>
        <v>#DIV/0!</v>
      </c>
      <c r="V297" s="405">
        <f t="shared" si="16"/>
        <v>45.75941331379822</v>
      </c>
      <c r="W297" s="405" t="e">
        <f t="shared" si="16"/>
        <v>#DIV/0!</v>
      </c>
      <c r="X297" s="405" t="e">
        <f t="shared" si="16"/>
        <v>#DIV/0!</v>
      </c>
      <c r="Y297" s="405" t="e">
        <f t="shared" si="16"/>
        <v>#DIV/0!</v>
      </c>
      <c r="Z297" s="405" t="e">
        <f t="shared" si="16"/>
        <v>#DIV/0!</v>
      </c>
      <c r="AA297" s="405">
        <f t="shared" si="16"/>
        <v>19.481648747227311</v>
      </c>
      <c r="AB297" s="405">
        <f t="shared" si="16"/>
        <v>0</v>
      </c>
      <c r="AC297" s="405" t="e">
        <f t="shared" si="16"/>
        <v>#DIV/0!</v>
      </c>
      <c r="AD297" s="405" t="e">
        <f t="shared" si="16"/>
        <v>#DIV/0!</v>
      </c>
      <c r="AE297" s="405" t="e">
        <f t="shared" si="16"/>
        <v>#DIV/0!</v>
      </c>
      <c r="AF297" s="405">
        <f t="shared" si="16"/>
        <v>47.563028083767989</v>
      </c>
      <c r="AG297" s="405" t="e">
        <f t="shared" si="16"/>
        <v>#DIV/0!</v>
      </c>
      <c r="AH297" s="405" t="e">
        <f t="shared" si="16"/>
        <v>#DIV/0!</v>
      </c>
      <c r="AI297" s="405" t="e">
        <f t="shared" si="16"/>
        <v>#DIV/0!</v>
      </c>
      <c r="AJ297" s="405" t="e">
        <f t="shared" si="16"/>
        <v>#DIV/0!</v>
      </c>
      <c r="AK297" s="405">
        <f t="shared" si="16"/>
        <v>30.482191025515238</v>
      </c>
      <c r="AL297" s="405" t="e">
        <f t="shared" si="16"/>
        <v>#DIV/0!</v>
      </c>
      <c r="AM297" s="405" t="e">
        <f t="shared" si="16"/>
        <v>#DIV/0!</v>
      </c>
      <c r="AN297" s="405" t="e">
        <f t="shared" si="16"/>
        <v>#DIV/0!</v>
      </c>
      <c r="AO297" s="405" t="e">
        <f t="shared" si="16"/>
        <v>#DIV/0!</v>
      </c>
      <c r="AP297" s="405" t="e">
        <f t="shared" si="16"/>
        <v>#DIV/0!</v>
      </c>
      <c r="AQ297" s="405" t="e">
        <f t="shared" si="16"/>
        <v>#DIV/0!</v>
      </c>
      <c r="AR297" s="405">
        <f t="shared" si="16"/>
        <v>47.989567896029889</v>
      </c>
      <c r="AS297" s="405" t="e">
        <f t="shared" si="16"/>
        <v>#DIV/0!</v>
      </c>
      <c r="AT297" s="405" t="e">
        <f t="shared" si="16"/>
        <v>#DIV/0!</v>
      </c>
      <c r="AU297" s="405" t="e">
        <f t="shared" si="16"/>
        <v>#DIV/0!</v>
      </c>
      <c r="AV297" s="405">
        <f t="shared" si="16"/>
        <v>34.582649889621699</v>
      </c>
      <c r="AW297" s="405" t="e">
        <f t="shared" si="16"/>
        <v>#DIV/0!</v>
      </c>
      <c r="AX297" s="405" t="e">
        <f t="shared" si="16"/>
        <v>#DIV/0!</v>
      </c>
      <c r="AY297" s="405" t="e">
        <f t="shared" si="16"/>
        <v>#DIV/0!</v>
      </c>
      <c r="AZ297" s="405" t="e">
        <f t="shared" si="16"/>
        <v>#DIV/0!</v>
      </c>
      <c r="BA297" s="405">
        <f t="shared" si="16"/>
        <v>38.711018417647118</v>
      </c>
      <c r="BB297" s="405" t="e">
        <f t="shared" si="16"/>
        <v>#DIV/0!</v>
      </c>
      <c r="BC297" s="405" t="e">
        <f t="shared" si="16"/>
        <v>#DIV/0!</v>
      </c>
      <c r="BD297" s="405" t="e">
        <f t="shared" si="16"/>
        <v>#DIV/0!</v>
      </c>
      <c r="BE297" s="405" t="e">
        <f t="shared" si="16"/>
        <v>#DIV/0!</v>
      </c>
      <c r="BF297" s="405" t="e">
        <f t="shared" si="16"/>
        <v>#DIV/0!</v>
      </c>
      <c r="BG297" s="405">
        <f t="shared" si="16"/>
        <v>55.84967572320447</v>
      </c>
      <c r="BH297" s="405" t="e">
        <f t="shared" si="16"/>
        <v>#DIV/0!</v>
      </c>
      <c r="BI297" s="405" t="e">
        <f t="shared" si="16"/>
        <v>#DIV/0!</v>
      </c>
      <c r="BJ297" s="405" t="e">
        <f t="shared" si="16"/>
        <v>#DIV/0!</v>
      </c>
      <c r="BK297" s="405" t="e">
        <f t="shared" si="16"/>
        <v>#DIV/0!</v>
      </c>
      <c r="BL297" s="405">
        <f t="shared" si="16"/>
        <v>31.116577978631714</v>
      </c>
      <c r="BM297" s="405" t="e">
        <f t="shared" si="16"/>
        <v>#DIV/0!</v>
      </c>
      <c r="BN297" s="405" t="e">
        <f t="shared" si="16"/>
        <v>#DIV/0!</v>
      </c>
      <c r="BO297" s="405" t="e">
        <f t="shared" si="16"/>
        <v>#DIV/0!</v>
      </c>
      <c r="BP297" s="405" t="e">
        <f t="shared" si="16"/>
        <v>#DIV/0!</v>
      </c>
      <c r="BQ297" s="405" t="e">
        <f t="shared" si="16"/>
        <v>#DIV/0!</v>
      </c>
      <c r="BR297" s="405" t="e">
        <f>BR53*365/BR57</f>
        <v>#DIV/0!</v>
      </c>
      <c r="BS297" s="405" t="e">
        <f>BS53*365/BS57</f>
        <v>#DIV/0!</v>
      </c>
      <c r="BT297" s="862" t="e">
        <f t="shared" ref="BT297:CB297" si="17">BT53*365/BT57</f>
        <v>#DIV/0!</v>
      </c>
      <c r="BU297" s="862" t="e">
        <f t="shared" si="17"/>
        <v>#DIV/0!</v>
      </c>
      <c r="BV297" s="862" t="e">
        <f t="shared" si="17"/>
        <v>#DIV/0!</v>
      </c>
      <c r="BW297" s="862" t="e">
        <f t="shared" si="17"/>
        <v>#DIV/0!</v>
      </c>
      <c r="BX297" s="862" t="e">
        <f t="shared" si="17"/>
        <v>#DIV/0!</v>
      </c>
      <c r="BY297" s="862" t="e">
        <f t="shared" si="17"/>
        <v>#DIV/0!</v>
      </c>
      <c r="BZ297" s="862" t="e">
        <f t="shared" si="17"/>
        <v>#DIV/0!</v>
      </c>
      <c r="CA297" s="862" t="e">
        <f t="shared" si="17"/>
        <v>#DIV/0!</v>
      </c>
      <c r="CB297" s="862" t="e">
        <f t="shared" si="17"/>
        <v>#DIV/0!</v>
      </c>
    </row>
    <row r="298" spans="1:80" x14ac:dyDescent="0.25">
      <c r="A298" s="656"/>
      <c r="B298" s="656"/>
      <c r="C298" s="509"/>
      <c r="D298" s="656"/>
      <c r="E298" s="405"/>
      <c r="F298" s="405"/>
      <c r="G298" s="405"/>
      <c r="H298" s="405"/>
      <c r="I298" s="405"/>
      <c r="J298" s="405"/>
      <c r="K298" s="405"/>
      <c r="L298" s="405"/>
      <c r="M298" s="405"/>
      <c r="N298" s="405"/>
      <c r="O298" s="405"/>
      <c r="P298" s="405"/>
      <c r="Q298" s="405"/>
      <c r="R298" s="405"/>
      <c r="S298" s="405"/>
      <c r="T298" s="405"/>
      <c r="U298" s="405"/>
      <c r="V298" s="405"/>
      <c r="W298" s="405"/>
      <c r="X298" s="405"/>
      <c r="Y298" s="405"/>
      <c r="Z298" s="405"/>
      <c r="AA298" s="405"/>
      <c r="AB298" s="405"/>
      <c r="AC298" s="405"/>
      <c r="AD298" s="405"/>
      <c r="AE298" s="405"/>
      <c r="AF298" s="405"/>
      <c r="AG298" s="405"/>
      <c r="AH298" s="405"/>
      <c r="AI298" s="405"/>
      <c r="AJ298" s="405"/>
      <c r="AK298" s="405"/>
      <c r="AL298" s="405"/>
      <c r="AM298" s="405"/>
      <c r="AN298" s="405"/>
      <c r="AO298" s="405"/>
      <c r="AP298" s="405"/>
      <c r="AQ298" s="405"/>
      <c r="AR298" s="405"/>
      <c r="AS298" s="405"/>
      <c r="AT298" s="405"/>
      <c r="AU298" s="405"/>
      <c r="AV298" s="405"/>
      <c r="AW298" s="405"/>
      <c r="AX298" s="405"/>
      <c r="AY298" s="405"/>
      <c r="AZ298" s="405"/>
      <c r="BA298" s="405"/>
      <c r="BB298" s="405"/>
      <c r="BC298" s="405"/>
      <c r="BD298" s="405"/>
      <c r="BE298" s="405"/>
      <c r="BF298" s="405"/>
      <c r="BG298" s="405"/>
      <c r="BH298" s="405"/>
      <c r="BI298" s="405"/>
      <c r="BJ298" s="405"/>
      <c r="BK298" s="405"/>
      <c r="BL298" s="405"/>
      <c r="BM298" s="405"/>
      <c r="BN298" s="405"/>
      <c r="BO298" s="405"/>
      <c r="BP298" s="405"/>
      <c r="BQ298" s="405"/>
      <c r="BR298" s="405"/>
      <c r="BS298" s="405"/>
    </row>
  </sheetData>
  <sheetProtection password="CEAA"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B306"/>
  <sheetViews>
    <sheetView workbookViewId="0">
      <pane xSplit="4" ySplit="1" topLeftCell="E284" activePane="bottomRight" state="frozen"/>
      <selection pane="topRight" activeCell="E1" sqref="E1"/>
      <selection pane="bottomLeft" activeCell="A2" sqref="A2"/>
      <selection pane="bottomRight" activeCell="E2" sqref="E2"/>
    </sheetView>
  </sheetViews>
  <sheetFormatPr defaultRowHeight="15" x14ac:dyDescent="0.25"/>
  <cols>
    <col min="1" max="2" width="9.140625" style="304"/>
    <col min="3" max="3" width="48.140625" style="304" customWidth="1"/>
    <col min="4" max="4" width="10.28515625" style="304" customWidth="1"/>
    <col min="5" max="71" width="18.5703125" style="304" customWidth="1"/>
    <col min="72" max="80" width="16.42578125" style="304" customWidth="1"/>
    <col min="81" max="16384" width="9.140625" style="304"/>
  </cols>
  <sheetData>
    <row r="1" spans="1:80" ht="45" x14ac:dyDescent="0.25">
      <c r="A1" s="794" t="s">
        <v>809</v>
      </c>
      <c r="B1" s="678" t="s">
        <v>665</v>
      </c>
      <c r="C1" s="860"/>
      <c r="D1" s="678" t="s">
        <v>665</v>
      </c>
      <c r="E1" s="793" t="s">
        <v>1105</v>
      </c>
      <c r="F1" s="793" t="s">
        <v>1106</v>
      </c>
      <c r="G1" s="793" t="s">
        <v>1107</v>
      </c>
      <c r="H1" s="793" t="s">
        <v>1108</v>
      </c>
      <c r="I1" s="793" t="s">
        <v>1109</v>
      </c>
      <c r="J1" s="793" t="s">
        <v>1110</v>
      </c>
      <c r="K1" s="793" t="s">
        <v>1111</v>
      </c>
      <c r="L1" s="793" t="s">
        <v>1112</v>
      </c>
      <c r="M1" s="793" t="s">
        <v>1113</v>
      </c>
      <c r="N1" s="793" t="s">
        <v>1114</v>
      </c>
      <c r="O1" s="793" t="s">
        <v>1115</v>
      </c>
      <c r="P1" s="793" t="s">
        <v>1116</v>
      </c>
      <c r="Q1" s="793" t="s">
        <v>1117</v>
      </c>
      <c r="R1" s="793" t="s">
        <v>1118</v>
      </c>
      <c r="S1" s="793" t="s">
        <v>1119</v>
      </c>
      <c r="T1" s="793" t="s">
        <v>1120</v>
      </c>
      <c r="U1" s="793" t="s">
        <v>1121</v>
      </c>
      <c r="V1" s="793" t="s">
        <v>1122</v>
      </c>
      <c r="W1" s="793" t="s">
        <v>1123</v>
      </c>
      <c r="X1" s="793" t="s">
        <v>1124</v>
      </c>
      <c r="Y1" s="793" t="s">
        <v>1125</v>
      </c>
      <c r="Z1" s="793" t="s">
        <v>1126</v>
      </c>
      <c r="AA1" s="793" t="s">
        <v>1127</v>
      </c>
      <c r="AB1" s="793" t="s">
        <v>1128</v>
      </c>
      <c r="AC1" s="793" t="s">
        <v>1129</v>
      </c>
      <c r="AD1" s="793" t="s">
        <v>1130</v>
      </c>
      <c r="AE1" s="793" t="s">
        <v>1131</v>
      </c>
      <c r="AF1" s="793" t="s">
        <v>1132</v>
      </c>
      <c r="AG1" s="793" t="s">
        <v>1133</v>
      </c>
      <c r="AH1" s="793" t="s">
        <v>1134</v>
      </c>
      <c r="AI1" s="793" t="s">
        <v>1135</v>
      </c>
      <c r="AJ1" s="793" t="s">
        <v>1136</v>
      </c>
      <c r="AK1" s="793" t="s">
        <v>1137</v>
      </c>
      <c r="AL1" s="793" t="s">
        <v>1138</v>
      </c>
      <c r="AM1" s="793" t="s">
        <v>1139</v>
      </c>
      <c r="AN1" s="793" t="s">
        <v>1140</v>
      </c>
      <c r="AO1" s="793" t="s">
        <v>1141</v>
      </c>
      <c r="AP1" s="793" t="s">
        <v>1142</v>
      </c>
      <c r="AQ1" s="793" t="s">
        <v>1143</v>
      </c>
      <c r="AR1" s="793" t="s">
        <v>1144</v>
      </c>
      <c r="AS1" s="793" t="s">
        <v>1145</v>
      </c>
      <c r="AT1" s="793" t="s">
        <v>1146</v>
      </c>
      <c r="AU1" s="793" t="s">
        <v>1147</v>
      </c>
      <c r="AV1" s="793" t="s">
        <v>1148</v>
      </c>
      <c r="AW1" s="793" t="s">
        <v>1149</v>
      </c>
      <c r="AX1" s="793" t="s">
        <v>1150</v>
      </c>
      <c r="AY1" s="793" t="s">
        <v>1151</v>
      </c>
      <c r="AZ1" s="793" t="s">
        <v>1152</v>
      </c>
      <c r="BA1" s="793" t="s">
        <v>1153</v>
      </c>
      <c r="BB1" s="793" t="s">
        <v>1154</v>
      </c>
      <c r="BC1" s="793" t="s">
        <v>1155</v>
      </c>
      <c r="BD1" s="793" t="s">
        <v>1156</v>
      </c>
      <c r="BE1" s="793" t="s">
        <v>1157</v>
      </c>
      <c r="BF1" s="793" t="s">
        <v>1158</v>
      </c>
      <c r="BG1" s="793" t="s">
        <v>1159</v>
      </c>
      <c r="BH1" s="793" t="s">
        <v>908</v>
      </c>
      <c r="BI1" s="793" t="s">
        <v>1160</v>
      </c>
      <c r="BJ1" s="793" t="s">
        <v>1161</v>
      </c>
      <c r="BK1" s="793" t="s">
        <v>1162</v>
      </c>
      <c r="BL1" s="793" t="s">
        <v>1163</v>
      </c>
      <c r="BM1" s="793" t="s">
        <v>1164</v>
      </c>
      <c r="BN1" s="793" t="s">
        <v>1165</v>
      </c>
      <c r="BO1" s="793" t="s">
        <v>1166</v>
      </c>
      <c r="BP1" s="793" t="s">
        <v>1167</v>
      </c>
      <c r="BQ1" s="793" t="s">
        <v>1168</v>
      </c>
      <c r="BR1" s="793" t="s">
        <v>1169</v>
      </c>
      <c r="BS1" s="793" t="s">
        <v>1170</v>
      </c>
      <c r="BT1" s="793" t="s">
        <v>1171</v>
      </c>
      <c r="BU1" s="793" t="s">
        <v>1172</v>
      </c>
      <c r="BV1" s="793" t="s">
        <v>1173</v>
      </c>
      <c r="BW1" s="793" t="s">
        <v>1174</v>
      </c>
      <c r="BX1" s="793" t="s">
        <v>1175</v>
      </c>
      <c r="BY1" s="793" t="s">
        <v>1176</v>
      </c>
      <c r="BZ1" s="793" t="s">
        <v>1177</v>
      </c>
      <c r="CA1" s="793" t="s">
        <v>1178</v>
      </c>
      <c r="CB1" s="793" t="s">
        <v>1179</v>
      </c>
    </row>
    <row r="2" spans="1:80" x14ac:dyDescent="0.25">
      <c r="A2" s="792" t="s">
        <v>823</v>
      </c>
      <c r="B2" s="791"/>
      <c r="C2" s="791"/>
      <c r="D2" s="804" t="s">
        <v>364</v>
      </c>
      <c r="E2" s="790">
        <v>50476</v>
      </c>
      <c r="F2" s="801">
        <v>50191</v>
      </c>
      <c r="G2" s="801">
        <v>50192</v>
      </c>
      <c r="H2" s="801">
        <v>50193</v>
      </c>
      <c r="I2" s="801">
        <v>50194</v>
      </c>
      <c r="J2" s="801">
        <v>50195</v>
      </c>
      <c r="K2" s="790">
        <v>50196</v>
      </c>
      <c r="L2" s="803">
        <v>50197</v>
      </c>
      <c r="M2" s="802">
        <v>50498</v>
      </c>
      <c r="N2" s="789">
        <v>50198</v>
      </c>
      <c r="O2" s="802">
        <v>50199</v>
      </c>
      <c r="P2" s="802">
        <v>50200</v>
      </c>
      <c r="Q2" s="802">
        <v>50201</v>
      </c>
      <c r="R2" s="802">
        <v>50202</v>
      </c>
      <c r="S2" s="802">
        <v>50493</v>
      </c>
      <c r="T2" s="802">
        <v>50203</v>
      </c>
      <c r="U2" s="802">
        <v>50518</v>
      </c>
      <c r="V2" s="802">
        <v>50204</v>
      </c>
      <c r="W2" s="802">
        <v>50205</v>
      </c>
      <c r="X2" s="802">
        <v>50206</v>
      </c>
      <c r="Y2" s="802">
        <v>50207</v>
      </c>
      <c r="Z2" s="802">
        <v>50208</v>
      </c>
      <c r="AA2" s="788">
        <v>50209</v>
      </c>
      <c r="AB2" s="788">
        <v>50210</v>
      </c>
      <c r="AC2" s="788">
        <v>50519</v>
      </c>
      <c r="AD2" s="788">
        <v>50528</v>
      </c>
      <c r="AE2" s="788">
        <v>50211</v>
      </c>
      <c r="AF2" s="788">
        <v>50212</v>
      </c>
      <c r="AG2" s="788">
        <v>50213</v>
      </c>
      <c r="AH2" s="788">
        <v>50214</v>
      </c>
      <c r="AI2" s="788">
        <v>50215</v>
      </c>
      <c r="AJ2" s="788">
        <v>50216</v>
      </c>
      <c r="AK2" s="788">
        <v>50217</v>
      </c>
      <c r="AL2" s="788">
        <v>50218</v>
      </c>
      <c r="AM2" s="788">
        <v>50477</v>
      </c>
      <c r="AN2" s="788">
        <v>50520</v>
      </c>
      <c r="AO2" s="788">
        <v>50219</v>
      </c>
      <c r="AP2" s="788">
        <v>50220</v>
      </c>
      <c r="AQ2" s="788">
        <v>50536</v>
      </c>
      <c r="AR2" s="788">
        <v>50221</v>
      </c>
      <c r="AS2" s="788">
        <v>50222</v>
      </c>
      <c r="AT2" s="788">
        <v>50223</v>
      </c>
      <c r="AU2" s="788">
        <v>50224</v>
      </c>
      <c r="AV2" s="788">
        <v>50225</v>
      </c>
      <c r="AW2" s="788">
        <v>50226</v>
      </c>
      <c r="AX2" s="788">
        <v>50227</v>
      </c>
      <c r="AY2" s="788">
        <v>50455</v>
      </c>
      <c r="AZ2" s="788">
        <v>50229</v>
      </c>
      <c r="BA2" s="788">
        <v>50230</v>
      </c>
      <c r="BB2" s="788">
        <v>50231</v>
      </c>
      <c r="BC2" s="788">
        <v>50232</v>
      </c>
      <c r="BD2" s="788">
        <v>50233</v>
      </c>
      <c r="BE2" s="788">
        <v>50234</v>
      </c>
      <c r="BF2" s="788">
        <v>50235</v>
      </c>
      <c r="BG2" s="788">
        <v>50236</v>
      </c>
      <c r="BH2" s="788">
        <v>50237</v>
      </c>
      <c r="BI2" s="788">
        <v>50238</v>
      </c>
      <c r="BJ2" s="788">
        <v>50444</v>
      </c>
      <c r="BK2" s="788">
        <v>50239</v>
      </c>
      <c r="BL2" s="788">
        <v>50240</v>
      </c>
      <c r="BM2" s="788">
        <v>50241</v>
      </c>
      <c r="BN2" s="788">
        <v>50521</v>
      </c>
      <c r="BO2" s="788">
        <v>50242</v>
      </c>
      <c r="BP2" s="788">
        <v>50244</v>
      </c>
      <c r="BQ2" s="788">
        <v>50243</v>
      </c>
      <c r="BR2" s="788">
        <v>50245</v>
      </c>
      <c r="BS2" s="788">
        <v>50522</v>
      </c>
      <c r="BT2" s="788">
        <v>50246</v>
      </c>
      <c r="BU2" s="788">
        <v>50247</v>
      </c>
      <c r="BV2" s="788">
        <v>50248</v>
      </c>
      <c r="BW2" s="788">
        <v>50249</v>
      </c>
      <c r="BX2" s="788">
        <v>50250</v>
      </c>
      <c r="BY2" s="788">
        <v>50251</v>
      </c>
      <c r="BZ2" s="788">
        <v>50252</v>
      </c>
      <c r="CA2" s="788">
        <v>50253</v>
      </c>
      <c r="CB2" s="788">
        <v>50454</v>
      </c>
    </row>
    <row r="3" spans="1:80" x14ac:dyDescent="0.25">
      <c r="A3" s="787">
        <v>4</v>
      </c>
      <c r="B3" s="846">
        <v>4</v>
      </c>
      <c r="C3" s="832" t="s">
        <v>717</v>
      </c>
      <c r="D3" s="860" t="s">
        <v>365</v>
      </c>
      <c r="E3" s="829">
        <v>143369</v>
      </c>
      <c r="F3" s="798">
        <v>863233</v>
      </c>
      <c r="G3" s="798">
        <v>112529</v>
      </c>
      <c r="H3" s="798">
        <v>2072880</v>
      </c>
      <c r="I3" s="798">
        <v>217343</v>
      </c>
      <c r="J3" s="798">
        <v>14129</v>
      </c>
      <c r="K3" s="800">
        <v>27050</v>
      </c>
      <c r="L3" s="835">
        <v>7156</v>
      </c>
      <c r="M3" s="835">
        <v>4971626</v>
      </c>
      <c r="N3" s="830">
        <v>12748</v>
      </c>
      <c r="O3" s="830">
        <v>60456</v>
      </c>
      <c r="P3" s="830">
        <v>17165</v>
      </c>
      <c r="Q3" s="830">
        <v>1413149</v>
      </c>
      <c r="R3" s="830">
        <v>647447</v>
      </c>
      <c r="S3" s="830">
        <v>20842</v>
      </c>
      <c r="T3" s="830">
        <v>515700</v>
      </c>
      <c r="U3" s="830">
        <v>3912</v>
      </c>
      <c r="V3" s="830">
        <v>1033810</v>
      </c>
      <c r="W3" s="830">
        <v>362</v>
      </c>
      <c r="X3" s="830">
        <v>336741</v>
      </c>
      <c r="Y3" s="830">
        <v>1087661</v>
      </c>
      <c r="Z3" s="830">
        <v>218685</v>
      </c>
      <c r="AA3" s="835">
        <v>67477</v>
      </c>
      <c r="AB3" s="835">
        <v>163239</v>
      </c>
      <c r="AC3" s="835">
        <v>25724</v>
      </c>
      <c r="AD3" s="835">
        <v>44917</v>
      </c>
      <c r="AE3" s="835">
        <v>32179</v>
      </c>
      <c r="AF3" s="835">
        <v>156579</v>
      </c>
      <c r="AG3" s="835">
        <v>2915</v>
      </c>
      <c r="AH3" s="835">
        <v>732</v>
      </c>
      <c r="AI3" s="835">
        <v>441</v>
      </c>
      <c r="AJ3" s="835">
        <v>157212</v>
      </c>
      <c r="AK3" s="835">
        <v>108816</v>
      </c>
      <c r="AL3" s="835">
        <v>32364</v>
      </c>
      <c r="AM3" s="835">
        <v>5720</v>
      </c>
      <c r="AN3" s="835">
        <v>950909</v>
      </c>
      <c r="AO3" s="835">
        <v>231100</v>
      </c>
      <c r="AP3" s="835">
        <v>5457</v>
      </c>
      <c r="AQ3" s="835">
        <v>259313</v>
      </c>
      <c r="AR3" s="835">
        <v>1040870</v>
      </c>
      <c r="AS3" s="835">
        <v>73869</v>
      </c>
      <c r="AT3" s="835">
        <v>11326</v>
      </c>
      <c r="AU3" s="835">
        <v>130462</v>
      </c>
      <c r="AV3" s="835">
        <v>1377369</v>
      </c>
      <c r="AW3" s="835">
        <v>39946</v>
      </c>
      <c r="AX3" s="835">
        <v>92481</v>
      </c>
      <c r="AY3" s="835">
        <v>1364595</v>
      </c>
      <c r="AZ3" s="835">
        <v>101442</v>
      </c>
      <c r="BA3" s="835">
        <v>371020</v>
      </c>
      <c r="BB3" s="835">
        <v>30300</v>
      </c>
      <c r="BC3" s="835">
        <v>42882</v>
      </c>
      <c r="BD3" s="835">
        <v>11953</v>
      </c>
      <c r="BE3" s="835">
        <v>3642</v>
      </c>
      <c r="BF3" s="835">
        <v>1215235</v>
      </c>
      <c r="BG3" s="835">
        <v>12732</v>
      </c>
      <c r="BH3" s="835">
        <v>2365</v>
      </c>
      <c r="BI3" s="835">
        <v>53197</v>
      </c>
      <c r="BJ3" s="835">
        <v>122569</v>
      </c>
      <c r="BK3" s="835">
        <v>24999</v>
      </c>
      <c r="BL3" s="835">
        <v>38924</v>
      </c>
      <c r="BM3" s="835">
        <v>132988</v>
      </c>
      <c r="BN3" s="835">
        <v>0</v>
      </c>
      <c r="BO3" s="835">
        <v>211071</v>
      </c>
      <c r="BP3" s="835">
        <v>130837</v>
      </c>
      <c r="BQ3" s="835">
        <v>8126</v>
      </c>
      <c r="BR3" s="835">
        <v>44141</v>
      </c>
      <c r="BS3" s="835">
        <v>157921</v>
      </c>
      <c r="BT3" s="835">
        <v>922443</v>
      </c>
      <c r="BU3" s="835">
        <v>143966</v>
      </c>
      <c r="BV3" s="835">
        <v>79782</v>
      </c>
      <c r="BW3" s="835">
        <v>26740</v>
      </c>
      <c r="BX3" s="835">
        <v>160527</v>
      </c>
      <c r="BY3" s="835">
        <v>0</v>
      </c>
      <c r="BZ3" s="835">
        <v>0</v>
      </c>
      <c r="CA3" s="835">
        <v>1640511</v>
      </c>
      <c r="CB3" s="835">
        <v>2447</v>
      </c>
    </row>
    <row r="4" spans="1:80" ht="30" x14ac:dyDescent="0.25">
      <c r="A4" s="787">
        <v>5</v>
      </c>
      <c r="B4" s="846">
        <v>5</v>
      </c>
      <c r="C4" s="832" t="s">
        <v>127</v>
      </c>
      <c r="D4" s="860" t="s">
        <v>366</v>
      </c>
      <c r="E4" s="829">
        <v>0</v>
      </c>
      <c r="F4" s="798">
        <v>176871</v>
      </c>
      <c r="G4" s="798">
        <v>0</v>
      </c>
      <c r="H4" s="798">
        <v>149821</v>
      </c>
      <c r="I4" s="798">
        <v>0</v>
      </c>
      <c r="J4" s="798">
        <v>0</v>
      </c>
      <c r="K4" s="800">
        <v>3265</v>
      </c>
      <c r="L4" s="835">
        <v>10162</v>
      </c>
      <c r="M4" s="835">
        <v>10905</v>
      </c>
      <c r="N4" s="830">
        <v>0</v>
      </c>
      <c r="O4" s="830">
        <v>4</v>
      </c>
      <c r="P4" s="830">
        <v>0</v>
      </c>
      <c r="Q4" s="830">
        <v>0</v>
      </c>
      <c r="R4" s="830">
        <v>0</v>
      </c>
      <c r="S4" s="830">
        <v>0</v>
      </c>
      <c r="T4" s="830">
        <v>0</v>
      </c>
      <c r="U4" s="830">
        <v>0</v>
      </c>
      <c r="V4" s="830">
        <v>867</v>
      </c>
      <c r="W4" s="830">
        <v>64</v>
      </c>
      <c r="X4" s="830">
        <v>0</v>
      </c>
      <c r="Y4" s="830">
        <v>169306</v>
      </c>
      <c r="Z4" s="830">
        <v>0</v>
      </c>
      <c r="AA4" s="835">
        <v>30</v>
      </c>
      <c r="AB4" s="835">
        <v>0</v>
      </c>
      <c r="AC4" s="835">
        <v>0</v>
      </c>
      <c r="AD4" s="835">
        <v>0</v>
      </c>
      <c r="AE4" s="835">
        <v>0</v>
      </c>
      <c r="AF4" s="835">
        <v>0</v>
      </c>
      <c r="AG4" s="835">
        <v>0</v>
      </c>
      <c r="AH4" s="835">
        <v>0</v>
      </c>
      <c r="AI4" s="835">
        <v>10244</v>
      </c>
      <c r="AJ4" s="835">
        <v>0</v>
      </c>
      <c r="AK4" s="835">
        <v>7185</v>
      </c>
      <c r="AL4" s="835">
        <v>0</v>
      </c>
      <c r="AM4" s="835">
        <v>0</v>
      </c>
      <c r="AN4" s="835">
        <v>0</v>
      </c>
      <c r="AO4" s="835">
        <v>0</v>
      </c>
      <c r="AP4" s="835">
        <v>0</v>
      </c>
      <c r="AQ4" s="835">
        <v>0</v>
      </c>
      <c r="AR4" s="835">
        <v>0</v>
      </c>
      <c r="AS4" s="835">
        <v>2121</v>
      </c>
      <c r="AT4" s="835">
        <v>0</v>
      </c>
      <c r="AU4" s="835">
        <v>3198</v>
      </c>
      <c r="AV4" s="835">
        <v>13450</v>
      </c>
      <c r="AW4" s="835">
        <v>0</v>
      </c>
      <c r="AX4" s="835">
        <v>0</v>
      </c>
      <c r="AY4" s="835">
        <v>0</v>
      </c>
      <c r="AZ4" s="835">
        <v>0</v>
      </c>
      <c r="BA4" s="835">
        <v>0</v>
      </c>
      <c r="BB4" s="835">
        <v>0</v>
      </c>
      <c r="BC4" s="835">
        <v>44</v>
      </c>
      <c r="BD4" s="835">
        <v>0</v>
      </c>
      <c r="BE4" s="835">
        <v>0</v>
      </c>
      <c r="BF4" s="835">
        <v>14448</v>
      </c>
      <c r="BG4" s="835">
        <v>0</v>
      </c>
      <c r="BH4" s="835">
        <v>0</v>
      </c>
      <c r="BI4" s="835">
        <v>0</v>
      </c>
      <c r="BJ4" s="835">
        <v>4224</v>
      </c>
      <c r="BK4" s="835">
        <v>0</v>
      </c>
      <c r="BL4" s="835">
        <v>78</v>
      </c>
      <c r="BM4" s="835">
        <v>0</v>
      </c>
      <c r="BN4" s="835">
        <v>0</v>
      </c>
      <c r="BO4" s="835">
        <v>4543</v>
      </c>
      <c r="BP4" s="835">
        <v>787</v>
      </c>
      <c r="BQ4" s="835">
        <v>0</v>
      </c>
      <c r="BR4" s="835">
        <v>0</v>
      </c>
      <c r="BS4" s="835">
        <v>0</v>
      </c>
      <c r="BT4" s="835">
        <v>0</v>
      </c>
      <c r="BU4" s="835">
        <v>0</v>
      </c>
      <c r="BV4" s="835">
        <v>3148</v>
      </c>
      <c r="BW4" s="835">
        <v>0</v>
      </c>
      <c r="BX4" s="835">
        <v>0</v>
      </c>
      <c r="BY4" s="835">
        <v>0</v>
      </c>
      <c r="BZ4" s="835">
        <v>0</v>
      </c>
      <c r="CA4" s="835">
        <v>806</v>
      </c>
      <c r="CB4" s="835">
        <v>0</v>
      </c>
    </row>
    <row r="5" spans="1:80" x14ac:dyDescent="0.25">
      <c r="A5" s="787">
        <v>6</v>
      </c>
      <c r="B5" s="846">
        <v>6</v>
      </c>
      <c r="C5" s="832" t="s">
        <v>332</v>
      </c>
      <c r="D5" s="860" t="s">
        <v>367</v>
      </c>
      <c r="E5" s="829">
        <v>0</v>
      </c>
      <c r="F5" s="798">
        <v>1449001</v>
      </c>
      <c r="G5" s="798">
        <v>0</v>
      </c>
      <c r="H5" s="798">
        <v>579646</v>
      </c>
      <c r="I5" s="798">
        <v>0</v>
      </c>
      <c r="J5" s="798">
        <v>0</v>
      </c>
      <c r="K5" s="800">
        <v>0</v>
      </c>
      <c r="L5" s="835">
        <v>0</v>
      </c>
      <c r="M5" s="835">
        <v>0</v>
      </c>
      <c r="N5" s="830">
        <v>0</v>
      </c>
      <c r="O5" s="830">
        <v>0</v>
      </c>
      <c r="P5" s="830">
        <v>0</v>
      </c>
      <c r="Q5" s="830">
        <v>0</v>
      </c>
      <c r="R5" s="830">
        <v>378646</v>
      </c>
      <c r="S5" s="830">
        <v>0</v>
      </c>
      <c r="T5" s="830">
        <v>0</v>
      </c>
      <c r="U5" s="830">
        <v>0</v>
      </c>
      <c r="V5" s="830">
        <v>0</v>
      </c>
      <c r="W5" s="830">
        <v>0</v>
      </c>
      <c r="X5" s="830">
        <v>9225</v>
      </c>
      <c r="Y5" s="830">
        <v>850878</v>
      </c>
      <c r="Z5" s="830">
        <v>0</v>
      </c>
      <c r="AA5" s="835">
        <v>0</v>
      </c>
      <c r="AB5" s="835">
        <v>0</v>
      </c>
      <c r="AC5" s="835">
        <v>0</v>
      </c>
      <c r="AD5" s="835">
        <v>0</v>
      </c>
      <c r="AE5" s="835">
        <v>0</v>
      </c>
      <c r="AF5" s="835">
        <v>0</v>
      </c>
      <c r="AG5" s="835">
        <v>0</v>
      </c>
      <c r="AH5" s="835">
        <v>0</v>
      </c>
      <c r="AI5" s="835">
        <v>0</v>
      </c>
      <c r="AJ5" s="835">
        <v>0</v>
      </c>
      <c r="AK5" s="835">
        <v>0</v>
      </c>
      <c r="AL5" s="835">
        <v>0</v>
      </c>
      <c r="AM5" s="835">
        <v>0</v>
      </c>
      <c r="AN5" s="835">
        <v>0</v>
      </c>
      <c r="AO5" s="835">
        <v>0</v>
      </c>
      <c r="AP5" s="835">
        <v>0</v>
      </c>
      <c r="AQ5" s="835">
        <v>0</v>
      </c>
      <c r="AR5" s="835">
        <v>316214</v>
      </c>
      <c r="AS5" s="835">
        <v>0</v>
      </c>
      <c r="AT5" s="835">
        <v>0</v>
      </c>
      <c r="AU5" s="835">
        <v>0</v>
      </c>
      <c r="AV5" s="835">
        <v>168687</v>
      </c>
      <c r="AW5" s="835">
        <v>0</v>
      </c>
      <c r="AX5" s="835">
        <v>0</v>
      </c>
      <c r="AY5" s="835">
        <v>0</v>
      </c>
      <c r="AZ5" s="835">
        <v>0</v>
      </c>
      <c r="BA5" s="835">
        <v>0</v>
      </c>
      <c r="BB5" s="835">
        <v>0</v>
      </c>
      <c r="BC5" s="835">
        <v>0</v>
      </c>
      <c r="BD5" s="835">
        <v>0</v>
      </c>
      <c r="BE5" s="835">
        <v>0</v>
      </c>
      <c r="BF5" s="835">
        <v>0</v>
      </c>
      <c r="BG5" s="835">
        <v>0</v>
      </c>
      <c r="BH5" s="835">
        <v>0</v>
      </c>
      <c r="BI5" s="835">
        <v>0</v>
      </c>
      <c r="BJ5" s="835">
        <v>34253</v>
      </c>
      <c r="BK5" s="835">
        <v>0</v>
      </c>
      <c r="BL5" s="835">
        <v>103520</v>
      </c>
      <c r="BM5" s="835">
        <v>94494</v>
      </c>
      <c r="BN5" s="835">
        <v>0</v>
      </c>
      <c r="BO5" s="835">
        <v>0</v>
      </c>
      <c r="BP5" s="835">
        <v>0</v>
      </c>
      <c r="BQ5" s="835">
        <v>0</v>
      </c>
      <c r="BR5" s="835">
        <v>0</v>
      </c>
      <c r="BS5" s="835">
        <v>0</v>
      </c>
      <c r="BT5" s="835">
        <v>0</v>
      </c>
      <c r="BU5" s="835">
        <v>0</v>
      </c>
      <c r="BV5" s="835">
        <v>0</v>
      </c>
      <c r="BW5" s="835">
        <v>0</v>
      </c>
      <c r="BX5" s="835">
        <v>514092</v>
      </c>
      <c r="BY5" s="835">
        <v>0</v>
      </c>
      <c r="BZ5" s="835">
        <v>0</v>
      </c>
      <c r="CA5" s="835">
        <v>232325</v>
      </c>
      <c r="CB5" s="835">
        <v>0</v>
      </c>
    </row>
    <row r="6" spans="1:80" x14ac:dyDescent="0.25">
      <c r="A6" s="787">
        <v>7</v>
      </c>
      <c r="B6" s="846">
        <v>7</v>
      </c>
      <c r="C6" s="832" t="s">
        <v>269</v>
      </c>
      <c r="D6" s="860" t="s">
        <v>368</v>
      </c>
      <c r="E6" s="829">
        <v>29951</v>
      </c>
      <c r="F6" s="798">
        <v>613913</v>
      </c>
      <c r="G6" s="798">
        <v>0</v>
      </c>
      <c r="H6" s="798">
        <v>2133525</v>
      </c>
      <c r="I6" s="798">
        <v>36635</v>
      </c>
      <c r="J6" s="798">
        <v>0</v>
      </c>
      <c r="K6" s="800">
        <v>0</v>
      </c>
      <c r="L6" s="835">
        <v>0</v>
      </c>
      <c r="M6" s="835">
        <v>127988</v>
      </c>
      <c r="N6" s="830">
        <v>0</v>
      </c>
      <c r="O6" s="830">
        <v>0</v>
      </c>
      <c r="P6" s="830">
        <v>0</v>
      </c>
      <c r="Q6" s="830">
        <v>2700</v>
      </c>
      <c r="R6" s="830">
        <v>147216</v>
      </c>
      <c r="S6" s="830">
        <v>0</v>
      </c>
      <c r="T6" s="830">
        <v>48032</v>
      </c>
      <c r="U6" s="830">
        <v>0</v>
      </c>
      <c r="V6" s="830">
        <v>92061</v>
      </c>
      <c r="W6" s="830">
        <v>0</v>
      </c>
      <c r="X6" s="830">
        <v>25050</v>
      </c>
      <c r="Y6" s="830">
        <v>233533</v>
      </c>
      <c r="Z6" s="830">
        <v>0</v>
      </c>
      <c r="AA6" s="835">
        <v>39430</v>
      </c>
      <c r="AB6" s="835">
        <v>780</v>
      </c>
      <c r="AC6" s="835">
        <v>2500</v>
      </c>
      <c r="AD6" s="835">
        <v>0</v>
      </c>
      <c r="AE6" s="835">
        <v>0</v>
      </c>
      <c r="AF6" s="835">
        <v>0</v>
      </c>
      <c r="AG6" s="835">
        <v>0</v>
      </c>
      <c r="AH6" s="835">
        <v>0</v>
      </c>
      <c r="AI6" s="835">
        <v>0</v>
      </c>
      <c r="AJ6" s="835">
        <v>0</v>
      </c>
      <c r="AK6" s="835">
        <v>18803</v>
      </c>
      <c r="AL6" s="835">
        <v>660</v>
      </c>
      <c r="AM6" s="835">
        <v>0</v>
      </c>
      <c r="AN6" s="835">
        <v>0</v>
      </c>
      <c r="AO6" s="835">
        <v>0</v>
      </c>
      <c r="AP6" s="835">
        <v>0</v>
      </c>
      <c r="AQ6" s="835">
        <v>0</v>
      </c>
      <c r="AR6" s="835">
        <v>15829</v>
      </c>
      <c r="AS6" s="835">
        <v>13243</v>
      </c>
      <c r="AT6" s="835">
        <v>0</v>
      </c>
      <c r="AU6" s="835">
        <v>14435</v>
      </c>
      <c r="AV6" s="835">
        <v>47603</v>
      </c>
      <c r="AW6" s="835">
        <v>0</v>
      </c>
      <c r="AX6" s="835">
        <v>0</v>
      </c>
      <c r="AY6" s="835">
        <v>81396</v>
      </c>
      <c r="AZ6" s="835">
        <v>2500</v>
      </c>
      <c r="BA6" s="835">
        <v>0</v>
      </c>
      <c r="BB6" s="835">
        <v>0</v>
      </c>
      <c r="BC6" s="835">
        <v>0</v>
      </c>
      <c r="BD6" s="835">
        <v>0</v>
      </c>
      <c r="BE6" s="835">
        <v>0</v>
      </c>
      <c r="BF6" s="835">
        <v>125231</v>
      </c>
      <c r="BG6" s="835">
        <v>0</v>
      </c>
      <c r="BH6" s="835">
        <v>0</v>
      </c>
      <c r="BI6" s="835">
        <v>0</v>
      </c>
      <c r="BJ6" s="835">
        <v>13592</v>
      </c>
      <c r="BK6" s="835">
        <v>0</v>
      </c>
      <c r="BL6" s="835">
        <v>0</v>
      </c>
      <c r="BM6" s="835">
        <v>0</v>
      </c>
      <c r="BN6" s="835">
        <v>0</v>
      </c>
      <c r="BO6" s="835">
        <v>60475</v>
      </c>
      <c r="BP6" s="835">
        <v>0</v>
      </c>
      <c r="BQ6" s="835">
        <v>4000</v>
      </c>
      <c r="BR6" s="835">
        <v>0</v>
      </c>
      <c r="BS6" s="835">
        <v>900</v>
      </c>
      <c r="BT6" s="835">
        <v>4049</v>
      </c>
      <c r="BU6" s="835">
        <v>0</v>
      </c>
      <c r="BV6" s="835">
        <v>0</v>
      </c>
      <c r="BW6" s="835">
        <v>0</v>
      </c>
      <c r="BX6" s="835">
        <v>0</v>
      </c>
      <c r="BY6" s="835">
        <v>0</v>
      </c>
      <c r="BZ6" s="835">
        <v>0</v>
      </c>
      <c r="CA6" s="835">
        <v>131945</v>
      </c>
      <c r="CB6" s="835">
        <v>0</v>
      </c>
    </row>
    <row r="7" spans="1:80" x14ac:dyDescent="0.25">
      <c r="A7" s="787">
        <v>9</v>
      </c>
      <c r="B7" s="846">
        <v>9</v>
      </c>
      <c r="C7" s="832" t="s">
        <v>271</v>
      </c>
      <c r="D7" s="860" t="s">
        <v>369</v>
      </c>
      <c r="E7" s="829">
        <v>468959</v>
      </c>
      <c r="F7" s="798">
        <v>19252883</v>
      </c>
      <c r="G7" s="798">
        <v>472618</v>
      </c>
      <c r="H7" s="798">
        <v>32110624</v>
      </c>
      <c r="I7" s="798">
        <v>3996698</v>
      </c>
      <c r="J7" s="798">
        <v>529729</v>
      </c>
      <c r="K7" s="800">
        <v>2689017</v>
      </c>
      <c r="L7" s="835">
        <v>1374238</v>
      </c>
      <c r="M7" s="835">
        <v>18801072</v>
      </c>
      <c r="N7" s="830">
        <v>220361</v>
      </c>
      <c r="O7" s="830">
        <v>634187</v>
      </c>
      <c r="P7" s="830">
        <v>559371</v>
      </c>
      <c r="Q7" s="830">
        <v>14205764</v>
      </c>
      <c r="R7" s="830">
        <v>18010537</v>
      </c>
      <c r="S7" s="830">
        <v>3555392</v>
      </c>
      <c r="T7" s="830">
        <v>6755571</v>
      </c>
      <c r="U7" s="830">
        <v>292285</v>
      </c>
      <c r="V7" s="830">
        <v>10546546</v>
      </c>
      <c r="W7" s="830">
        <v>269010</v>
      </c>
      <c r="X7" s="830">
        <v>10355431</v>
      </c>
      <c r="Y7" s="830">
        <v>8224946</v>
      </c>
      <c r="Z7" s="830">
        <v>4227281</v>
      </c>
      <c r="AA7" s="835">
        <v>1545459</v>
      </c>
      <c r="AB7" s="835">
        <v>3001156</v>
      </c>
      <c r="AC7" s="835">
        <v>1305952</v>
      </c>
      <c r="AD7" s="835">
        <v>184388</v>
      </c>
      <c r="AE7" s="835">
        <v>1170767</v>
      </c>
      <c r="AF7" s="835">
        <v>1368297</v>
      </c>
      <c r="AG7" s="835">
        <v>129211</v>
      </c>
      <c r="AH7" s="835">
        <v>74518</v>
      </c>
      <c r="AI7" s="835">
        <v>295721</v>
      </c>
      <c r="AJ7" s="835">
        <v>1754811</v>
      </c>
      <c r="AK7" s="835">
        <v>3699497</v>
      </c>
      <c r="AL7" s="835">
        <v>297134</v>
      </c>
      <c r="AM7" s="835">
        <v>108859</v>
      </c>
      <c r="AN7" s="835">
        <v>13784759</v>
      </c>
      <c r="AO7" s="835">
        <v>10365849</v>
      </c>
      <c r="AP7" s="835">
        <v>541388</v>
      </c>
      <c r="AQ7" s="835">
        <v>6826018</v>
      </c>
      <c r="AR7" s="835">
        <v>10320223</v>
      </c>
      <c r="AS7" s="835">
        <v>2671432</v>
      </c>
      <c r="AT7" s="835">
        <v>384218</v>
      </c>
      <c r="AU7" s="835">
        <v>4545467</v>
      </c>
      <c r="AV7" s="835">
        <v>4795985</v>
      </c>
      <c r="AW7" s="835">
        <v>123167</v>
      </c>
      <c r="AX7" s="835">
        <v>419296</v>
      </c>
      <c r="AY7" s="835">
        <v>2665083</v>
      </c>
      <c r="AZ7" s="835">
        <v>2247029</v>
      </c>
      <c r="BA7" s="835">
        <v>2253682</v>
      </c>
      <c r="BB7" s="835">
        <v>114223</v>
      </c>
      <c r="BC7" s="835">
        <v>1407340</v>
      </c>
      <c r="BD7" s="835">
        <v>1782368</v>
      </c>
      <c r="BE7" s="835">
        <v>366237</v>
      </c>
      <c r="BF7" s="835">
        <v>5476163</v>
      </c>
      <c r="BG7" s="835">
        <v>407127</v>
      </c>
      <c r="BH7" s="835">
        <v>145960</v>
      </c>
      <c r="BI7" s="835">
        <v>2666847</v>
      </c>
      <c r="BJ7" s="835">
        <v>2901153</v>
      </c>
      <c r="BK7" s="835">
        <v>508659</v>
      </c>
      <c r="BL7" s="835">
        <v>2923496</v>
      </c>
      <c r="BM7" s="835">
        <v>5469374</v>
      </c>
      <c r="BN7" s="835">
        <v>124276</v>
      </c>
      <c r="BO7" s="835">
        <v>3784618</v>
      </c>
      <c r="BP7" s="835">
        <v>2973996</v>
      </c>
      <c r="BQ7" s="835">
        <v>1659771</v>
      </c>
      <c r="BR7" s="835">
        <v>1391658</v>
      </c>
      <c r="BS7" s="835">
        <v>1449806</v>
      </c>
      <c r="BT7" s="835">
        <v>11481073</v>
      </c>
      <c r="BU7" s="835">
        <v>1611055</v>
      </c>
      <c r="BV7" s="835">
        <v>1649110</v>
      </c>
      <c r="BW7" s="835">
        <v>142866</v>
      </c>
      <c r="BX7" s="835">
        <v>1388302</v>
      </c>
      <c r="BY7" s="835">
        <v>165566</v>
      </c>
      <c r="BZ7" s="835">
        <v>205800</v>
      </c>
      <c r="CA7" s="835">
        <v>12197410</v>
      </c>
      <c r="CB7" s="835">
        <v>103341</v>
      </c>
    </row>
    <row r="8" spans="1:80" x14ac:dyDescent="0.25">
      <c r="A8" s="787">
        <v>11</v>
      </c>
      <c r="B8" s="846">
        <v>11</v>
      </c>
      <c r="C8" s="832" t="s">
        <v>270</v>
      </c>
      <c r="D8" s="860" t="s">
        <v>370</v>
      </c>
      <c r="E8" s="829">
        <v>0</v>
      </c>
      <c r="F8" s="798">
        <v>2591329</v>
      </c>
      <c r="G8" s="798">
        <v>50980</v>
      </c>
      <c r="H8" s="798">
        <v>1085527</v>
      </c>
      <c r="I8" s="798">
        <v>466089</v>
      </c>
      <c r="J8" s="798">
        <v>111704</v>
      </c>
      <c r="K8" s="800">
        <v>5152</v>
      </c>
      <c r="L8" s="835">
        <v>69262</v>
      </c>
      <c r="M8" s="835">
        <v>332330</v>
      </c>
      <c r="N8" s="830">
        <v>32103</v>
      </c>
      <c r="O8" s="830">
        <v>125606</v>
      </c>
      <c r="P8" s="830">
        <v>122441</v>
      </c>
      <c r="Q8" s="830">
        <v>0</v>
      </c>
      <c r="R8" s="830">
        <v>31934</v>
      </c>
      <c r="S8" s="830">
        <v>35018</v>
      </c>
      <c r="T8" s="830">
        <v>94397</v>
      </c>
      <c r="U8" s="830">
        <v>146539</v>
      </c>
      <c r="V8" s="830">
        <v>0</v>
      </c>
      <c r="W8" s="830">
        <v>100767</v>
      </c>
      <c r="X8" s="830">
        <v>351182</v>
      </c>
      <c r="Y8" s="830">
        <v>350678</v>
      </c>
      <c r="Z8" s="830">
        <v>337653</v>
      </c>
      <c r="AA8" s="835">
        <v>218551</v>
      </c>
      <c r="AB8" s="835">
        <v>0</v>
      </c>
      <c r="AC8" s="835">
        <v>207426</v>
      </c>
      <c r="AD8" s="835">
        <v>29</v>
      </c>
      <c r="AE8" s="835">
        <v>146209</v>
      </c>
      <c r="AF8" s="835">
        <v>743403</v>
      </c>
      <c r="AG8" s="835">
        <v>9989</v>
      </c>
      <c r="AH8" s="835">
        <v>15295</v>
      </c>
      <c r="AI8" s="835">
        <v>144205</v>
      </c>
      <c r="AJ8" s="835">
        <v>0</v>
      </c>
      <c r="AK8" s="835">
        <v>148835</v>
      </c>
      <c r="AL8" s="835">
        <v>71341</v>
      </c>
      <c r="AM8" s="835">
        <v>0</v>
      </c>
      <c r="AN8" s="835">
        <v>559429</v>
      </c>
      <c r="AO8" s="835">
        <v>0</v>
      </c>
      <c r="AP8" s="835">
        <v>78659</v>
      </c>
      <c r="AQ8" s="835">
        <v>635601</v>
      </c>
      <c r="AR8" s="835">
        <v>0</v>
      </c>
      <c r="AS8" s="835">
        <v>19516</v>
      </c>
      <c r="AT8" s="835">
        <v>79163</v>
      </c>
      <c r="AU8" s="835">
        <v>278605</v>
      </c>
      <c r="AV8" s="835">
        <v>676199</v>
      </c>
      <c r="AW8" s="835">
        <v>27464</v>
      </c>
      <c r="AX8" s="835">
        <v>69447</v>
      </c>
      <c r="AY8" s="835">
        <v>97868</v>
      </c>
      <c r="AZ8" s="835">
        <v>622731</v>
      </c>
      <c r="BA8" s="835">
        <v>133570</v>
      </c>
      <c r="BB8" s="835">
        <v>2265</v>
      </c>
      <c r="BC8" s="835">
        <v>468435</v>
      </c>
      <c r="BD8" s="835">
        <v>222480</v>
      </c>
      <c r="BE8" s="835">
        <v>7925</v>
      </c>
      <c r="BF8" s="835">
        <v>0</v>
      </c>
      <c r="BG8" s="835">
        <v>59757</v>
      </c>
      <c r="BH8" s="835">
        <v>21643</v>
      </c>
      <c r="BI8" s="835">
        <v>10158</v>
      </c>
      <c r="BJ8" s="835">
        <v>131521</v>
      </c>
      <c r="BK8" s="835">
        <v>94593</v>
      </c>
      <c r="BL8" s="835">
        <v>113153</v>
      </c>
      <c r="BM8" s="835">
        <v>2186</v>
      </c>
      <c r="BN8" s="835">
        <v>0</v>
      </c>
      <c r="BO8" s="835">
        <v>78284</v>
      </c>
      <c r="BP8" s="835">
        <v>101181</v>
      </c>
      <c r="BQ8" s="835">
        <v>110424</v>
      </c>
      <c r="BR8" s="835">
        <v>149980</v>
      </c>
      <c r="BS8" s="835">
        <v>178</v>
      </c>
      <c r="BT8" s="835">
        <v>751021</v>
      </c>
      <c r="BU8" s="835">
        <v>92269</v>
      </c>
      <c r="BV8" s="835">
        <v>4576</v>
      </c>
      <c r="BW8" s="835">
        <v>0</v>
      </c>
      <c r="BX8" s="835">
        <v>82878</v>
      </c>
      <c r="BY8" s="835">
        <v>18554</v>
      </c>
      <c r="BZ8" s="835">
        <v>22034</v>
      </c>
      <c r="CA8" s="835">
        <v>0</v>
      </c>
      <c r="CB8" s="835">
        <v>30730</v>
      </c>
    </row>
    <row r="9" spans="1:80" ht="30" x14ac:dyDescent="0.25">
      <c r="A9" s="860"/>
      <c r="B9" s="846">
        <v>12</v>
      </c>
      <c r="C9" s="832" t="s">
        <v>718</v>
      </c>
      <c r="D9" s="860" t="s">
        <v>371</v>
      </c>
      <c r="E9" s="829"/>
      <c r="F9" s="798"/>
      <c r="G9" s="798"/>
      <c r="H9" s="798"/>
      <c r="I9" s="798"/>
      <c r="J9" s="798"/>
      <c r="K9" s="800"/>
      <c r="L9" s="835"/>
      <c r="M9" s="835"/>
      <c r="N9" s="830"/>
      <c r="O9" s="830"/>
      <c r="P9" s="830"/>
      <c r="Q9" s="830"/>
      <c r="R9" s="830"/>
      <c r="S9" s="830"/>
      <c r="T9" s="830"/>
      <c r="U9" s="830"/>
      <c r="V9" s="830"/>
      <c r="W9" s="830"/>
      <c r="X9" s="830"/>
      <c r="Y9" s="830"/>
      <c r="Z9" s="830"/>
      <c r="AA9" s="835"/>
      <c r="AB9" s="835"/>
      <c r="AC9" s="835"/>
      <c r="AD9" s="835"/>
      <c r="AE9" s="835"/>
      <c r="AF9" s="835"/>
      <c r="AG9" s="835"/>
      <c r="AH9" s="835"/>
      <c r="AI9" s="835"/>
      <c r="AJ9" s="835"/>
      <c r="AK9" s="835"/>
      <c r="AL9" s="835"/>
      <c r="AM9" s="835"/>
      <c r="AN9" s="835"/>
      <c r="AO9" s="835"/>
      <c r="AP9" s="835"/>
      <c r="AQ9" s="835"/>
      <c r="AR9" s="835"/>
      <c r="AS9" s="835"/>
      <c r="AT9" s="835"/>
      <c r="AU9" s="835"/>
      <c r="AV9" s="835"/>
      <c r="AW9" s="835"/>
      <c r="AX9" s="835"/>
      <c r="AY9" s="835"/>
      <c r="AZ9" s="835"/>
      <c r="BA9" s="835"/>
      <c r="BB9" s="835"/>
      <c r="BC9" s="835"/>
      <c r="BD9" s="835"/>
      <c r="BE9" s="835"/>
      <c r="BF9" s="835"/>
      <c r="BG9" s="835"/>
      <c r="BH9" s="835"/>
      <c r="BI9" s="835"/>
      <c r="BJ9" s="835"/>
      <c r="BK9" s="835"/>
      <c r="BL9" s="835"/>
      <c r="BM9" s="835"/>
      <c r="BN9" s="835"/>
      <c r="BO9" s="835"/>
      <c r="BP9" s="835"/>
      <c r="BQ9" s="835"/>
      <c r="BR9" s="835"/>
      <c r="BS9" s="835"/>
      <c r="BT9" s="835"/>
      <c r="BU9" s="835"/>
      <c r="BV9" s="835"/>
      <c r="BW9" s="835"/>
      <c r="BX9" s="835"/>
      <c r="BY9" s="835"/>
      <c r="BZ9" s="835"/>
      <c r="CA9" s="835"/>
      <c r="CB9" s="835"/>
    </row>
    <row r="10" spans="1:80" ht="30" x14ac:dyDescent="0.25">
      <c r="A10" s="860"/>
      <c r="B10" s="846">
        <v>13</v>
      </c>
      <c r="C10" s="832" t="s">
        <v>719</v>
      </c>
      <c r="D10" s="860" t="s">
        <v>372</v>
      </c>
      <c r="E10" s="829"/>
      <c r="F10" s="798"/>
      <c r="G10" s="798"/>
      <c r="H10" s="798"/>
      <c r="I10" s="798"/>
      <c r="J10" s="798"/>
      <c r="K10" s="800"/>
      <c r="L10" s="835"/>
      <c r="M10" s="835"/>
      <c r="N10" s="830"/>
      <c r="O10" s="830"/>
      <c r="P10" s="830"/>
      <c r="Q10" s="830"/>
      <c r="R10" s="830"/>
      <c r="S10" s="830"/>
      <c r="T10" s="830"/>
      <c r="U10" s="830"/>
      <c r="V10" s="830"/>
      <c r="W10" s="830"/>
      <c r="X10" s="830"/>
      <c r="Y10" s="830"/>
      <c r="Z10" s="830"/>
      <c r="AA10" s="835"/>
      <c r="AB10" s="835"/>
      <c r="AC10" s="835"/>
      <c r="AD10" s="835"/>
      <c r="AE10" s="835"/>
      <c r="AF10" s="835"/>
      <c r="AG10" s="835"/>
      <c r="AH10" s="835"/>
      <c r="AI10" s="835"/>
      <c r="AJ10" s="835"/>
      <c r="AK10" s="835"/>
      <c r="AL10" s="835"/>
      <c r="AM10" s="835"/>
      <c r="AN10" s="835"/>
      <c r="AO10" s="835"/>
      <c r="AP10" s="835"/>
      <c r="AQ10" s="835"/>
      <c r="AR10" s="835"/>
      <c r="AS10" s="835"/>
      <c r="AT10" s="835"/>
      <c r="AU10" s="835"/>
      <c r="AV10" s="835"/>
      <c r="AW10" s="835"/>
      <c r="AX10" s="835"/>
      <c r="AY10" s="835"/>
      <c r="AZ10" s="835"/>
      <c r="BA10" s="835"/>
      <c r="BB10" s="835"/>
      <c r="BC10" s="835"/>
      <c r="BD10" s="835"/>
      <c r="BE10" s="835"/>
      <c r="BF10" s="835"/>
      <c r="BG10" s="835"/>
      <c r="BH10" s="835"/>
      <c r="BI10" s="835"/>
      <c r="BJ10" s="835"/>
      <c r="BK10" s="835"/>
      <c r="BL10" s="835"/>
      <c r="BM10" s="835"/>
      <c r="BN10" s="835"/>
      <c r="BO10" s="835"/>
      <c r="BP10" s="835"/>
      <c r="BQ10" s="835"/>
      <c r="BR10" s="835"/>
      <c r="BS10" s="835"/>
      <c r="BT10" s="835"/>
      <c r="BU10" s="835"/>
      <c r="BV10" s="835"/>
      <c r="BW10" s="835"/>
      <c r="BX10" s="835"/>
      <c r="BY10" s="835"/>
      <c r="BZ10" s="835"/>
      <c r="CA10" s="835"/>
      <c r="CB10" s="835"/>
    </row>
    <row r="11" spans="1:80" ht="30" x14ac:dyDescent="0.25">
      <c r="A11" s="860"/>
      <c r="B11" s="846">
        <v>14</v>
      </c>
      <c r="C11" s="832" t="s">
        <v>373</v>
      </c>
      <c r="D11" s="860" t="s">
        <v>374</v>
      </c>
      <c r="E11" s="829"/>
      <c r="F11" s="798"/>
      <c r="G11" s="798"/>
      <c r="H11" s="798"/>
      <c r="I11" s="798"/>
      <c r="J11" s="798"/>
      <c r="K11" s="800"/>
      <c r="L11" s="835"/>
      <c r="M11" s="835"/>
      <c r="N11" s="830"/>
      <c r="O11" s="830"/>
      <c r="P11" s="830"/>
      <c r="Q11" s="830"/>
      <c r="R11" s="830"/>
      <c r="S11" s="830"/>
      <c r="T11" s="830"/>
      <c r="U11" s="830"/>
      <c r="V11" s="830"/>
      <c r="W11" s="830"/>
      <c r="X11" s="830"/>
      <c r="Y11" s="830"/>
      <c r="Z11" s="830"/>
      <c r="AA11" s="835"/>
      <c r="AB11" s="835"/>
      <c r="AC11" s="835"/>
      <c r="AD11" s="835"/>
      <c r="AE11" s="835"/>
      <c r="AF11" s="835"/>
      <c r="AG11" s="835"/>
      <c r="AH11" s="835"/>
      <c r="AI11" s="835"/>
      <c r="AJ11" s="835"/>
      <c r="AK11" s="835"/>
      <c r="AL11" s="835"/>
      <c r="AM11" s="835"/>
      <c r="AN11" s="835"/>
      <c r="AO11" s="835"/>
      <c r="AP11" s="835"/>
      <c r="AQ11" s="835"/>
      <c r="AR11" s="835"/>
      <c r="AS11" s="835"/>
      <c r="AT11" s="835"/>
      <c r="AU11" s="835"/>
      <c r="AV11" s="835"/>
      <c r="AW11" s="835"/>
      <c r="AX11" s="835"/>
      <c r="AY11" s="835"/>
      <c r="AZ11" s="835"/>
      <c r="BA11" s="835"/>
      <c r="BB11" s="835"/>
      <c r="BC11" s="835"/>
      <c r="BD11" s="835"/>
      <c r="BE11" s="835"/>
      <c r="BF11" s="835"/>
      <c r="BG11" s="835"/>
      <c r="BH11" s="835"/>
      <c r="BI11" s="835"/>
      <c r="BJ11" s="835"/>
      <c r="BK11" s="835"/>
      <c r="BL11" s="835"/>
      <c r="BM11" s="835"/>
      <c r="BN11" s="835"/>
      <c r="BO11" s="835"/>
      <c r="BP11" s="835"/>
      <c r="BQ11" s="835"/>
      <c r="BR11" s="835"/>
      <c r="BS11" s="835"/>
      <c r="BT11" s="835"/>
      <c r="BU11" s="835"/>
      <c r="BV11" s="835"/>
      <c r="BW11" s="835"/>
      <c r="BX11" s="835"/>
      <c r="BY11" s="835"/>
      <c r="BZ11" s="835"/>
      <c r="CA11" s="835"/>
      <c r="CB11" s="835"/>
    </row>
    <row r="12" spans="1:80" x14ac:dyDescent="0.25">
      <c r="A12" s="787">
        <v>16</v>
      </c>
      <c r="B12" s="846">
        <v>16</v>
      </c>
      <c r="C12" s="832" t="s">
        <v>273</v>
      </c>
      <c r="D12" s="860" t="s">
        <v>375</v>
      </c>
      <c r="E12" s="829">
        <v>1619385</v>
      </c>
      <c r="F12" s="798">
        <v>13634512</v>
      </c>
      <c r="G12" s="798">
        <v>398909</v>
      </c>
      <c r="H12" s="798">
        <v>45468256</v>
      </c>
      <c r="I12" s="798">
        <v>4332418</v>
      </c>
      <c r="J12" s="798">
        <v>261846</v>
      </c>
      <c r="K12" s="800">
        <v>1305921</v>
      </c>
      <c r="L12" s="835">
        <v>1797750</v>
      </c>
      <c r="M12" s="835">
        <v>43642363</v>
      </c>
      <c r="N12" s="830">
        <v>97376</v>
      </c>
      <c r="O12" s="830">
        <v>895089</v>
      </c>
      <c r="P12" s="830">
        <v>1506728</v>
      </c>
      <c r="Q12" s="830">
        <v>30244528</v>
      </c>
      <c r="R12" s="830">
        <v>18098617</v>
      </c>
      <c r="S12" s="830">
        <v>6179831</v>
      </c>
      <c r="T12" s="830">
        <v>13107790</v>
      </c>
      <c r="U12" s="830">
        <v>139649</v>
      </c>
      <c r="V12" s="830">
        <v>20032015</v>
      </c>
      <c r="W12" s="830">
        <v>37808</v>
      </c>
      <c r="X12" s="830">
        <v>10603363</v>
      </c>
      <c r="Y12" s="830">
        <v>13988565</v>
      </c>
      <c r="Z12" s="830">
        <v>5203424</v>
      </c>
      <c r="AA12" s="835">
        <v>1672176</v>
      </c>
      <c r="AB12" s="835">
        <v>4786938</v>
      </c>
      <c r="AC12" s="835">
        <v>1216115</v>
      </c>
      <c r="AD12" s="835">
        <v>284430</v>
      </c>
      <c r="AE12" s="835">
        <v>1175619</v>
      </c>
      <c r="AF12" s="835">
        <v>3026773</v>
      </c>
      <c r="AG12" s="835">
        <v>99443</v>
      </c>
      <c r="AH12" s="835">
        <v>46263</v>
      </c>
      <c r="AI12" s="835">
        <v>99652</v>
      </c>
      <c r="AJ12" s="835">
        <v>2747036</v>
      </c>
      <c r="AK12" s="835">
        <v>6921178</v>
      </c>
      <c r="AL12" s="835">
        <v>253427</v>
      </c>
      <c r="AM12" s="835">
        <v>24926</v>
      </c>
      <c r="AN12" s="835">
        <v>15794995</v>
      </c>
      <c r="AO12" s="835">
        <v>18310104</v>
      </c>
      <c r="AP12" s="835">
        <v>299434</v>
      </c>
      <c r="AQ12" s="835">
        <v>4584051</v>
      </c>
      <c r="AR12" s="835">
        <v>20490107</v>
      </c>
      <c r="AS12" s="835">
        <v>2631442</v>
      </c>
      <c r="AT12" s="835">
        <v>589793</v>
      </c>
      <c r="AU12" s="835">
        <v>4113899</v>
      </c>
      <c r="AV12" s="835">
        <v>10334241</v>
      </c>
      <c r="AW12" s="835">
        <v>88426</v>
      </c>
      <c r="AX12" s="835">
        <v>527385</v>
      </c>
      <c r="AY12" s="835">
        <v>2996718</v>
      </c>
      <c r="AZ12" s="835">
        <v>3662939</v>
      </c>
      <c r="BA12" s="835">
        <v>3192832</v>
      </c>
      <c r="BB12" s="835">
        <v>111958</v>
      </c>
      <c r="BC12" s="835">
        <v>2180320</v>
      </c>
      <c r="BD12" s="835">
        <v>425584</v>
      </c>
      <c r="BE12" s="835">
        <v>83635</v>
      </c>
      <c r="BF12" s="835">
        <v>23166163</v>
      </c>
      <c r="BG12" s="835">
        <v>276650</v>
      </c>
      <c r="BH12" s="835">
        <v>62006</v>
      </c>
      <c r="BI12" s="835">
        <v>3036587</v>
      </c>
      <c r="BJ12" s="835">
        <v>2701497</v>
      </c>
      <c r="BK12" s="835">
        <v>601279</v>
      </c>
      <c r="BL12" s="835">
        <v>8329991</v>
      </c>
      <c r="BM12" s="835">
        <v>5094113</v>
      </c>
      <c r="BN12" s="835">
        <v>45991</v>
      </c>
      <c r="BO12" s="835">
        <v>6099879</v>
      </c>
      <c r="BP12" s="835">
        <v>2032699</v>
      </c>
      <c r="BQ12" s="835">
        <v>881073</v>
      </c>
      <c r="BR12" s="835">
        <v>1796728</v>
      </c>
      <c r="BS12" s="835">
        <v>1354612</v>
      </c>
      <c r="BT12" s="835">
        <v>22028423</v>
      </c>
      <c r="BU12" s="835">
        <v>2056184</v>
      </c>
      <c r="BV12" s="835">
        <v>2821077</v>
      </c>
      <c r="BW12" s="835">
        <v>755675</v>
      </c>
      <c r="BX12" s="835">
        <v>856047</v>
      </c>
      <c r="BY12" s="835">
        <v>36310</v>
      </c>
      <c r="BZ12" s="835">
        <v>43909</v>
      </c>
      <c r="CA12" s="835">
        <v>17083122</v>
      </c>
      <c r="CB12" s="835">
        <v>69735</v>
      </c>
    </row>
    <row r="13" spans="1:80" x14ac:dyDescent="0.25">
      <c r="A13" s="787">
        <v>17</v>
      </c>
      <c r="B13" s="846">
        <v>17</v>
      </c>
      <c r="C13" s="832" t="s">
        <v>276</v>
      </c>
      <c r="D13" s="860" t="s">
        <v>376</v>
      </c>
      <c r="E13" s="829">
        <v>0</v>
      </c>
      <c r="F13" s="798">
        <v>2319138</v>
      </c>
      <c r="G13" s="798">
        <v>0</v>
      </c>
      <c r="H13" s="798">
        <v>696155</v>
      </c>
      <c r="I13" s="798">
        <v>0</v>
      </c>
      <c r="J13" s="798">
        <v>0</v>
      </c>
      <c r="K13" s="800">
        <v>0</v>
      </c>
      <c r="L13" s="835">
        <v>0</v>
      </c>
      <c r="M13" s="835">
        <v>1714319</v>
      </c>
      <c r="N13" s="830">
        <v>0</v>
      </c>
      <c r="O13" s="830">
        <v>0</v>
      </c>
      <c r="P13" s="830">
        <v>0</v>
      </c>
      <c r="Q13" s="830">
        <v>125360</v>
      </c>
      <c r="R13" s="830">
        <v>817011</v>
      </c>
      <c r="S13" s="830">
        <v>0</v>
      </c>
      <c r="T13" s="830">
        <v>2505957</v>
      </c>
      <c r="U13" s="830">
        <v>0</v>
      </c>
      <c r="V13" s="830">
        <v>2265690</v>
      </c>
      <c r="W13" s="830">
        <v>0</v>
      </c>
      <c r="X13" s="830">
        <v>0</v>
      </c>
      <c r="Y13" s="830">
        <v>1460370</v>
      </c>
      <c r="Z13" s="830">
        <v>0</v>
      </c>
      <c r="AA13" s="835">
        <v>90000</v>
      </c>
      <c r="AB13" s="835">
        <v>250000</v>
      </c>
      <c r="AC13" s="835">
        <v>0</v>
      </c>
      <c r="AD13" s="835">
        <v>0</v>
      </c>
      <c r="AE13" s="835">
        <v>0</v>
      </c>
      <c r="AF13" s="835">
        <v>0</v>
      </c>
      <c r="AG13" s="835">
        <v>0</v>
      </c>
      <c r="AH13" s="835">
        <v>0</v>
      </c>
      <c r="AI13" s="835">
        <v>0</v>
      </c>
      <c r="AJ13" s="835">
        <v>0</v>
      </c>
      <c r="AK13" s="835">
        <v>174764</v>
      </c>
      <c r="AL13" s="835">
        <v>0</v>
      </c>
      <c r="AM13" s="835">
        <v>0</v>
      </c>
      <c r="AN13" s="835">
        <v>1430212</v>
      </c>
      <c r="AO13" s="835">
        <v>0</v>
      </c>
      <c r="AP13" s="835">
        <v>0</v>
      </c>
      <c r="AQ13" s="835">
        <v>721712</v>
      </c>
      <c r="AR13" s="835">
        <v>3030680</v>
      </c>
      <c r="AS13" s="835">
        <v>122750</v>
      </c>
      <c r="AT13" s="835">
        <v>0</v>
      </c>
      <c r="AU13" s="835">
        <v>0</v>
      </c>
      <c r="AV13" s="835">
        <v>405071</v>
      </c>
      <c r="AW13" s="835">
        <v>0</v>
      </c>
      <c r="AX13" s="835">
        <v>0</v>
      </c>
      <c r="AY13" s="835">
        <v>30000</v>
      </c>
      <c r="AZ13" s="835">
        <v>15000</v>
      </c>
      <c r="BA13" s="835">
        <v>368724</v>
      </c>
      <c r="BB13" s="835">
        <v>0</v>
      </c>
      <c r="BC13" s="835">
        <v>0</v>
      </c>
      <c r="BD13" s="835">
        <v>0</v>
      </c>
      <c r="BE13" s="835">
        <v>0</v>
      </c>
      <c r="BF13" s="835">
        <v>2012052</v>
      </c>
      <c r="BG13" s="835">
        <v>0</v>
      </c>
      <c r="BH13" s="835">
        <v>0</v>
      </c>
      <c r="BI13" s="835">
        <v>29</v>
      </c>
      <c r="BJ13" s="835">
        <v>143</v>
      </c>
      <c r="BK13" s="835">
        <v>0</v>
      </c>
      <c r="BL13" s="835">
        <v>164490</v>
      </c>
      <c r="BM13" s="835">
        <v>0</v>
      </c>
      <c r="BN13" s="835">
        <v>0</v>
      </c>
      <c r="BO13" s="835">
        <v>102753</v>
      </c>
      <c r="BP13" s="835">
        <v>0</v>
      </c>
      <c r="BQ13" s="835">
        <v>0</v>
      </c>
      <c r="BR13" s="835">
        <v>0</v>
      </c>
      <c r="BS13" s="835">
        <v>0</v>
      </c>
      <c r="BT13" s="835">
        <v>595463</v>
      </c>
      <c r="BU13" s="835">
        <v>3464</v>
      </c>
      <c r="BV13" s="835">
        <v>3000</v>
      </c>
      <c r="BW13" s="835">
        <v>0</v>
      </c>
      <c r="BX13" s="835">
        <v>0</v>
      </c>
      <c r="BY13" s="835">
        <v>0</v>
      </c>
      <c r="BZ13" s="835">
        <v>0</v>
      </c>
      <c r="CA13" s="835">
        <v>212399</v>
      </c>
      <c r="CB13" s="835">
        <v>0</v>
      </c>
    </row>
    <row r="14" spans="1:80" x14ac:dyDescent="0.25">
      <c r="A14" s="860"/>
      <c r="B14" s="846">
        <v>19</v>
      </c>
      <c r="C14" s="832" t="s">
        <v>720</v>
      </c>
      <c r="D14" s="860" t="s">
        <v>377</v>
      </c>
      <c r="E14" s="829"/>
      <c r="F14" s="798"/>
      <c r="G14" s="798"/>
      <c r="H14" s="798"/>
      <c r="I14" s="798"/>
      <c r="J14" s="798"/>
      <c r="K14" s="800"/>
      <c r="L14" s="835"/>
      <c r="M14" s="835"/>
      <c r="N14" s="830"/>
      <c r="O14" s="830"/>
      <c r="P14" s="830"/>
      <c r="Q14" s="830"/>
      <c r="R14" s="830"/>
      <c r="S14" s="830"/>
      <c r="T14" s="830"/>
      <c r="U14" s="830"/>
      <c r="V14" s="830"/>
      <c r="W14" s="830"/>
      <c r="X14" s="830"/>
      <c r="Y14" s="830"/>
      <c r="Z14" s="830"/>
      <c r="AA14" s="835"/>
      <c r="AB14" s="835"/>
      <c r="AC14" s="835"/>
      <c r="AD14" s="835"/>
      <c r="AE14" s="835"/>
      <c r="AF14" s="835"/>
      <c r="AG14" s="835"/>
      <c r="AH14" s="835"/>
      <c r="AI14" s="835"/>
      <c r="AJ14" s="835"/>
      <c r="AK14" s="835"/>
      <c r="AL14" s="835"/>
      <c r="AM14" s="835"/>
      <c r="AN14" s="835"/>
      <c r="AO14" s="835"/>
      <c r="AP14" s="835"/>
      <c r="AQ14" s="835"/>
      <c r="AR14" s="835"/>
      <c r="AS14" s="835"/>
      <c r="AT14" s="835"/>
      <c r="AU14" s="835"/>
      <c r="AV14" s="835"/>
      <c r="AW14" s="835"/>
      <c r="AX14" s="835"/>
      <c r="AY14" s="835"/>
      <c r="AZ14" s="835"/>
      <c r="BA14" s="835"/>
      <c r="BB14" s="835"/>
      <c r="BC14" s="835"/>
      <c r="BD14" s="835"/>
      <c r="BE14" s="835"/>
      <c r="BF14" s="835"/>
      <c r="BG14" s="835"/>
      <c r="BH14" s="835"/>
      <c r="BI14" s="835"/>
      <c r="BJ14" s="835"/>
      <c r="BK14" s="835"/>
      <c r="BL14" s="835"/>
      <c r="BM14" s="835"/>
      <c r="BN14" s="835"/>
      <c r="BO14" s="835"/>
      <c r="BP14" s="835"/>
      <c r="BQ14" s="835"/>
      <c r="BR14" s="835"/>
      <c r="BS14" s="835"/>
      <c r="BT14" s="835"/>
      <c r="BU14" s="835"/>
      <c r="BV14" s="835"/>
      <c r="BW14" s="835"/>
      <c r="BX14" s="835"/>
      <c r="BY14" s="835"/>
      <c r="BZ14" s="835"/>
      <c r="CA14" s="835"/>
      <c r="CB14" s="835"/>
    </row>
    <row r="15" spans="1:80" x14ac:dyDescent="0.25">
      <c r="A15" s="787">
        <v>20</v>
      </c>
      <c r="B15" s="846">
        <v>20</v>
      </c>
      <c r="C15" s="832" t="s">
        <v>277</v>
      </c>
      <c r="D15" s="860" t="s">
        <v>378</v>
      </c>
      <c r="E15" s="829">
        <v>0</v>
      </c>
      <c r="F15" s="798">
        <v>2162243</v>
      </c>
      <c r="G15" s="798">
        <v>0</v>
      </c>
      <c r="H15" s="798">
        <v>4316706</v>
      </c>
      <c r="I15" s="798">
        <v>135000</v>
      </c>
      <c r="J15" s="798">
        <v>0</v>
      </c>
      <c r="K15" s="800">
        <v>232628</v>
      </c>
      <c r="L15" s="835">
        <v>0</v>
      </c>
      <c r="M15" s="835">
        <v>2998676</v>
      </c>
      <c r="N15" s="830">
        <v>0</v>
      </c>
      <c r="O15" s="830">
        <v>0</v>
      </c>
      <c r="P15" s="830">
        <v>0</v>
      </c>
      <c r="Q15" s="830">
        <v>847921</v>
      </c>
      <c r="R15" s="830">
        <v>0</v>
      </c>
      <c r="S15" s="830">
        <v>0</v>
      </c>
      <c r="T15" s="830">
        <v>3500</v>
      </c>
      <c r="U15" s="830">
        <v>0</v>
      </c>
      <c r="V15" s="830">
        <v>0</v>
      </c>
      <c r="W15" s="830">
        <v>0</v>
      </c>
      <c r="X15" s="830">
        <v>297601</v>
      </c>
      <c r="Y15" s="830">
        <v>711256</v>
      </c>
      <c r="Z15" s="830">
        <v>80959</v>
      </c>
      <c r="AA15" s="835">
        <v>40650</v>
      </c>
      <c r="AB15" s="835">
        <v>251100</v>
      </c>
      <c r="AC15" s="835">
        <v>0</v>
      </c>
      <c r="AD15" s="835">
        <v>0</v>
      </c>
      <c r="AE15" s="835">
        <v>0</v>
      </c>
      <c r="AF15" s="835">
        <v>103733</v>
      </c>
      <c r="AG15" s="835">
        <v>12139</v>
      </c>
      <c r="AH15" s="835">
        <v>0</v>
      </c>
      <c r="AI15" s="835">
        <v>0</v>
      </c>
      <c r="AJ15" s="835">
        <v>1000</v>
      </c>
      <c r="AK15" s="835">
        <v>6132710</v>
      </c>
      <c r="AL15" s="835">
        <v>0</v>
      </c>
      <c r="AM15" s="835">
        <v>0</v>
      </c>
      <c r="AN15" s="835">
        <v>2346618</v>
      </c>
      <c r="AO15" s="835">
        <v>431742</v>
      </c>
      <c r="AP15" s="835">
        <v>0</v>
      </c>
      <c r="AQ15" s="835">
        <v>448600</v>
      </c>
      <c r="AR15" s="835">
        <v>622136</v>
      </c>
      <c r="AS15" s="835">
        <v>108747</v>
      </c>
      <c r="AT15" s="835">
        <v>0</v>
      </c>
      <c r="AU15" s="835">
        <v>0</v>
      </c>
      <c r="AV15" s="835">
        <v>0</v>
      </c>
      <c r="AW15" s="835">
        <v>0</v>
      </c>
      <c r="AX15" s="835">
        <v>0</v>
      </c>
      <c r="AY15" s="835">
        <v>13408</v>
      </c>
      <c r="AZ15" s="835">
        <v>0</v>
      </c>
      <c r="BA15" s="835">
        <v>321757</v>
      </c>
      <c r="BB15" s="835">
        <v>0</v>
      </c>
      <c r="BC15" s="835">
        <v>0</v>
      </c>
      <c r="BD15" s="835">
        <v>0</v>
      </c>
      <c r="BE15" s="835">
        <v>0</v>
      </c>
      <c r="BF15" s="835">
        <v>209050</v>
      </c>
      <c r="BG15" s="835">
        <v>0</v>
      </c>
      <c r="BH15" s="835">
        <v>0</v>
      </c>
      <c r="BI15" s="835">
        <v>0</v>
      </c>
      <c r="BJ15" s="835">
        <v>0</v>
      </c>
      <c r="BK15" s="835">
        <v>0</v>
      </c>
      <c r="BL15" s="835">
        <v>120000</v>
      </c>
      <c r="BM15" s="835">
        <v>100000</v>
      </c>
      <c r="BN15" s="835">
        <v>0</v>
      </c>
      <c r="BO15" s="835">
        <v>0</v>
      </c>
      <c r="BP15" s="835">
        <v>0</v>
      </c>
      <c r="BQ15" s="835">
        <v>0</v>
      </c>
      <c r="BR15" s="835">
        <v>0</v>
      </c>
      <c r="BS15" s="835">
        <v>311525</v>
      </c>
      <c r="BT15" s="835">
        <v>950000</v>
      </c>
      <c r="BU15" s="835">
        <v>0</v>
      </c>
      <c r="BV15" s="835">
        <v>26900</v>
      </c>
      <c r="BW15" s="835">
        <v>0</v>
      </c>
      <c r="BX15" s="835">
        <v>6515</v>
      </c>
      <c r="BY15" s="835">
        <v>0</v>
      </c>
      <c r="BZ15" s="835">
        <v>0</v>
      </c>
      <c r="CA15" s="835">
        <v>1512411</v>
      </c>
      <c r="CB15" s="835">
        <v>0</v>
      </c>
    </row>
    <row r="16" spans="1:80" ht="30" x14ac:dyDescent="0.25">
      <c r="A16" s="860"/>
      <c r="B16" s="846">
        <v>21</v>
      </c>
      <c r="C16" s="832" t="s">
        <v>721</v>
      </c>
      <c r="D16" s="860" t="s">
        <v>379</v>
      </c>
      <c r="E16" s="829"/>
      <c r="F16" s="798"/>
      <c r="G16" s="798"/>
      <c r="H16" s="798"/>
      <c r="I16" s="798"/>
      <c r="J16" s="798"/>
      <c r="K16" s="800"/>
      <c r="L16" s="835"/>
      <c r="M16" s="835"/>
      <c r="N16" s="830"/>
      <c r="O16" s="830"/>
      <c r="P16" s="830"/>
      <c r="Q16" s="830"/>
      <c r="R16" s="830"/>
      <c r="S16" s="830"/>
      <c r="T16" s="830"/>
      <c r="U16" s="830"/>
      <c r="V16" s="830"/>
      <c r="W16" s="830"/>
      <c r="X16" s="830"/>
      <c r="Y16" s="830"/>
      <c r="Z16" s="830"/>
      <c r="AA16" s="835"/>
      <c r="AB16" s="835"/>
      <c r="AC16" s="835"/>
      <c r="AD16" s="835"/>
      <c r="AE16" s="835"/>
      <c r="AF16" s="835"/>
      <c r="AG16" s="835"/>
      <c r="AH16" s="835"/>
      <c r="AI16" s="835"/>
      <c r="AJ16" s="835"/>
      <c r="AK16" s="835"/>
      <c r="AL16" s="835"/>
      <c r="AM16" s="835"/>
      <c r="AN16" s="835"/>
      <c r="AO16" s="835"/>
      <c r="AP16" s="835"/>
      <c r="AQ16" s="835"/>
      <c r="AR16" s="835"/>
      <c r="AS16" s="835"/>
      <c r="AT16" s="835"/>
      <c r="AU16" s="835"/>
      <c r="AV16" s="835"/>
      <c r="AW16" s="835"/>
      <c r="AX16" s="835"/>
      <c r="AY16" s="835"/>
      <c r="AZ16" s="835"/>
      <c r="BA16" s="835"/>
      <c r="BB16" s="835"/>
      <c r="BC16" s="835"/>
      <c r="BD16" s="835"/>
      <c r="BE16" s="835"/>
      <c r="BF16" s="835"/>
      <c r="BG16" s="835"/>
      <c r="BH16" s="835"/>
      <c r="BI16" s="835"/>
      <c r="BJ16" s="835"/>
      <c r="BK16" s="835"/>
      <c r="BL16" s="835"/>
      <c r="BM16" s="835"/>
      <c r="BN16" s="835"/>
      <c r="BO16" s="835"/>
      <c r="BP16" s="835"/>
      <c r="BQ16" s="835"/>
      <c r="BR16" s="835"/>
      <c r="BS16" s="835"/>
      <c r="BT16" s="835"/>
      <c r="BU16" s="835"/>
      <c r="BV16" s="835"/>
      <c r="BW16" s="835"/>
      <c r="BX16" s="835"/>
      <c r="BY16" s="835"/>
      <c r="BZ16" s="835"/>
      <c r="CA16" s="835"/>
      <c r="CB16" s="835"/>
    </row>
    <row r="17" spans="1:80" x14ac:dyDescent="0.25">
      <c r="A17" s="787">
        <v>22</v>
      </c>
      <c r="B17" s="846">
        <v>22</v>
      </c>
      <c r="C17" s="832" t="s">
        <v>279</v>
      </c>
      <c r="D17" s="860" t="s">
        <v>380</v>
      </c>
      <c r="E17" s="829">
        <v>0</v>
      </c>
      <c r="F17" s="798">
        <v>0</v>
      </c>
      <c r="G17" s="798">
        <v>0</v>
      </c>
      <c r="H17" s="798">
        <v>58487</v>
      </c>
      <c r="I17" s="798">
        <v>0</v>
      </c>
      <c r="J17" s="798">
        <v>0</v>
      </c>
      <c r="K17" s="800">
        <v>0</v>
      </c>
      <c r="L17" s="835">
        <v>1980</v>
      </c>
      <c r="M17" s="835">
        <v>0</v>
      </c>
      <c r="N17" s="830">
        <v>945</v>
      </c>
      <c r="O17" s="830">
        <v>10417</v>
      </c>
      <c r="P17" s="830">
        <v>4493</v>
      </c>
      <c r="Q17" s="830">
        <v>60812</v>
      </c>
      <c r="R17" s="830">
        <v>174667</v>
      </c>
      <c r="S17" s="830">
        <v>35182</v>
      </c>
      <c r="T17" s="830">
        <v>0</v>
      </c>
      <c r="U17" s="830">
        <v>0</v>
      </c>
      <c r="V17" s="830">
        <v>0</v>
      </c>
      <c r="W17" s="830">
        <v>0</v>
      </c>
      <c r="X17" s="830">
        <v>0</v>
      </c>
      <c r="Y17" s="830">
        <v>60577</v>
      </c>
      <c r="Z17" s="830">
        <v>0</v>
      </c>
      <c r="AA17" s="835">
        <v>27558</v>
      </c>
      <c r="AB17" s="835">
        <v>0</v>
      </c>
      <c r="AC17" s="835">
        <v>0</v>
      </c>
      <c r="AD17" s="835">
        <v>0</v>
      </c>
      <c r="AE17" s="835">
        <v>0</v>
      </c>
      <c r="AF17" s="835">
        <v>0</v>
      </c>
      <c r="AG17" s="835">
        <v>0</v>
      </c>
      <c r="AH17" s="835">
        <v>0</v>
      </c>
      <c r="AI17" s="835">
        <v>0</v>
      </c>
      <c r="AJ17" s="835">
        <v>26363</v>
      </c>
      <c r="AK17" s="835">
        <v>0</v>
      </c>
      <c r="AL17" s="835">
        <v>0</v>
      </c>
      <c r="AM17" s="835">
        <v>0</v>
      </c>
      <c r="AN17" s="835">
        <v>0</v>
      </c>
      <c r="AO17" s="835">
        <v>0</v>
      </c>
      <c r="AP17" s="835">
        <v>0</v>
      </c>
      <c r="AQ17" s="835">
        <v>0</v>
      </c>
      <c r="AR17" s="835">
        <v>4442</v>
      </c>
      <c r="AS17" s="835">
        <v>197423</v>
      </c>
      <c r="AT17" s="835">
        <v>7751</v>
      </c>
      <c r="AU17" s="835">
        <v>23724</v>
      </c>
      <c r="AV17" s="835">
        <v>1875</v>
      </c>
      <c r="AW17" s="835">
        <v>28363</v>
      </c>
      <c r="AX17" s="835">
        <v>0</v>
      </c>
      <c r="AY17" s="835">
        <v>0</v>
      </c>
      <c r="AZ17" s="835">
        <v>0</v>
      </c>
      <c r="BA17" s="835">
        <v>10705</v>
      </c>
      <c r="BB17" s="835">
        <v>0</v>
      </c>
      <c r="BC17" s="835">
        <v>7567</v>
      </c>
      <c r="BD17" s="835">
        <v>0</v>
      </c>
      <c r="BE17" s="835">
        <v>0</v>
      </c>
      <c r="BF17" s="835">
        <v>0</v>
      </c>
      <c r="BG17" s="835">
        <v>0</v>
      </c>
      <c r="BH17" s="835">
        <v>0</v>
      </c>
      <c r="BI17" s="835">
        <v>0</v>
      </c>
      <c r="BJ17" s="835">
        <v>0</v>
      </c>
      <c r="BK17" s="835">
        <v>0</v>
      </c>
      <c r="BL17" s="835">
        <v>7700</v>
      </c>
      <c r="BM17" s="835">
        <v>0</v>
      </c>
      <c r="BN17" s="835">
        <v>0</v>
      </c>
      <c r="BO17" s="835">
        <v>0</v>
      </c>
      <c r="BP17" s="835">
        <v>0</v>
      </c>
      <c r="BQ17" s="835">
        <v>0</v>
      </c>
      <c r="BR17" s="835">
        <v>0</v>
      </c>
      <c r="BS17" s="835">
        <v>0</v>
      </c>
      <c r="BT17" s="835">
        <v>53823</v>
      </c>
      <c r="BU17" s="835">
        <v>0</v>
      </c>
      <c r="BV17" s="835">
        <v>0</v>
      </c>
      <c r="BW17" s="835">
        <v>85140</v>
      </c>
      <c r="BX17" s="835">
        <v>0</v>
      </c>
      <c r="BY17" s="835">
        <v>0</v>
      </c>
      <c r="BZ17" s="835">
        <v>0</v>
      </c>
      <c r="CA17" s="835">
        <v>0</v>
      </c>
      <c r="CB17" s="835">
        <v>0</v>
      </c>
    </row>
    <row r="18" spans="1:80" x14ac:dyDescent="0.25">
      <c r="A18" s="787">
        <v>23</v>
      </c>
      <c r="B18" s="846">
        <v>23</v>
      </c>
      <c r="C18" s="832" t="s">
        <v>282</v>
      </c>
      <c r="D18" s="860" t="s">
        <v>381</v>
      </c>
      <c r="E18" s="829">
        <v>-301122</v>
      </c>
      <c r="F18" s="798">
        <v>3448010</v>
      </c>
      <c r="G18" s="798">
        <v>50545</v>
      </c>
      <c r="H18" s="798">
        <v>2973956</v>
      </c>
      <c r="I18" s="798">
        <v>552385</v>
      </c>
      <c r="J18" s="798">
        <v>17894</v>
      </c>
      <c r="K18" s="800">
        <v>42299</v>
      </c>
      <c r="L18" s="835">
        <v>271700</v>
      </c>
      <c r="M18" s="835">
        <v>714760</v>
      </c>
      <c r="N18" s="830">
        <v>12895</v>
      </c>
      <c r="O18" s="830">
        <v>-47814</v>
      </c>
      <c r="P18" s="830">
        <v>44921</v>
      </c>
      <c r="Q18" s="830">
        <v>1424191</v>
      </c>
      <c r="R18" s="830">
        <v>1637991</v>
      </c>
      <c r="S18" s="830">
        <v>-229205</v>
      </c>
      <c r="T18" s="830">
        <v>1310111</v>
      </c>
      <c r="U18" s="830">
        <v>-9408</v>
      </c>
      <c r="V18" s="830">
        <v>1339612</v>
      </c>
      <c r="W18" s="830">
        <v>10000</v>
      </c>
      <c r="X18" s="830">
        <v>166571</v>
      </c>
      <c r="Y18" s="830">
        <v>-625432</v>
      </c>
      <c r="Z18" s="830">
        <v>42372</v>
      </c>
      <c r="AA18" s="835">
        <v>305508</v>
      </c>
      <c r="AB18" s="835">
        <v>531068</v>
      </c>
      <c r="AC18" s="835">
        <v>122730</v>
      </c>
      <c r="AD18" s="835">
        <v>12560</v>
      </c>
      <c r="AE18" s="835">
        <v>59771</v>
      </c>
      <c r="AF18" s="835">
        <v>-169720</v>
      </c>
      <c r="AG18" s="835">
        <v>-23724</v>
      </c>
      <c r="AH18" s="835">
        <v>8303</v>
      </c>
      <c r="AI18" s="835">
        <v>-8466</v>
      </c>
      <c r="AJ18" s="835">
        <v>47081</v>
      </c>
      <c r="AK18" s="835">
        <v>63416</v>
      </c>
      <c r="AL18" s="835">
        <v>74862</v>
      </c>
      <c r="AM18" s="835">
        <v>2899</v>
      </c>
      <c r="AN18" s="835">
        <v>3893537</v>
      </c>
      <c r="AO18" s="835">
        <v>1542958</v>
      </c>
      <c r="AP18" s="835">
        <v>12758</v>
      </c>
      <c r="AQ18" s="835">
        <v>1197511</v>
      </c>
      <c r="AR18" s="835">
        <v>820069</v>
      </c>
      <c r="AS18" s="835">
        <v>323858</v>
      </c>
      <c r="AT18" s="835">
        <v>40673</v>
      </c>
      <c r="AU18" s="835">
        <v>-4886</v>
      </c>
      <c r="AV18" s="835">
        <v>-364654</v>
      </c>
      <c r="AW18" s="835">
        <v>-17282</v>
      </c>
      <c r="AX18" s="835">
        <v>-88632</v>
      </c>
      <c r="AY18" s="835">
        <v>318014</v>
      </c>
      <c r="AZ18" s="835">
        <v>376981</v>
      </c>
      <c r="BA18" s="835">
        <v>-275375</v>
      </c>
      <c r="BB18" s="835">
        <v>12345</v>
      </c>
      <c r="BC18" s="835">
        <v>265230</v>
      </c>
      <c r="BD18" s="835">
        <v>34613</v>
      </c>
      <c r="BE18" s="835">
        <v>8838</v>
      </c>
      <c r="BF18" s="835">
        <v>-629410</v>
      </c>
      <c r="BG18" s="835">
        <v>-10830</v>
      </c>
      <c r="BH18" s="835">
        <v>12014</v>
      </c>
      <c r="BI18" s="835">
        <v>-282888</v>
      </c>
      <c r="BJ18" s="835">
        <v>227978</v>
      </c>
      <c r="BK18" s="835">
        <v>54246</v>
      </c>
      <c r="BL18" s="835">
        <v>-465949</v>
      </c>
      <c r="BM18" s="835">
        <v>8046</v>
      </c>
      <c r="BN18" s="835">
        <v>6693</v>
      </c>
      <c r="BO18" s="835">
        <v>167862</v>
      </c>
      <c r="BP18" s="835">
        <v>305113</v>
      </c>
      <c r="BQ18" s="835">
        <v>68065</v>
      </c>
      <c r="BR18" s="835">
        <v>-52629</v>
      </c>
      <c r="BS18" s="835">
        <v>71857</v>
      </c>
      <c r="BT18" s="835">
        <v>1974574</v>
      </c>
      <c r="BU18" s="835">
        <v>79529</v>
      </c>
      <c r="BV18" s="835">
        <v>-189742</v>
      </c>
      <c r="BW18" s="835">
        <v>13784</v>
      </c>
      <c r="BX18" s="835">
        <v>-77671</v>
      </c>
      <c r="BY18" s="835">
        <v>8843</v>
      </c>
      <c r="BZ18" s="835">
        <v>18601</v>
      </c>
      <c r="CA18" s="835">
        <v>-1287168</v>
      </c>
      <c r="CB18" s="835">
        <v>7183</v>
      </c>
    </row>
    <row r="19" spans="1:80" x14ac:dyDescent="0.25">
      <c r="A19" s="860"/>
      <c r="B19" s="846">
        <v>31</v>
      </c>
      <c r="C19" s="832" t="s">
        <v>722</v>
      </c>
      <c r="D19" s="860" t="s">
        <v>382</v>
      </c>
      <c r="E19" s="829"/>
      <c r="F19" s="798"/>
      <c r="G19" s="798"/>
      <c r="H19" s="798"/>
      <c r="I19" s="798"/>
      <c r="J19" s="798"/>
      <c r="K19" s="800"/>
      <c r="L19" s="835"/>
      <c r="M19" s="835"/>
      <c r="N19" s="830"/>
      <c r="O19" s="830"/>
      <c r="P19" s="830"/>
      <c r="Q19" s="830"/>
      <c r="R19" s="830"/>
      <c r="S19" s="830"/>
      <c r="T19" s="830"/>
      <c r="U19" s="830"/>
      <c r="V19" s="830"/>
      <c r="W19" s="830"/>
      <c r="X19" s="830"/>
      <c r="Y19" s="830"/>
      <c r="Z19" s="830"/>
      <c r="AA19" s="835"/>
      <c r="AB19" s="835"/>
      <c r="AC19" s="835"/>
      <c r="AD19" s="835"/>
      <c r="AE19" s="835"/>
      <c r="AF19" s="835"/>
      <c r="AG19" s="835"/>
      <c r="AH19" s="835"/>
      <c r="AI19" s="835"/>
      <c r="AJ19" s="835"/>
      <c r="AK19" s="835"/>
      <c r="AL19" s="835"/>
      <c r="AM19" s="835"/>
      <c r="AN19" s="835"/>
      <c r="AO19" s="835"/>
      <c r="AP19" s="835"/>
      <c r="AQ19" s="835"/>
      <c r="AR19" s="835"/>
      <c r="AS19" s="835"/>
      <c r="AT19" s="835"/>
      <c r="AU19" s="835"/>
      <c r="AV19" s="835"/>
      <c r="AW19" s="835"/>
      <c r="AX19" s="835"/>
      <c r="AY19" s="835"/>
      <c r="AZ19" s="835"/>
      <c r="BA19" s="835"/>
      <c r="BB19" s="835"/>
      <c r="BC19" s="835"/>
      <c r="BD19" s="835"/>
      <c r="BE19" s="835"/>
      <c r="BF19" s="835"/>
      <c r="BG19" s="835"/>
      <c r="BH19" s="835"/>
      <c r="BI19" s="835"/>
      <c r="BJ19" s="835"/>
      <c r="BK19" s="835"/>
      <c r="BL19" s="835"/>
      <c r="BM19" s="835"/>
      <c r="BN19" s="835"/>
      <c r="BO19" s="835"/>
      <c r="BP19" s="835"/>
      <c r="BQ19" s="835"/>
      <c r="BR19" s="835"/>
      <c r="BS19" s="835"/>
      <c r="BT19" s="835"/>
      <c r="BU19" s="835"/>
      <c r="BV19" s="835"/>
      <c r="BW19" s="835"/>
      <c r="BX19" s="835"/>
      <c r="BY19" s="835"/>
      <c r="BZ19" s="835"/>
      <c r="CA19" s="835"/>
      <c r="CB19" s="835"/>
    </row>
    <row r="20" spans="1:80" ht="30" x14ac:dyDescent="0.25">
      <c r="A20" s="860"/>
      <c r="B20" s="846">
        <v>32</v>
      </c>
      <c r="C20" s="799" t="s">
        <v>383</v>
      </c>
      <c r="D20" s="860" t="s">
        <v>384</v>
      </c>
      <c r="E20" s="829"/>
      <c r="F20" s="798"/>
      <c r="G20" s="798"/>
      <c r="H20" s="798"/>
      <c r="I20" s="798"/>
      <c r="J20" s="798"/>
      <c r="K20" s="800"/>
      <c r="L20" s="835"/>
      <c r="M20" s="835"/>
      <c r="N20" s="830"/>
      <c r="O20" s="830"/>
      <c r="P20" s="830"/>
      <c r="Q20" s="830"/>
      <c r="R20" s="830"/>
      <c r="S20" s="830"/>
      <c r="T20" s="830"/>
      <c r="U20" s="830"/>
      <c r="V20" s="830"/>
      <c r="W20" s="830"/>
      <c r="X20" s="830"/>
      <c r="Y20" s="830"/>
      <c r="Z20" s="830"/>
      <c r="AA20" s="835"/>
      <c r="AB20" s="835"/>
      <c r="AC20" s="835"/>
      <c r="AD20" s="835"/>
      <c r="AE20" s="835"/>
      <c r="AF20" s="835"/>
      <c r="AG20" s="835"/>
      <c r="AH20" s="835"/>
      <c r="AI20" s="835"/>
      <c r="AJ20" s="835"/>
      <c r="AK20" s="835"/>
      <c r="AL20" s="835"/>
      <c r="AM20" s="835"/>
      <c r="AN20" s="835"/>
      <c r="AO20" s="835"/>
      <c r="AP20" s="835"/>
      <c r="AQ20" s="835"/>
      <c r="AR20" s="835"/>
      <c r="AS20" s="835"/>
      <c r="AT20" s="835"/>
      <c r="AU20" s="835"/>
      <c r="AV20" s="835"/>
      <c r="AW20" s="835"/>
      <c r="AX20" s="835"/>
      <c r="AY20" s="835"/>
      <c r="AZ20" s="835"/>
      <c r="BA20" s="835"/>
      <c r="BB20" s="835"/>
      <c r="BC20" s="835"/>
      <c r="BD20" s="835"/>
      <c r="BE20" s="835"/>
      <c r="BF20" s="835"/>
      <c r="BG20" s="835"/>
      <c r="BH20" s="835"/>
      <c r="BI20" s="835"/>
      <c r="BJ20" s="835"/>
      <c r="BK20" s="835"/>
      <c r="BL20" s="835"/>
      <c r="BM20" s="835"/>
      <c r="BN20" s="835"/>
      <c r="BO20" s="835"/>
      <c r="BP20" s="835"/>
      <c r="BQ20" s="835"/>
      <c r="BR20" s="835"/>
      <c r="BS20" s="835"/>
      <c r="BT20" s="835"/>
      <c r="BU20" s="835"/>
      <c r="BV20" s="835"/>
      <c r="BW20" s="835"/>
      <c r="BX20" s="835"/>
      <c r="BY20" s="835"/>
      <c r="BZ20" s="835"/>
      <c r="CA20" s="835"/>
      <c r="CB20" s="835"/>
    </row>
    <row r="21" spans="1:80" ht="30" x14ac:dyDescent="0.25">
      <c r="A21" s="860"/>
      <c r="B21" s="846">
        <v>33</v>
      </c>
      <c r="C21" s="799" t="s">
        <v>385</v>
      </c>
      <c r="D21" s="860" t="s">
        <v>386</v>
      </c>
      <c r="E21" s="829"/>
      <c r="F21" s="798"/>
      <c r="G21" s="798"/>
      <c r="H21" s="798"/>
      <c r="I21" s="798"/>
      <c r="J21" s="798"/>
      <c r="K21" s="800"/>
      <c r="L21" s="835"/>
      <c r="M21" s="835"/>
      <c r="N21" s="830"/>
      <c r="O21" s="830"/>
      <c r="P21" s="830"/>
      <c r="Q21" s="830"/>
      <c r="R21" s="830"/>
      <c r="S21" s="830"/>
      <c r="T21" s="830"/>
      <c r="U21" s="830"/>
      <c r="V21" s="830"/>
      <c r="W21" s="830"/>
      <c r="X21" s="830"/>
      <c r="Y21" s="830"/>
      <c r="Z21" s="830"/>
      <c r="AA21" s="835"/>
      <c r="AB21" s="835"/>
      <c r="AC21" s="835"/>
      <c r="AD21" s="835"/>
      <c r="AE21" s="835"/>
      <c r="AF21" s="835"/>
      <c r="AG21" s="835"/>
      <c r="AH21" s="835"/>
      <c r="AI21" s="835"/>
      <c r="AJ21" s="835"/>
      <c r="AK21" s="835"/>
      <c r="AL21" s="835"/>
      <c r="AM21" s="835"/>
      <c r="AN21" s="835"/>
      <c r="AO21" s="835"/>
      <c r="AP21" s="835"/>
      <c r="AQ21" s="835"/>
      <c r="AR21" s="835"/>
      <c r="AS21" s="835"/>
      <c r="AT21" s="835"/>
      <c r="AU21" s="835"/>
      <c r="AV21" s="835"/>
      <c r="AW21" s="835"/>
      <c r="AX21" s="835"/>
      <c r="AY21" s="835"/>
      <c r="AZ21" s="835"/>
      <c r="BA21" s="835"/>
      <c r="BB21" s="835"/>
      <c r="BC21" s="835"/>
      <c r="BD21" s="835"/>
      <c r="BE21" s="835"/>
      <c r="BF21" s="835"/>
      <c r="BG21" s="835"/>
      <c r="BH21" s="835"/>
      <c r="BI21" s="835"/>
      <c r="BJ21" s="835"/>
      <c r="BK21" s="835"/>
      <c r="BL21" s="835"/>
      <c r="BM21" s="835"/>
      <c r="BN21" s="835"/>
      <c r="BO21" s="835"/>
      <c r="BP21" s="835"/>
      <c r="BQ21" s="835"/>
      <c r="BR21" s="835"/>
      <c r="BS21" s="835"/>
      <c r="BT21" s="835"/>
      <c r="BU21" s="835"/>
      <c r="BV21" s="835"/>
      <c r="BW21" s="835"/>
      <c r="BX21" s="835"/>
      <c r="BY21" s="835"/>
      <c r="BZ21" s="835"/>
      <c r="CA21" s="835"/>
      <c r="CB21" s="835"/>
    </row>
    <row r="22" spans="1:80" x14ac:dyDescent="0.25">
      <c r="A22" s="860"/>
      <c r="B22" s="846">
        <v>34</v>
      </c>
      <c r="C22" s="786" t="s">
        <v>387</v>
      </c>
      <c r="D22" s="860" t="s">
        <v>388</v>
      </c>
      <c r="E22" s="829"/>
      <c r="F22" s="798"/>
      <c r="G22" s="798"/>
      <c r="H22" s="798"/>
      <c r="I22" s="798"/>
      <c r="J22" s="798"/>
      <c r="K22" s="800"/>
      <c r="L22" s="835"/>
      <c r="M22" s="835"/>
      <c r="N22" s="830"/>
      <c r="O22" s="830"/>
      <c r="P22" s="830"/>
      <c r="Q22" s="830"/>
      <c r="R22" s="830"/>
      <c r="S22" s="830"/>
      <c r="T22" s="830"/>
      <c r="U22" s="830"/>
      <c r="V22" s="830"/>
      <c r="W22" s="830"/>
      <c r="X22" s="830"/>
      <c r="Y22" s="830"/>
      <c r="Z22" s="830"/>
      <c r="AA22" s="835"/>
      <c r="AB22" s="835"/>
      <c r="AC22" s="835"/>
      <c r="AD22" s="835"/>
      <c r="AE22" s="835"/>
      <c r="AF22" s="835"/>
      <c r="AG22" s="835"/>
      <c r="AH22" s="835"/>
      <c r="AI22" s="835"/>
      <c r="AJ22" s="835"/>
      <c r="AK22" s="835"/>
      <c r="AL22" s="835"/>
      <c r="AM22" s="835"/>
      <c r="AN22" s="835"/>
      <c r="AO22" s="835"/>
      <c r="AP22" s="835"/>
      <c r="AQ22" s="835"/>
      <c r="AR22" s="835"/>
      <c r="AS22" s="835"/>
      <c r="AT22" s="835"/>
      <c r="AU22" s="835"/>
      <c r="AV22" s="835"/>
      <c r="AW22" s="835"/>
      <c r="AX22" s="835"/>
      <c r="AY22" s="835"/>
      <c r="AZ22" s="835"/>
      <c r="BA22" s="835"/>
      <c r="BB22" s="835"/>
      <c r="BC22" s="835"/>
      <c r="BD22" s="835"/>
      <c r="BE22" s="835"/>
      <c r="BF22" s="835"/>
      <c r="BG22" s="835"/>
      <c r="BH22" s="835"/>
      <c r="BI22" s="835"/>
      <c r="BJ22" s="835"/>
      <c r="BK22" s="835"/>
      <c r="BL22" s="835"/>
      <c r="BM22" s="835"/>
      <c r="BN22" s="835"/>
      <c r="BO22" s="835"/>
      <c r="BP22" s="835"/>
      <c r="BQ22" s="835"/>
      <c r="BR22" s="835"/>
      <c r="BS22" s="835"/>
      <c r="BT22" s="835"/>
      <c r="BU22" s="835"/>
      <c r="BV22" s="835"/>
      <c r="BW22" s="835"/>
      <c r="BX22" s="835"/>
      <c r="BY22" s="835"/>
      <c r="BZ22" s="835"/>
      <c r="CA22" s="835"/>
      <c r="CB22" s="835"/>
    </row>
    <row r="23" spans="1:80" x14ac:dyDescent="0.25">
      <c r="A23" s="860"/>
      <c r="B23" s="846">
        <v>35</v>
      </c>
      <c r="C23" s="786" t="s">
        <v>723</v>
      </c>
      <c r="D23" s="860" t="s">
        <v>389</v>
      </c>
      <c r="E23" s="829"/>
      <c r="F23" s="798"/>
      <c r="G23" s="798"/>
      <c r="H23" s="798"/>
      <c r="I23" s="798"/>
      <c r="J23" s="798"/>
      <c r="K23" s="800"/>
      <c r="L23" s="835"/>
      <c r="M23" s="835"/>
      <c r="N23" s="830"/>
      <c r="O23" s="830"/>
      <c r="P23" s="830"/>
      <c r="Q23" s="830"/>
      <c r="R23" s="830"/>
      <c r="S23" s="830"/>
      <c r="T23" s="830"/>
      <c r="U23" s="830"/>
      <c r="V23" s="830"/>
      <c r="W23" s="830"/>
      <c r="X23" s="830"/>
      <c r="Y23" s="830"/>
      <c r="Z23" s="830"/>
      <c r="AA23" s="835"/>
      <c r="AB23" s="835"/>
      <c r="AC23" s="835"/>
      <c r="AD23" s="835"/>
      <c r="AE23" s="835"/>
      <c r="AF23" s="835"/>
      <c r="AG23" s="835"/>
      <c r="AH23" s="835"/>
      <c r="AI23" s="835"/>
      <c r="AJ23" s="835"/>
      <c r="AK23" s="835"/>
      <c r="AL23" s="835"/>
      <c r="AM23" s="835"/>
      <c r="AN23" s="835"/>
      <c r="AO23" s="835"/>
      <c r="AP23" s="835"/>
      <c r="AQ23" s="835"/>
      <c r="AR23" s="835"/>
      <c r="AS23" s="835"/>
      <c r="AT23" s="835"/>
      <c r="AU23" s="835"/>
      <c r="AV23" s="835"/>
      <c r="AW23" s="835"/>
      <c r="AX23" s="835"/>
      <c r="AY23" s="835"/>
      <c r="AZ23" s="835"/>
      <c r="BA23" s="835"/>
      <c r="BB23" s="835"/>
      <c r="BC23" s="835"/>
      <c r="BD23" s="835"/>
      <c r="BE23" s="835"/>
      <c r="BF23" s="835"/>
      <c r="BG23" s="835"/>
      <c r="BH23" s="835"/>
      <c r="BI23" s="835"/>
      <c r="BJ23" s="835"/>
      <c r="BK23" s="835"/>
      <c r="BL23" s="835"/>
      <c r="BM23" s="835"/>
      <c r="BN23" s="835"/>
      <c r="BO23" s="835"/>
      <c r="BP23" s="835"/>
      <c r="BQ23" s="835"/>
      <c r="BR23" s="835"/>
      <c r="BS23" s="835"/>
      <c r="BT23" s="835"/>
      <c r="BU23" s="835"/>
      <c r="BV23" s="835"/>
      <c r="BW23" s="835"/>
      <c r="BX23" s="835"/>
      <c r="BY23" s="835"/>
      <c r="BZ23" s="835"/>
      <c r="CA23" s="835"/>
      <c r="CB23" s="835"/>
    </row>
    <row r="24" spans="1:80" ht="25.5" x14ac:dyDescent="0.25">
      <c r="A24" s="860"/>
      <c r="B24" s="846">
        <v>36</v>
      </c>
      <c r="C24" s="786" t="s">
        <v>724</v>
      </c>
      <c r="D24" s="860" t="s">
        <v>390</v>
      </c>
      <c r="E24" s="829"/>
      <c r="F24" s="798"/>
      <c r="G24" s="798"/>
      <c r="H24" s="798"/>
      <c r="I24" s="798"/>
      <c r="J24" s="798"/>
      <c r="K24" s="800"/>
      <c r="L24" s="835"/>
      <c r="M24" s="835"/>
      <c r="N24" s="830"/>
      <c r="O24" s="830"/>
      <c r="P24" s="830"/>
      <c r="Q24" s="830"/>
      <c r="R24" s="830"/>
      <c r="S24" s="830"/>
      <c r="T24" s="830"/>
      <c r="U24" s="830"/>
      <c r="V24" s="830"/>
      <c r="W24" s="830"/>
      <c r="X24" s="830"/>
      <c r="Y24" s="830"/>
      <c r="Z24" s="830"/>
      <c r="AA24" s="835"/>
      <c r="AB24" s="835"/>
      <c r="AC24" s="835"/>
      <c r="AD24" s="835"/>
      <c r="AE24" s="835"/>
      <c r="AF24" s="835"/>
      <c r="AG24" s="835"/>
      <c r="AH24" s="835"/>
      <c r="AI24" s="835"/>
      <c r="AJ24" s="835"/>
      <c r="AK24" s="835"/>
      <c r="AL24" s="835"/>
      <c r="AM24" s="835"/>
      <c r="AN24" s="835"/>
      <c r="AO24" s="835"/>
      <c r="AP24" s="835"/>
      <c r="AQ24" s="835"/>
      <c r="AR24" s="835"/>
      <c r="AS24" s="835"/>
      <c r="AT24" s="835"/>
      <c r="AU24" s="835"/>
      <c r="AV24" s="835"/>
      <c r="AW24" s="835"/>
      <c r="AX24" s="835"/>
      <c r="AY24" s="835"/>
      <c r="AZ24" s="835"/>
      <c r="BA24" s="835"/>
      <c r="BB24" s="835"/>
      <c r="BC24" s="835"/>
      <c r="BD24" s="835"/>
      <c r="BE24" s="835"/>
      <c r="BF24" s="835"/>
      <c r="BG24" s="835"/>
      <c r="BH24" s="835"/>
      <c r="BI24" s="835"/>
      <c r="BJ24" s="835"/>
      <c r="BK24" s="835"/>
      <c r="BL24" s="835"/>
      <c r="BM24" s="835"/>
      <c r="BN24" s="835"/>
      <c r="BO24" s="835"/>
      <c r="BP24" s="835"/>
      <c r="BQ24" s="835"/>
      <c r="BR24" s="835"/>
      <c r="BS24" s="835"/>
      <c r="BT24" s="835"/>
      <c r="BU24" s="835"/>
      <c r="BV24" s="835"/>
      <c r="BW24" s="835"/>
      <c r="BX24" s="835"/>
      <c r="BY24" s="835"/>
      <c r="BZ24" s="835"/>
      <c r="CA24" s="835"/>
      <c r="CB24" s="835"/>
    </row>
    <row r="25" spans="1:80" ht="25.5" x14ac:dyDescent="0.25">
      <c r="A25" s="860"/>
      <c r="B25" s="846">
        <v>37</v>
      </c>
      <c r="C25" s="786" t="s">
        <v>391</v>
      </c>
      <c r="D25" s="860" t="s">
        <v>392</v>
      </c>
      <c r="E25" s="829"/>
      <c r="F25" s="798"/>
      <c r="G25" s="798"/>
      <c r="H25" s="798"/>
      <c r="I25" s="798"/>
      <c r="J25" s="798"/>
      <c r="K25" s="800"/>
      <c r="L25" s="835"/>
      <c r="M25" s="835"/>
      <c r="N25" s="830"/>
      <c r="O25" s="830"/>
      <c r="P25" s="830"/>
      <c r="Q25" s="830"/>
      <c r="R25" s="830"/>
      <c r="S25" s="830"/>
      <c r="T25" s="830"/>
      <c r="U25" s="830"/>
      <c r="V25" s="830"/>
      <c r="W25" s="830"/>
      <c r="X25" s="830"/>
      <c r="Y25" s="830"/>
      <c r="Z25" s="830"/>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835"/>
      <c r="BK25" s="835"/>
      <c r="BL25" s="835"/>
      <c r="BM25" s="835"/>
      <c r="BN25" s="835"/>
      <c r="BO25" s="835"/>
      <c r="BP25" s="835"/>
      <c r="BQ25" s="835"/>
      <c r="BR25" s="835"/>
      <c r="BS25" s="835"/>
      <c r="BT25" s="835"/>
      <c r="BU25" s="835"/>
      <c r="BV25" s="835"/>
      <c r="BW25" s="835"/>
      <c r="BX25" s="835"/>
      <c r="BY25" s="835"/>
      <c r="BZ25" s="835"/>
      <c r="CA25" s="835"/>
      <c r="CB25" s="835"/>
    </row>
    <row r="26" spans="1:80" x14ac:dyDescent="0.25">
      <c r="A26" s="860"/>
      <c r="B26" s="846">
        <v>38</v>
      </c>
      <c r="C26" s="786" t="s">
        <v>725</v>
      </c>
      <c r="D26" s="860" t="s">
        <v>393</v>
      </c>
      <c r="E26" s="829"/>
      <c r="F26" s="798"/>
      <c r="G26" s="798"/>
      <c r="H26" s="798"/>
      <c r="I26" s="798"/>
      <c r="J26" s="798"/>
      <c r="K26" s="800"/>
      <c r="L26" s="835"/>
      <c r="M26" s="835"/>
      <c r="N26" s="830"/>
      <c r="O26" s="830"/>
      <c r="P26" s="830"/>
      <c r="Q26" s="830"/>
      <c r="R26" s="830"/>
      <c r="S26" s="830"/>
      <c r="T26" s="830"/>
      <c r="U26" s="830"/>
      <c r="V26" s="830"/>
      <c r="W26" s="830"/>
      <c r="X26" s="830"/>
      <c r="Y26" s="830"/>
      <c r="Z26" s="830"/>
      <c r="AA26" s="835"/>
      <c r="AB26" s="835"/>
      <c r="AC26" s="835"/>
      <c r="AD26" s="835"/>
      <c r="AE26" s="835"/>
      <c r="AF26" s="835"/>
      <c r="AG26" s="835"/>
      <c r="AH26" s="835"/>
      <c r="AI26" s="835"/>
      <c r="AJ26" s="835"/>
      <c r="AK26" s="835"/>
      <c r="AL26" s="835"/>
      <c r="AM26" s="835"/>
      <c r="AN26" s="835"/>
      <c r="AO26" s="835"/>
      <c r="AP26" s="835"/>
      <c r="AQ26" s="835"/>
      <c r="AR26" s="835"/>
      <c r="AS26" s="835"/>
      <c r="AT26" s="835"/>
      <c r="AU26" s="835"/>
      <c r="AV26" s="835"/>
      <c r="AW26" s="835"/>
      <c r="AX26" s="835"/>
      <c r="AY26" s="835"/>
      <c r="AZ26" s="835"/>
      <c r="BA26" s="835"/>
      <c r="BB26" s="835"/>
      <c r="BC26" s="835"/>
      <c r="BD26" s="835"/>
      <c r="BE26" s="835"/>
      <c r="BF26" s="835"/>
      <c r="BG26" s="835"/>
      <c r="BH26" s="835"/>
      <c r="BI26" s="835"/>
      <c r="BJ26" s="835"/>
      <c r="BK26" s="835"/>
      <c r="BL26" s="835"/>
      <c r="BM26" s="835"/>
      <c r="BN26" s="835"/>
      <c r="BO26" s="835"/>
      <c r="BP26" s="835"/>
      <c r="BQ26" s="835"/>
      <c r="BR26" s="835"/>
      <c r="BS26" s="835"/>
      <c r="BT26" s="835"/>
      <c r="BU26" s="835"/>
      <c r="BV26" s="835"/>
      <c r="BW26" s="835"/>
      <c r="BX26" s="835"/>
      <c r="BY26" s="835"/>
      <c r="BZ26" s="835"/>
      <c r="CA26" s="835"/>
      <c r="CB26" s="835"/>
    </row>
    <row r="27" spans="1:80" x14ac:dyDescent="0.25">
      <c r="A27" s="860"/>
      <c r="B27" s="846">
        <v>39</v>
      </c>
      <c r="C27" s="786" t="s">
        <v>394</v>
      </c>
      <c r="D27" s="860" t="s">
        <v>395</v>
      </c>
      <c r="E27" s="829"/>
      <c r="F27" s="798"/>
      <c r="G27" s="798"/>
      <c r="H27" s="798"/>
      <c r="I27" s="798"/>
      <c r="J27" s="798"/>
      <c r="K27" s="800"/>
      <c r="L27" s="835"/>
      <c r="M27" s="835"/>
      <c r="N27" s="830"/>
      <c r="O27" s="830"/>
      <c r="P27" s="830"/>
      <c r="Q27" s="830"/>
      <c r="R27" s="830"/>
      <c r="S27" s="830"/>
      <c r="T27" s="830"/>
      <c r="U27" s="830"/>
      <c r="V27" s="830"/>
      <c r="W27" s="830"/>
      <c r="X27" s="830"/>
      <c r="Y27" s="830"/>
      <c r="Z27" s="830"/>
      <c r="AA27" s="835"/>
      <c r="AB27" s="835"/>
      <c r="AC27" s="835"/>
      <c r="AD27" s="835"/>
      <c r="AE27" s="835"/>
      <c r="AF27" s="835"/>
      <c r="AG27" s="835"/>
      <c r="AH27" s="835"/>
      <c r="AI27" s="835"/>
      <c r="AJ27" s="835"/>
      <c r="AK27" s="835"/>
      <c r="AL27" s="835"/>
      <c r="AM27" s="835"/>
      <c r="AN27" s="835"/>
      <c r="AO27" s="835"/>
      <c r="AP27" s="835"/>
      <c r="AQ27" s="835"/>
      <c r="AR27" s="835"/>
      <c r="AS27" s="835"/>
      <c r="AT27" s="835"/>
      <c r="AU27" s="835"/>
      <c r="AV27" s="835"/>
      <c r="AW27" s="835"/>
      <c r="AX27" s="835"/>
      <c r="AY27" s="835"/>
      <c r="AZ27" s="835"/>
      <c r="BA27" s="835"/>
      <c r="BB27" s="835"/>
      <c r="BC27" s="835"/>
      <c r="BD27" s="835"/>
      <c r="BE27" s="835"/>
      <c r="BF27" s="835"/>
      <c r="BG27" s="835"/>
      <c r="BH27" s="835"/>
      <c r="BI27" s="835"/>
      <c r="BJ27" s="835"/>
      <c r="BK27" s="835"/>
      <c r="BL27" s="835"/>
      <c r="BM27" s="835"/>
      <c r="BN27" s="835"/>
      <c r="BO27" s="835"/>
      <c r="BP27" s="835"/>
      <c r="BQ27" s="835"/>
      <c r="BR27" s="835"/>
      <c r="BS27" s="835"/>
      <c r="BT27" s="835"/>
      <c r="BU27" s="835"/>
      <c r="BV27" s="835"/>
      <c r="BW27" s="835"/>
      <c r="BX27" s="835"/>
      <c r="BY27" s="835"/>
      <c r="BZ27" s="835"/>
      <c r="CA27" s="835"/>
      <c r="CB27" s="835"/>
    </row>
    <row r="28" spans="1:80" x14ac:dyDescent="0.25">
      <c r="A28" s="860"/>
      <c r="B28" s="846">
        <v>40</v>
      </c>
      <c r="C28" s="786" t="s">
        <v>396</v>
      </c>
      <c r="D28" s="860" t="s">
        <v>397</v>
      </c>
      <c r="E28" s="829"/>
      <c r="F28" s="798"/>
      <c r="G28" s="798"/>
      <c r="H28" s="798"/>
      <c r="I28" s="798"/>
      <c r="J28" s="798"/>
      <c r="K28" s="800"/>
      <c r="L28" s="835"/>
      <c r="M28" s="835"/>
      <c r="N28" s="830"/>
      <c r="O28" s="830"/>
      <c r="P28" s="830"/>
      <c r="Q28" s="830"/>
      <c r="R28" s="830"/>
      <c r="S28" s="830"/>
      <c r="T28" s="830"/>
      <c r="U28" s="830"/>
      <c r="V28" s="830"/>
      <c r="W28" s="830"/>
      <c r="X28" s="830"/>
      <c r="Y28" s="830"/>
      <c r="Z28" s="830"/>
      <c r="AA28" s="835"/>
      <c r="AB28" s="835"/>
      <c r="AC28" s="835"/>
      <c r="AD28" s="835"/>
      <c r="AE28" s="835"/>
      <c r="AF28" s="835"/>
      <c r="AG28" s="835"/>
      <c r="AH28" s="835"/>
      <c r="AI28" s="835"/>
      <c r="AJ28" s="835"/>
      <c r="AK28" s="835"/>
      <c r="AL28" s="835"/>
      <c r="AM28" s="835"/>
      <c r="AN28" s="835"/>
      <c r="AO28" s="835"/>
      <c r="AP28" s="835"/>
      <c r="AQ28" s="835"/>
      <c r="AR28" s="835"/>
      <c r="AS28" s="835"/>
      <c r="AT28" s="835"/>
      <c r="AU28" s="835"/>
      <c r="AV28" s="835"/>
      <c r="AW28" s="835"/>
      <c r="AX28" s="835"/>
      <c r="AY28" s="835"/>
      <c r="AZ28" s="835"/>
      <c r="BA28" s="835"/>
      <c r="BB28" s="835"/>
      <c r="BC28" s="835"/>
      <c r="BD28" s="835"/>
      <c r="BE28" s="835"/>
      <c r="BF28" s="835"/>
      <c r="BG28" s="835"/>
      <c r="BH28" s="835"/>
      <c r="BI28" s="835"/>
      <c r="BJ28" s="835"/>
      <c r="BK28" s="835"/>
      <c r="BL28" s="835"/>
      <c r="BM28" s="835"/>
      <c r="BN28" s="835"/>
      <c r="BO28" s="835"/>
      <c r="BP28" s="835"/>
      <c r="BQ28" s="835"/>
      <c r="BR28" s="835"/>
      <c r="BS28" s="835"/>
      <c r="BT28" s="835"/>
      <c r="BU28" s="835"/>
      <c r="BV28" s="835"/>
      <c r="BW28" s="835"/>
      <c r="BX28" s="835"/>
      <c r="BY28" s="835"/>
      <c r="BZ28" s="835"/>
      <c r="CA28" s="835"/>
      <c r="CB28" s="835"/>
    </row>
    <row r="29" spans="1:80" x14ac:dyDescent="0.25">
      <c r="A29" s="860"/>
      <c r="B29" s="846">
        <v>41</v>
      </c>
      <c r="C29" s="786" t="s">
        <v>398</v>
      </c>
      <c r="D29" s="860" t="s">
        <v>399</v>
      </c>
      <c r="E29" s="829"/>
      <c r="F29" s="798"/>
      <c r="G29" s="798"/>
      <c r="H29" s="798"/>
      <c r="I29" s="798"/>
      <c r="J29" s="798"/>
      <c r="K29" s="800"/>
      <c r="L29" s="835"/>
      <c r="M29" s="835"/>
      <c r="N29" s="830"/>
      <c r="O29" s="830"/>
      <c r="P29" s="830"/>
      <c r="Q29" s="830"/>
      <c r="R29" s="830"/>
      <c r="S29" s="830"/>
      <c r="T29" s="830"/>
      <c r="U29" s="830"/>
      <c r="V29" s="830"/>
      <c r="W29" s="830"/>
      <c r="X29" s="830"/>
      <c r="Y29" s="830"/>
      <c r="Z29" s="830"/>
      <c r="AA29" s="835"/>
      <c r="AB29" s="835"/>
      <c r="AC29" s="835"/>
      <c r="AD29" s="835"/>
      <c r="AE29" s="835"/>
      <c r="AF29" s="835"/>
      <c r="AG29" s="835"/>
      <c r="AH29" s="835"/>
      <c r="AI29" s="835"/>
      <c r="AJ29" s="835"/>
      <c r="AK29" s="835"/>
      <c r="AL29" s="835"/>
      <c r="AM29" s="835"/>
      <c r="AN29" s="835"/>
      <c r="AO29" s="835"/>
      <c r="AP29" s="835"/>
      <c r="AQ29" s="835"/>
      <c r="AR29" s="835"/>
      <c r="AS29" s="835"/>
      <c r="AT29" s="835"/>
      <c r="AU29" s="835"/>
      <c r="AV29" s="835"/>
      <c r="AW29" s="835"/>
      <c r="AX29" s="835"/>
      <c r="AY29" s="835"/>
      <c r="AZ29" s="835"/>
      <c r="BA29" s="835"/>
      <c r="BB29" s="835"/>
      <c r="BC29" s="835"/>
      <c r="BD29" s="835"/>
      <c r="BE29" s="835"/>
      <c r="BF29" s="835"/>
      <c r="BG29" s="835"/>
      <c r="BH29" s="835"/>
      <c r="BI29" s="835"/>
      <c r="BJ29" s="835"/>
      <c r="BK29" s="835"/>
      <c r="BL29" s="835"/>
      <c r="BM29" s="835"/>
      <c r="BN29" s="835"/>
      <c r="BO29" s="835"/>
      <c r="BP29" s="835"/>
      <c r="BQ29" s="835"/>
      <c r="BR29" s="835"/>
      <c r="BS29" s="835"/>
      <c r="BT29" s="835"/>
      <c r="BU29" s="835"/>
      <c r="BV29" s="835"/>
      <c r="BW29" s="835"/>
      <c r="BX29" s="835"/>
      <c r="BY29" s="835"/>
      <c r="BZ29" s="835"/>
      <c r="CA29" s="835"/>
      <c r="CB29" s="835"/>
    </row>
    <row r="30" spans="1:80" ht="30" x14ac:dyDescent="0.25">
      <c r="A30" s="860"/>
      <c r="B30" s="846">
        <v>43</v>
      </c>
      <c r="C30" s="832" t="s">
        <v>400</v>
      </c>
      <c r="D30" s="860" t="s">
        <v>401</v>
      </c>
      <c r="E30" s="829"/>
      <c r="F30" s="798"/>
      <c r="G30" s="798"/>
      <c r="H30" s="798"/>
      <c r="I30" s="798"/>
      <c r="J30" s="798"/>
      <c r="K30" s="800"/>
      <c r="L30" s="835"/>
      <c r="M30" s="835"/>
      <c r="N30" s="830"/>
      <c r="O30" s="830"/>
      <c r="P30" s="830"/>
      <c r="Q30" s="830"/>
      <c r="R30" s="830"/>
      <c r="S30" s="830"/>
      <c r="T30" s="830"/>
      <c r="U30" s="830"/>
      <c r="V30" s="830"/>
      <c r="W30" s="830"/>
      <c r="X30" s="830"/>
      <c r="Y30" s="830"/>
      <c r="Z30" s="830"/>
      <c r="AA30" s="835"/>
      <c r="AB30" s="835"/>
      <c r="AC30" s="835"/>
      <c r="AD30" s="835"/>
      <c r="AE30" s="835"/>
      <c r="AF30" s="835"/>
      <c r="AG30" s="835"/>
      <c r="AH30" s="835"/>
      <c r="AI30" s="835"/>
      <c r="AJ30" s="835"/>
      <c r="AK30" s="835"/>
      <c r="AL30" s="835"/>
      <c r="AM30" s="835"/>
      <c r="AN30" s="835"/>
      <c r="AO30" s="835"/>
      <c r="AP30" s="835"/>
      <c r="AQ30" s="835"/>
      <c r="AR30" s="835"/>
      <c r="AS30" s="835"/>
      <c r="AT30" s="835"/>
      <c r="AU30" s="835"/>
      <c r="AV30" s="835"/>
      <c r="AW30" s="835"/>
      <c r="AX30" s="835"/>
      <c r="AY30" s="835"/>
      <c r="AZ30" s="835"/>
      <c r="BA30" s="835"/>
      <c r="BB30" s="835"/>
      <c r="BC30" s="835"/>
      <c r="BD30" s="835"/>
      <c r="BE30" s="835"/>
      <c r="BF30" s="835"/>
      <c r="BG30" s="835"/>
      <c r="BH30" s="835"/>
      <c r="BI30" s="835"/>
      <c r="BJ30" s="835"/>
      <c r="BK30" s="835"/>
      <c r="BL30" s="835"/>
      <c r="BM30" s="835"/>
      <c r="BN30" s="835"/>
      <c r="BO30" s="835"/>
      <c r="BP30" s="835"/>
      <c r="BQ30" s="835"/>
      <c r="BR30" s="835"/>
      <c r="BS30" s="835"/>
      <c r="BT30" s="835"/>
      <c r="BU30" s="835"/>
      <c r="BV30" s="835"/>
      <c r="BW30" s="835"/>
      <c r="BX30" s="835"/>
      <c r="BY30" s="835"/>
      <c r="BZ30" s="835"/>
      <c r="CA30" s="835"/>
      <c r="CB30" s="835"/>
    </row>
    <row r="31" spans="1:80" x14ac:dyDescent="0.25">
      <c r="A31" s="795">
        <v>44</v>
      </c>
      <c r="B31" s="846">
        <v>44</v>
      </c>
      <c r="C31" s="832" t="s">
        <v>726</v>
      </c>
      <c r="D31" s="860" t="s">
        <v>402</v>
      </c>
      <c r="E31" s="829">
        <v>0</v>
      </c>
      <c r="F31" s="798">
        <v>0</v>
      </c>
      <c r="G31" s="798">
        <v>255174</v>
      </c>
      <c r="H31" s="798">
        <v>32046612</v>
      </c>
      <c r="I31" s="798">
        <v>6932167</v>
      </c>
      <c r="J31" s="798">
        <v>220760</v>
      </c>
      <c r="K31" s="800">
        <v>4951484</v>
      </c>
      <c r="L31" s="835">
        <v>1021541</v>
      </c>
      <c r="M31" s="835">
        <v>11455997</v>
      </c>
      <c r="N31" s="830">
        <v>0</v>
      </c>
      <c r="O31" s="830">
        <v>1715042</v>
      </c>
      <c r="P31" s="830">
        <v>855085</v>
      </c>
      <c r="Q31" s="830">
        <v>0</v>
      </c>
      <c r="R31" s="830">
        <v>8139414</v>
      </c>
      <c r="S31" s="830">
        <v>7725496</v>
      </c>
      <c r="T31" s="830">
        <v>7535387</v>
      </c>
      <c r="U31" s="830">
        <v>34245</v>
      </c>
      <c r="V31" s="830">
        <v>9791822</v>
      </c>
      <c r="W31" s="830">
        <v>0</v>
      </c>
      <c r="X31" s="830">
        <v>0</v>
      </c>
      <c r="Y31" s="830">
        <v>755203</v>
      </c>
      <c r="Z31" s="830">
        <v>2400796</v>
      </c>
      <c r="AA31" s="835">
        <v>812534</v>
      </c>
      <c r="AB31" s="835">
        <v>245272</v>
      </c>
      <c r="AC31" s="835">
        <v>0</v>
      </c>
      <c r="AD31" s="835">
        <v>105324</v>
      </c>
      <c r="AE31" s="835">
        <v>1493916</v>
      </c>
      <c r="AF31" s="835">
        <v>532505</v>
      </c>
      <c r="AG31" s="835">
        <v>54936</v>
      </c>
      <c r="AH31" s="835">
        <v>0</v>
      </c>
      <c r="AI31" s="835">
        <v>0</v>
      </c>
      <c r="AJ31" s="835">
        <v>776959</v>
      </c>
      <c r="AK31" s="835">
        <v>7006097</v>
      </c>
      <c r="AL31" s="835">
        <v>389179</v>
      </c>
      <c r="AM31" s="835">
        <v>0</v>
      </c>
      <c r="AN31" s="835">
        <v>13484550</v>
      </c>
      <c r="AO31" s="835">
        <v>7736727</v>
      </c>
      <c r="AP31" s="835">
        <v>67280</v>
      </c>
      <c r="AQ31" s="835">
        <v>0</v>
      </c>
      <c r="AR31" s="835">
        <v>5254820</v>
      </c>
      <c r="AS31" s="835">
        <v>1345771</v>
      </c>
      <c r="AT31" s="835">
        <v>242829</v>
      </c>
      <c r="AU31" s="835">
        <v>1624098</v>
      </c>
      <c r="AV31" s="835">
        <v>9088615</v>
      </c>
      <c r="AW31" s="835">
        <v>985182</v>
      </c>
      <c r="AX31" s="835">
        <v>261446</v>
      </c>
      <c r="AY31" s="835">
        <v>1451036</v>
      </c>
      <c r="AZ31" s="835">
        <v>484090</v>
      </c>
      <c r="BA31" s="835">
        <v>1731842</v>
      </c>
      <c r="BB31" s="835">
        <v>0</v>
      </c>
      <c r="BC31" s="835">
        <v>597011</v>
      </c>
      <c r="BD31" s="835">
        <v>659052</v>
      </c>
      <c r="BE31" s="835">
        <v>0</v>
      </c>
      <c r="BF31" s="835">
        <v>2999405</v>
      </c>
      <c r="BG31" s="835">
        <v>44920</v>
      </c>
      <c r="BH31" s="835">
        <v>0</v>
      </c>
      <c r="BI31" s="835">
        <v>1199416</v>
      </c>
      <c r="BJ31" s="835">
        <v>1816522</v>
      </c>
      <c r="BK31" s="835">
        <v>50824</v>
      </c>
      <c r="BL31" s="835">
        <v>5196363</v>
      </c>
      <c r="BM31" s="835">
        <v>2326635</v>
      </c>
      <c r="BN31" s="835">
        <v>0</v>
      </c>
      <c r="BO31" s="835">
        <v>2254043</v>
      </c>
      <c r="BP31" s="835">
        <v>3516234</v>
      </c>
      <c r="BQ31" s="835">
        <v>1721883</v>
      </c>
      <c r="BR31" s="835">
        <v>3286148</v>
      </c>
      <c r="BS31" s="835">
        <v>0</v>
      </c>
      <c r="BT31" s="835">
        <v>0</v>
      </c>
      <c r="BU31" s="835">
        <v>1139536</v>
      </c>
      <c r="BV31" s="835">
        <v>1909775</v>
      </c>
      <c r="BW31" s="835">
        <v>97788</v>
      </c>
      <c r="BX31" s="835">
        <v>847923</v>
      </c>
      <c r="BY31" s="835">
        <v>0</v>
      </c>
      <c r="BZ31" s="835">
        <v>0</v>
      </c>
      <c r="CA31" s="835">
        <v>9993005</v>
      </c>
      <c r="CB31" s="835">
        <v>0</v>
      </c>
    </row>
    <row r="32" spans="1:80" x14ac:dyDescent="0.25">
      <c r="A32" s="795">
        <v>45</v>
      </c>
      <c r="B32" s="846">
        <v>45</v>
      </c>
      <c r="C32" s="832" t="s">
        <v>727</v>
      </c>
      <c r="D32" s="860" t="s">
        <v>403</v>
      </c>
      <c r="E32" s="829">
        <v>0</v>
      </c>
      <c r="F32" s="798">
        <v>0</v>
      </c>
      <c r="G32" s="798">
        <v>28214</v>
      </c>
      <c r="H32" s="798">
        <v>6838350</v>
      </c>
      <c r="I32" s="798">
        <v>447566</v>
      </c>
      <c r="J32" s="798">
        <v>27445</v>
      </c>
      <c r="K32" s="800">
        <v>3693</v>
      </c>
      <c r="L32" s="835">
        <v>615959</v>
      </c>
      <c r="M32" s="835">
        <v>4136361</v>
      </c>
      <c r="N32" s="830">
        <v>0</v>
      </c>
      <c r="O32" s="830">
        <v>53667</v>
      </c>
      <c r="P32" s="830">
        <v>101657</v>
      </c>
      <c r="Q32" s="830">
        <v>0</v>
      </c>
      <c r="R32" s="830">
        <v>135652</v>
      </c>
      <c r="S32" s="830">
        <v>937654</v>
      </c>
      <c r="T32" s="830">
        <v>2167456</v>
      </c>
      <c r="U32" s="830">
        <v>276093</v>
      </c>
      <c r="V32" s="830">
        <v>4801621</v>
      </c>
      <c r="W32" s="830">
        <v>0</v>
      </c>
      <c r="X32" s="830">
        <v>0</v>
      </c>
      <c r="Y32" s="830">
        <v>659379</v>
      </c>
      <c r="Z32" s="830">
        <v>316928</v>
      </c>
      <c r="AA32" s="835">
        <v>31028</v>
      </c>
      <c r="AB32" s="835">
        <v>144384</v>
      </c>
      <c r="AC32" s="835">
        <v>0</v>
      </c>
      <c r="AD32" s="835">
        <v>13326</v>
      </c>
      <c r="AE32" s="835">
        <v>116462</v>
      </c>
      <c r="AF32" s="835">
        <v>455457</v>
      </c>
      <c r="AG32" s="835">
        <v>1254</v>
      </c>
      <c r="AH32" s="835">
        <v>0</v>
      </c>
      <c r="AI32" s="835">
        <v>0</v>
      </c>
      <c r="AJ32" s="835">
        <v>26237</v>
      </c>
      <c r="AK32" s="835">
        <v>1388845</v>
      </c>
      <c r="AL32" s="835">
        <v>17740</v>
      </c>
      <c r="AM32" s="835">
        <v>0</v>
      </c>
      <c r="AN32" s="835">
        <v>1221626</v>
      </c>
      <c r="AO32" s="835">
        <v>1916599</v>
      </c>
      <c r="AP32" s="835">
        <v>0</v>
      </c>
      <c r="AQ32" s="835">
        <v>0</v>
      </c>
      <c r="AR32" s="835">
        <v>716202</v>
      </c>
      <c r="AS32" s="835">
        <v>37834</v>
      </c>
      <c r="AT32" s="835">
        <v>10146</v>
      </c>
      <c r="AU32" s="835">
        <v>79757</v>
      </c>
      <c r="AV32" s="835">
        <v>2464680</v>
      </c>
      <c r="AW32" s="835">
        <v>36558</v>
      </c>
      <c r="AX32" s="835">
        <v>58691</v>
      </c>
      <c r="AY32" s="835">
        <v>262145</v>
      </c>
      <c r="AZ32" s="835">
        <v>81651</v>
      </c>
      <c r="BA32" s="835">
        <v>253247</v>
      </c>
      <c r="BB32" s="835">
        <v>0</v>
      </c>
      <c r="BC32" s="835">
        <v>148768</v>
      </c>
      <c r="BD32" s="835">
        <v>44393</v>
      </c>
      <c r="BE32" s="835">
        <v>0</v>
      </c>
      <c r="BF32" s="835">
        <v>2352262</v>
      </c>
      <c r="BG32" s="835">
        <v>81115</v>
      </c>
      <c r="BH32" s="835">
        <v>0</v>
      </c>
      <c r="BI32" s="835">
        <v>341184</v>
      </c>
      <c r="BJ32" s="835">
        <v>184512</v>
      </c>
      <c r="BK32" s="835">
        <v>158077</v>
      </c>
      <c r="BL32" s="835">
        <v>156263</v>
      </c>
      <c r="BM32" s="835">
        <v>122754</v>
      </c>
      <c r="BN32" s="835">
        <v>0</v>
      </c>
      <c r="BO32" s="835">
        <v>372644</v>
      </c>
      <c r="BP32" s="835">
        <v>115859</v>
      </c>
      <c r="BQ32" s="835">
        <v>827061</v>
      </c>
      <c r="BR32" s="835">
        <v>704833</v>
      </c>
      <c r="BS32" s="835">
        <v>0</v>
      </c>
      <c r="BT32" s="835">
        <v>0</v>
      </c>
      <c r="BU32" s="835">
        <v>128139</v>
      </c>
      <c r="BV32" s="835">
        <v>322708</v>
      </c>
      <c r="BW32" s="835">
        <v>108332</v>
      </c>
      <c r="BX32" s="835">
        <v>42277</v>
      </c>
      <c r="BY32" s="835">
        <v>0</v>
      </c>
      <c r="BZ32" s="835">
        <v>0</v>
      </c>
      <c r="CA32" s="835">
        <v>1522760</v>
      </c>
      <c r="CB32" s="835">
        <v>0</v>
      </c>
    </row>
    <row r="33" spans="1:80" ht="30" x14ac:dyDescent="0.25">
      <c r="A33" s="860"/>
      <c r="B33" s="846">
        <v>46</v>
      </c>
      <c r="C33" s="832" t="s">
        <v>728</v>
      </c>
      <c r="D33" s="860" t="s">
        <v>404</v>
      </c>
      <c r="E33" s="829"/>
      <c r="F33" s="798"/>
      <c r="G33" s="798"/>
      <c r="H33" s="798"/>
      <c r="I33" s="798"/>
      <c r="J33" s="798"/>
      <c r="K33" s="800"/>
      <c r="L33" s="835"/>
      <c r="M33" s="835"/>
      <c r="N33" s="830"/>
      <c r="O33" s="830"/>
      <c r="P33" s="830"/>
      <c r="Q33" s="830"/>
      <c r="R33" s="830"/>
      <c r="S33" s="830"/>
      <c r="T33" s="830"/>
      <c r="U33" s="830"/>
      <c r="V33" s="830"/>
      <c r="W33" s="830"/>
      <c r="X33" s="830"/>
      <c r="Y33" s="830"/>
      <c r="Z33" s="830"/>
      <c r="AA33" s="835"/>
      <c r="AB33" s="835"/>
      <c r="AC33" s="835"/>
      <c r="AD33" s="835"/>
      <c r="AE33" s="835"/>
      <c r="AF33" s="835"/>
      <c r="AG33" s="835"/>
      <c r="AH33" s="835"/>
      <c r="AI33" s="835"/>
      <c r="AJ33" s="835"/>
      <c r="AK33" s="835"/>
      <c r="AL33" s="835"/>
      <c r="AM33" s="835"/>
      <c r="AN33" s="835"/>
      <c r="AO33" s="835"/>
      <c r="AP33" s="835"/>
      <c r="AQ33" s="835"/>
      <c r="AR33" s="835"/>
      <c r="AS33" s="835"/>
      <c r="AT33" s="835"/>
      <c r="AU33" s="835"/>
      <c r="AV33" s="835"/>
      <c r="AW33" s="835"/>
      <c r="AX33" s="835"/>
      <c r="AY33" s="835"/>
      <c r="AZ33" s="835"/>
      <c r="BA33" s="835"/>
      <c r="BB33" s="835"/>
      <c r="BC33" s="835"/>
      <c r="BD33" s="835"/>
      <c r="BE33" s="835"/>
      <c r="BF33" s="835"/>
      <c r="BG33" s="835"/>
      <c r="BH33" s="835"/>
      <c r="BI33" s="835"/>
      <c r="BJ33" s="835"/>
      <c r="BK33" s="835"/>
      <c r="BL33" s="835"/>
      <c r="BM33" s="835"/>
      <c r="BN33" s="835"/>
      <c r="BO33" s="835"/>
      <c r="BP33" s="835"/>
      <c r="BQ33" s="835"/>
      <c r="BR33" s="835"/>
      <c r="BS33" s="835"/>
      <c r="BT33" s="835"/>
      <c r="BU33" s="835"/>
      <c r="BV33" s="835"/>
      <c r="BW33" s="835"/>
      <c r="BX33" s="835"/>
      <c r="BY33" s="835"/>
      <c r="BZ33" s="835"/>
      <c r="CA33" s="835"/>
      <c r="CB33" s="835"/>
    </row>
    <row r="34" spans="1:80" x14ac:dyDescent="0.25">
      <c r="A34" s="787">
        <v>47</v>
      </c>
      <c r="B34" s="846">
        <v>47</v>
      </c>
      <c r="C34" s="832" t="s">
        <v>729</v>
      </c>
      <c r="D34" s="860" t="s">
        <v>405</v>
      </c>
      <c r="E34" s="829">
        <v>0</v>
      </c>
      <c r="F34" s="798">
        <v>0</v>
      </c>
      <c r="G34" s="798">
        <v>0</v>
      </c>
      <c r="H34" s="798">
        <v>0</v>
      </c>
      <c r="I34" s="798">
        <v>0</v>
      </c>
      <c r="J34" s="798">
        <v>0</v>
      </c>
      <c r="K34" s="800">
        <v>0</v>
      </c>
      <c r="L34" s="835">
        <v>0</v>
      </c>
      <c r="M34" s="835">
        <v>0</v>
      </c>
      <c r="N34" s="830">
        <v>0</v>
      </c>
      <c r="O34" s="830">
        <v>0</v>
      </c>
      <c r="P34" s="830">
        <v>0</v>
      </c>
      <c r="Q34" s="830">
        <v>0</v>
      </c>
      <c r="R34" s="830">
        <v>0</v>
      </c>
      <c r="S34" s="830">
        <v>0</v>
      </c>
      <c r="T34" s="830">
        <v>4847713</v>
      </c>
      <c r="U34" s="830">
        <v>0</v>
      </c>
      <c r="V34" s="830">
        <v>27795149</v>
      </c>
      <c r="W34" s="830">
        <v>0</v>
      </c>
      <c r="X34" s="830">
        <v>0</v>
      </c>
      <c r="Y34" s="830">
        <v>0</v>
      </c>
      <c r="Z34" s="830">
        <v>0</v>
      </c>
      <c r="AA34" s="835">
        <v>1263494</v>
      </c>
      <c r="AB34" s="835">
        <v>281583</v>
      </c>
      <c r="AC34" s="835">
        <v>0</v>
      </c>
      <c r="AD34" s="835">
        <v>0</v>
      </c>
      <c r="AE34" s="835">
        <v>0</v>
      </c>
      <c r="AF34" s="835">
        <v>858766</v>
      </c>
      <c r="AG34" s="835">
        <v>0</v>
      </c>
      <c r="AH34" s="835">
        <v>0</v>
      </c>
      <c r="AI34" s="835">
        <v>0</v>
      </c>
      <c r="AJ34" s="835">
        <v>0</v>
      </c>
      <c r="AK34" s="835">
        <v>5042100</v>
      </c>
      <c r="AL34" s="835">
        <v>0</v>
      </c>
      <c r="AM34" s="835">
        <v>0</v>
      </c>
      <c r="AN34" s="835">
        <v>0</v>
      </c>
      <c r="AO34" s="835">
        <v>0</v>
      </c>
      <c r="AP34" s="835">
        <v>0</v>
      </c>
      <c r="AQ34" s="835">
        <v>0</v>
      </c>
      <c r="AR34" s="835">
        <v>18747602</v>
      </c>
      <c r="AS34" s="835">
        <v>0</v>
      </c>
      <c r="AT34" s="835">
        <v>0</v>
      </c>
      <c r="AU34" s="835">
        <v>0</v>
      </c>
      <c r="AV34" s="835">
        <v>3796464</v>
      </c>
      <c r="AW34" s="835">
        <v>0</v>
      </c>
      <c r="AX34" s="835">
        <v>0</v>
      </c>
      <c r="AY34" s="835">
        <v>0</v>
      </c>
      <c r="AZ34" s="835">
        <v>0</v>
      </c>
      <c r="BA34" s="835">
        <v>2869122</v>
      </c>
      <c r="BB34" s="835">
        <v>0</v>
      </c>
      <c r="BC34" s="835">
        <v>0</v>
      </c>
      <c r="BD34" s="835">
        <v>5334747</v>
      </c>
      <c r="BE34" s="835">
        <v>0</v>
      </c>
      <c r="BF34" s="835">
        <v>12815008</v>
      </c>
      <c r="BG34" s="835">
        <v>379494</v>
      </c>
      <c r="BH34" s="835">
        <v>0</v>
      </c>
      <c r="BI34" s="835">
        <v>0</v>
      </c>
      <c r="BJ34" s="835">
        <v>0</v>
      </c>
      <c r="BK34" s="835">
        <v>0</v>
      </c>
      <c r="BL34" s="835">
        <v>2219304</v>
      </c>
      <c r="BM34" s="835">
        <v>0</v>
      </c>
      <c r="BN34" s="835">
        <v>0</v>
      </c>
      <c r="BO34" s="835">
        <v>0</v>
      </c>
      <c r="BP34" s="835">
        <v>0</v>
      </c>
      <c r="BQ34" s="835">
        <v>0</v>
      </c>
      <c r="BR34" s="835">
        <v>0</v>
      </c>
      <c r="BS34" s="835">
        <v>0</v>
      </c>
      <c r="BT34" s="835">
        <v>0</v>
      </c>
      <c r="BU34" s="835">
        <v>0</v>
      </c>
      <c r="BV34" s="835">
        <v>0</v>
      </c>
      <c r="BW34" s="835">
        <v>0</v>
      </c>
      <c r="BX34" s="835">
        <v>0</v>
      </c>
      <c r="BY34" s="835">
        <v>0</v>
      </c>
      <c r="BZ34" s="835">
        <v>0</v>
      </c>
      <c r="CA34" s="835">
        <v>0</v>
      </c>
      <c r="CB34" s="835">
        <v>0</v>
      </c>
    </row>
    <row r="35" spans="1:80" x14ac:dyDescent="0.25">
      <c r="A35" s="787">
        <v>48</v>
      </c>
      <c r="B35" s="846">
        <v>48</v>
      </c>
      <c r="C35" s="832" t="s">
        <v>130</v>
      </c>
      <c r="D35" s="860" t="s">
        <v>406</v>
      </c>
      <c r="E35" s="829">
        <v>0</v>
      </c>
      <c r="F35" s="798">
        <v>0</v>
      </c>
      <c r="G35" s="798">
        <v>0</v>
      </c>
      <c r="H35" s="798">
        <v>0</v>
      </c>
      <c r="I35" s="798">
        <v>0</v>
      </c>
      <c r="J35" s="798">
        <v>0</v>
      </c>
      <c r="K35" s="800">
        <v>0</v>
      </c>
      <c r="L35" s="835">
        <v>0</v>
      </c>
      <c r="M35" s="835">
        <v>0</v>
      </c>
      <c r="N35" s="830">
        <v>0</v>
      </c>
      <c r="O35" s="830">
        <v>0</v>
      </c>
      <c r="P35" s="830">
        <v>0</v>
      </c>
      <c r="Q35" s="830">
        <v>0</v>
      </c>
      <c r="R35" s="830">
        <v>0</v>
      </c>
      <c r="S35" s="830">
        <v>0</v>
      </c>
      <c r="T35" s="830">
        <v>1226040</v>
      </c>
      <c r="U35" s="830">
        <v>0</v>
      </c>
      <c r="V35" s="830">
        <v>5520956</v>
      </c>
      <c r="W35" s="830">
        <v>0</v>
      </c>
      <c r="X35" s="830">
        <v>0</v>
      </c>
      <c r="Y35" s="830">
        <v>0</v>
      </c>
      <c r="Z35" s="830">
        <v>0</v>
      </c>
      <c r="AA35" s="835">
        <v>327935</v>
      </c>
      <c r="AB35" s="835">
        <v>19091</v>
      </c>
      <c r="AC35" s="835">
        <v>0</v>
      </c>
      <c r="AD35" s="835">
        <v>0</v>
      </c>
      <c r="AE35" s="835">
        <v>0</v>
      </c>
      <c r="AF35" s="835">
        <v>566806</v>
      </c>
      <c r="AG35" s="835">
        <v>0</v>
      </c>
      <c r="AH35" s="835">
        <v>0</v>
      </c>
      <c r="AI35" s="835">
        <v>0</v>
      </c>
      <c r="AJ35" s="835">
        <v>0</v>
      </c>
      <c r="AK35" s="835">
        <v>1311792</v>
      </c>
      <c r="AL35" s="835">
        <v>0</v>
      </c>
      <c r="AM35" s="835">
        <v>0</v>
      </c>
      <c r="AN35" s="835">
        <v>0</v>
      </c>
      <c r="AO35" s="835">
        <v>0</v>
      </c>
      <c r="AP35" s="835">
        <v>0</v>
      </c>
      <c r="AQ35" s="835">
        <v>0</v>
      </c>
      <c r="AR35" s="835">
        <v>5190890</v>
      </c>
      <c r="AS35" s="835">
        <v>0</v>
      </c>
      <c r="AT35" s="835">
        <v>0</v>
      </c>
      <c r="AU35" s="835">
        <v>0</v>
      </c>
      <c r="AV35" s="835">
        <v>699413</v>
      </c>
      <c r="AW35" s="835">
        <v>0</v>
      </c>
      <c r="AX35" s="835">
        <v>0</v>
      </c>
      <c r="AY35" s="835">
        <v>0</v>
      </c>
      <c r="AZ35" s="835">
        <v>0</v>
      </c>
      <c r="BA35" s="835">
        <v>533113</v>
      </c>
      <c r="BB35" s="835">
        <v>0</v>
      </c>
      <c r="BC35" s="835">
        <v>0</v>
      </c>
      <c r="BD35" s="835">
        <v>83950</v>
      </c>
      <c r="BE35" s="835">
        <v>0</v>
      </c>
      <c r="BF35" s="835">
        <v>2333480</v>
      </c>
      <c r="BG35" s="835">
        <v>62635</v>
      </c>
      <c r="BH35" s="835">
        <v>0</v>
      </c>
      <c r="BI35" s="835">
        <v>0</v>
      </c>
      <c r="BJ35" s="835">
        <v>0</v>
      </c>
      <c r="BK35" s="835">
        <v>0</v>
      </c>
      <c r="BL35" s="835">
        <v>141024</v>
      </c>
      <c r="BM35" s="835">
        <v>0</v>
      </c>
      <c r="BN35" s="835">
        <v>0</v>
      </c>
      <c r="BO35" s="835">
        <v>0</v>
      </c>
      <c r="BP35" s="835">
        <v>0</v>
      </c>
      <c r="BQ35" s="835">
        <v>0</v>
      </c>
      <c r="BR35" s="835">
        <v>0</v>
      </c>
      <c r="BS35" s="835">
        <v>0</v>
      </c>
      <c r="BT35" s="835">
        <v>0</v>
      </c>
      <c r="BU35" s="835">
        <v>0</v>
      </c>
      <c r="BV35" s="835">
        <v>0</v>
      </c>
      <c r="BW35" s="835">
        <v>0</v>
      </c>
      <c r="BX35" s="835">
        <v>0</v>
      </c>
      <c r="BY35" s="835">
        <v>0</v>
      </c>
      <c r="BZ35" s="835">
        <v>0</v>
      </c>
      <c r="CA35" s="835">
        <v>0</v>
      </c>
      <c r="CB35" s="835">
        <v>0</v>
      </c>
    </row>
    <row r="36" spans="1:80" x14ac:dyDescent="0.25">
      <c r="A36" s="795">
        <v>49</v>
      </c>
      <c r="B36" s="846">
        <v>49</v>
      </c>
      <c r="C36" s="832" t="s">
        <v>295</v>
      </c>
      <c r="D36" s="860" t="s">
        <v>407</v>
      </c>
      <c r="E36" s="829">
        <v>0</v>
      </c>
      <c r="F36" s="798">
        <v>0</v>
      </c>
      <c r="G36" s="798">
        <v>70983</v>
      </c>
      <c r="H36" s="798">
        <v>9685176</v>
      </c>
      <c r="I36" s="798">
        <v>554056</v>
      </c>
      <c r="J36" s="798">
        <v>19398</v>
      </c>
      <c r="K36" s="800">
        <v>237031</v>
      </c>
      <c r="L36" s="835">
        <v>150056</v>
      </c>
      <c r="M36" s="835">
        <v>2577838</v>
      </c>
      <c r="N36" s="830">
        <v>0</v>
      </c>
      <c r="O36" s="830">
        <v>116361</v>
      </c>
      <c r="P36" s="830">
        <v>219125</v>
      </c>
      <c r="Q36" s="830">
        <v>0</v>
      </c>
      <c r="R36" s="830">
        <v>744299</v>
      </c>
      <c r="S36" s="830">
        <v>1018532</v>
      </c>
      <c r="T36" s="830">
        <v>2191400</v>
      </c>
      <c r="U36" s="830">
        <v>89418</v>
      </c>
      <c r="V36" s="830">
        <v>2857726</v>
      </c>
      <c r="W36" s="830">
        <v>0</v>
      </c>
      <c r="X36" s="830">
        <v>0</v>
      </c>
      <c r="Y36" s="830">
        <v>0</v>
      </c>
      <c r="Z36" s="830">
        <v>204344</v>
      </c>
      <c r="AA36" s="835">
        <v>405790</v>
      </c>
      <c r="AB36" s="835">
        <v>303627</v>
      </c>
      <c r="AC36" s="835">
        <v>0</v>
      </c>
      <c r="AD36" s="835">
        <v>6847</v>
      </c>
      <c r="AE36" s="835">
        <v>312661</v>
      </c>
      <c r="AF36" s="835">
        <v>560517</v>
      </c>
      <c r="AG36" s="835">
        <v>25726</v>
      </c>
      <c r="AH36" s="835">
        <v>0</v>
      </c>
      <c r="AI36" s="835">
        <v>0</v>
      </c>
      <c r="AJ36" s="835">
        <v>66403</v>
      </c>
      <c r="AK36" s="835">
        <v>1523824</v>
      </c>
      <c r="AL36" s="835">
        <v>55608</v>
      </c>
      <c r="AM36" s="835">
        <v>0</v>
      </c>
      <c r="AN36" s="835">
        <v>1608854</v>
      </c>
      <c r="AO36" s="835">
        <v>1352329</v>
      </c>
      <c r="AP36" s="835">
        <v>11336</v>
      </c>
      <c r="AQ36" s="835">
        <v>0</v>
      </c>
      <c r="AR36" s="835">
        <v>1231317</v>
      </c>
      <c r="AS36" s="835">
        <v>256881</v>
      </c>
      <c r="AT36" s="835">
        <v>114516</v>
      </c>
      <c r="AU36" s="835">
        <v>237050</v>
      </c>
      <c r="AV36" s="835">
        <v>1620810</v>
      </c>
      <c r="AW36" s="835">
        <v>60968</v>
      </c>
      <c r="AX36" s="835">
        <v>212619</v>
      </c>
      <c r="AY36" s="835">
        <v>281944</v>
      </c>
      <c r="AZ36" s="835">
        <v>343440</v>
      </c>
      <c r="BA36" s="835">
        <v>527573</v>
      </c>
      <c r="BB36" s="835">
        <v>0</v>
      </c>
      <c r="BC36" s="835">
        <v>130287</v>
      </c>
      <c r="BD36" s="835">
        <v>110233</v>
      </c>
      <c r="BE36" s="835">
        <v>0</v>
      </c>
      <c r="BF36" s="835">
        <v>1792740</v>
      </c>
      <c r="BG36" s="835">
        <v>107341</v>
      </c>
      <c r="BH36" s="835">
        <v>0</v>
      </c>
      <c r="BI36" s="835">
        <v>363705</v>
      </c>
      <c r="BJ36" s="835">
        <v>188192</v>
      </c>
      <c r="BK36" s="835">
        <v>199138</v>
      </c>
      <c r="BL36" s="835">
        <v>335728</v>
      </c>
      <c r="BM36" s="835">
        <v>299355</v>
      </c>
      <c r="BN36" s="835">
        <v>0</v>
      </c>
      <c r="BO36" s="835">
        <v>882831</v>
      </c>
      <c r="BP36" s="835">
        <v>281002</v>
      </c>
      <c r="BQ36" s="835">
        <v>278186</v>
      </c>
      <c r="BR36" s="835">
        <v>153067</v>
      </c>
      <c r="BS36" s="835">
        <v>0</v>
      </c>
      <c r="BT36" s="835">
        <v>0</v>
      </c>
      <c r="BU36" s="835">
        <v>202044</v>
      </c>
      <c r="BV36" s="835">
        <v>542219</v>
      </c>
      <c r="BW36" s="835">
        <v>141274</v>
      </c>
      <c r="BX36" s="835">
        <v>33834</v>
      </c>
      <c r="BY36" s="835">
        <v>0</v>
      </c>
      <c r="BZ36" s="835">
        <v>0</v>
      </c>
      <c r="CA36" s="835">
        <v>1268489</v>
      </c>
      <c r="CB36" s="835">
        <v>0</v>
      </c>
    </row>
    <row r="37" spans="1:80" x14ac:dyDescent="0.25">
      <c r="A37" s="795">
        <v>50</v>
      </c>
      <c r="B37" s="846">
        <v>50</v>
      </c>
      <c r="C37" s="832" t="s">
        <v>107</v>
      </c>
      <c r="D37" s="860" t="s">
        <v>408</v>
      </c>
      <c r="E37" s="829">
        <v>0</v>
      </c>
      <c r="F37" s="798">
        <v>0</v>
      </c>
      <c r="G37" s="798">
        <v>-18950</v>
      </c>
      <c r="H37" s="798">
        <v>1156709</v>
      </c>
      <c r="I37" s="798">
        <v>989756</v>
      </c>
      <c r="J37" s="798">
        <v>-20515</v>
      </c>
      <c r="K37" s="800">
        <v>201052</v>
      </c>
      <c r="L37" s="835">
        <v>159643</v>
      </c>
      <c r="M37" s="835">
        <v>3904856</v>
      </c>
      <c r="N37" s="830">
        <v>0</v>
      </c>
      <c r="O37" s="830">
        <v>75493</v>
      </c>
      <c r="P37" s="830">
        <v>76697</v>
      </c>
      <c r="Q37" s="830">
        <v>0</v>
      </c>
      <c r="R37" s="830">
        <v>1061196</v>
      </c>
      <c r="S37" s="830">
        <v>549757</v>
      </c>
      <c r="T37" s="830">
        <v>2918036</v>
      </c>
      <c r="U37" s="830">
        <v>-84954</v>
      </c>
      <c r="V37" s="830">
        <v>484676</v>
      </c>
      <c r="W37" s="830">
        <v>0</v>
      </c>
      <c r="X37" s="830">
        <v>0</v>
      </c>
      <c r="Y37" s="830">
        <v>1446</v>
      </c>
      <c r="Z37" s="830">
        <v>29317</v>
      </c>
      <c r="AA37" s="835">
        <v>-317838</v>
      </c>
      <c r="AB37" s="835">
        <v>173121</v>
      </c>
      <c r="AC37" s="835">
        <v>0</v>
      </c>
      <c r="AD37" s="835">
        <v>-4319</v>
      </c>
      <c r="AE37" s="835">
        <v>-2574</v>
      </c>
      <c r="AF37" s="835">
        <v>-230766</v>
      </c>
      <c r="AG37" s="835">
        <v>-10466</v>
      </c>
      <c r="AH37" s="835">
        <v>0</v>
      </c>
      <c r="AI37" s="835">
        <v>0</v>
      </c>
      <c r="AJ37" s="835">
        <v>18021</v>
      </c>
      <c r="AK37" s="835">
        <v>-289264</v>
      </c>
      <c r="AL37" s="835">
        <v>-28372</v>
      </c>
      <c r="AM37" s="835">
        <v>0</v>
      </c>
      <c r="AN37" s="835">
        <v>954899</v>
      </c>
      <c r="AO37" s="835">
        <v>13101800</v>
      </c>
      <c r="AP37" s="835">
        <v>9019</v>
      </c>
      <c r="AQ37" s="835">
        <v>0</v>
      </c>
      <c r="AR37" s="835">
        <v>63006</v>
      </c>
      <c r="AS37" s="835">
        <v>-72384</v>
      </c>
      <c r="AT37" s="835">
        <v>-43632</v>
      </c>
      <c r="AU37" s="835">
        <v>297976</v>
      </c>
      <c r="AV37" s="835">
        <v>1422584</v>
      </c>
      <c r="AW37" s="835">
        <v>70053</v>
      </c>
      <c r="AX37" s="835">
        <v>-283932</v>
      </c>
      <c r="AY37" s="835">
        <v>553069</v>
      </c>
      <c r="AZ37" s="835">
        <v>121923</v>
      </c>
      <c r="BA37" s="835">
        <v>-59079</v>
      </c>
      <c r="BB37" s="835">
        <v>0</v>
      </c>
      <c r="BC37" s="835">
        <v>305280</v>
      </c>
      <c r="BD37" s="835">
        <v>-88563</v>
      </c>
      <c r="BE37" s="835">
        <v>0</v>
      </c>
      <c r="BF37" s="835">
        <v>484504</v>
      </c>
      <c r="BG37" s="835">
        <v>-121887</v>
      </c>
      <c r="BH37" s="835">
        <v>0</v>
      </c>
      <c r="BI37" s="835">
        <v>-19732</v>
      </c>
      <c r="BJ37" s="835">
        <v>120938</v>
      </c>
      <c r="BK37" s="835">
        <v>1738631</v>
      </c>
      <c r="BL37" s="835">
        <v>585852</v>
      </c>
      <c r="BM37" s="835">
        <v>333392</v>
      </c>
      <c r="BN37" s="835">
        <v>0</v>
      </c>
      <c r="BO37" s="835">
        <v>-280761</v>
      </c>
      <c r="BP37" s="835">
        <v>118884</v>
      </c>
      <c r="BQ37" s="835">
        <v>1612654</v>
      </c>
      <c r="BR37" s="835">
        <v>342312</v>
      </c>
      <c r="BS37" s="835">
        <v>0</v>
      </c>
      <c r="BT37" s="835">
        <v>0</v>
      </c>
      <c r="BU37" s="835">
        <v>933367</v>
      </c>
      <c r="BV37" s="835">
        <v>-286233</v>
      </c>
      <c r="BW37" s="835">
        <v>-60500</v>
      </c>
      <c r="BX37" s="835">
        <v>165639</v>
      </c>
      <c r="BY37" s="835">
        <v>0</v>
      </c>
      <c r="BZ37" s="835">
        <v>0</v>
      </c>
      <c r="CA37" s="835">
        <v>3368927</v>
      </c>
      <c r="CB37" s="835">
        <v>0</v>
      </c>
    </row>
    <row r="38" spans="1:80" x14ac:dyDescent="0.25">
      <c r="A38" s="795">
        <v>51</v>
      </c>
      <c r="B38" s="846">
        <v>51</v>
      </c>
      <c r="C38" s="832" t="s">
        <v>313</v>
      </c>
      <c r="D38" s="860" t="s">
        <v>409</v>
      </c>
      <c r="E38" s="829">
        <v>0</v>
      </c>
      <c r="F38" s="798">
        <v>0</v>
      </c>
      <c r="G38" s="798">
        <v>62205</v>
      </c>
      <c r="H38" s="798">
        <v>11728578</v>
      </c>
      <c r="I38" s="798">
        <v>1398301</v>
      </c>
      <c r="J38" s="798">
        <v>-8006</v>
      </c>
      <c r="K38" s="800">
        <v>178101</v>
      </c>
      <c r="L38" s="835">
        <v>386225</v>
      </c>
      <c r="M38" s="835">
        <v>8711055</v>
      </c>
      <c r="N38" s="830">
        <v>0</v>
      </c>
      <c r="O38" s="830">
        <v>207268</v>
      </c>
      <c r="P38" s="830">
        <v>282406</v>
      </c>
      <c r="Q38" s="830">
        <v>0</v>
      </c>
      <c r="R38" s="830">
        <v>1158531</v>
      </c>
      <c r="S38" s="830">
        <v>1905309</v>
      </c>
      <c r="T38" s="830">
        <v>1104115</v>
      </c>
      <c r="U38" s="830">
        <v>-575</v>
      </c>
      <c r="V38" s="830">
        <v>6114896</v>
      </c>
      <c r="W38" s="830">
        <v>0</v>
      </c>
      <c r="X38" s="830">
        <v>0</v>
      </c>
      <c r="Y38" s="830">
        <v>0</v>
      </c>
      <c r="Z38" s="830">
        <v>424668</v>
      </c>
      <c r="AA38" s="835">
        <v>59548</v>
      </c>
      <c r="AB38" s="835">
        <v>501208</v>
      </c>
      <c r="AC38" s="835">
        <v>0</v>
      </c>
      <c r="AD38" s="835">
        <v>11691</v>
      </c>
      <c r="AE38" s="835">
        <v>290572</v>
      </c>
      <c r="AF38" s="835">
        <v>572957</v>
      </c>
      <c r="AG38" s="835">
        <v>2245</v>
      </c>
      <c r="AH38" s="835">
        <v>0</v>
      </c>
      <c r="AI38" s="835">
        <v>0</v>
      </c>
      <c r="AJ38" s="835">
        <v>76004</v>
      </c>
      <c r="AK38" s="835">
        <v>3671787</v>
      </c>
      <c r="AL38" s="835">
        <v>10986</v>
      </c>
      <c r="AM38" s="835">
        <v>0</v>
      </c>
      <c r="AN38" s="835">
        <v>2688909</v>
      </c>
      <c r="AO38" s="835">
        <v>3342767</v>
      </c>
      <c r="AP38" s="835">
        <v>-10231</v>
      </c>
      <c r="AQ38" s="835">
        <v>0</v>
      </c>
      <c r="AR38" s="835">
        <v>1743383</v>
      </c>
      <c r="AS38" s="835">
        <v>199701</v>
      </c>
      <c r="AT38" s="835">
        <v>17989</v>
      </c>
      <c r="AU38" s="835">
        <v>522996</v>
      </c>
      <c r="AV38" s="835">
        <v>3691720</v>
      </c>
      <c r="AW38" s="835">
        <v>138878</v>
      </c>
      <c r="AX38" s="835">
        <v>-55487</v>
      </c>
      <c r="AY38" s="835">
        <v>892624</v>
      </c>
      <c r="AZ38" s="835">
        <v>233059</v>
      </c>
      <c r="BA38" s="835">
        <v>441104</v>
      </c>
      <c r="BB38" s="835">
        <v>0</v>
      </c>
      <c r="BC38" s="835">
        <v>30404</v>
      </c>
      <c r="BD38" s="835">
        <v>120363</v>
      </c>
      <c r="BE38" s="835">
        <v>0</v>
      </c>
      <c r="BF38" s="835">
        <v>4080721</v>
      </c>
      <c r="BG38" s="835">
        <v>-41627</v>
      </c>
      <c r="BH38" s="835">
        <v>0</v>
      </c>
      <c r="BI38" s="835">
        <v>281674</v>
      </c>
      <c r="BJ38" s="835">
        <v>318250</v>
      </c>
      <c r="BK38" s="835">
        <v>115690</v>
      </c>
      <c r="BL38" s="835">
        <v>451275</v>
      </c>
      <c r="BM38" s="835">
        <v>633249</v>
      </c>
      <c r="BN38" s="835">
        <v>0</v>
      </c>
      <c r="BO38" s="835">
        <v>752466</v>
      </c>
      <c r="BP38" s="835">
        <v>354744</v>
      </c>
      <c r="BQ38" s="835">
        <v>63383</v>
      </c>
      <c r="BR38" s="835">
        <v>302886</v>
      </c>
      <c r="BS38" s="835">
        <v>0</v>
      </c>
      <c r="BT38" s="835">
        <v>0</v>
      </c>
      <c r="BU38" s="835">
        <v>131267</v>
      </c>
      <c r="BV38" s="835">
        <v>3929</v>
      </c>
      <c r="BW38" s="835">
        <v>85995</v>
      </c>
      <c r="BX38" s="835">
        <v>203928</v>
      </c>
      <c r="BY38" s="835">
        <v>0</v>
      </c>
      <c r="BZ38" s="835">
        <v>0</v>
      </c>
      <c r="CA38" s="835">
        <v>1655879</v>
      </c>
      <c r="CB38" s="835">
        <v>0</v>
      </c>
    </row>
    <row r="39" spans="1:80" x14ac:dyDescent="0.25">
      <c r="A39" s="787">
        <v>52</v>
      </c>
      <c r="B39" s="846">
        <v>52</v>
      </c>
      <c r="C39" s="832" t="s">
        <v>306</v>
      </c>
      <c r="D39" s="860" t="s">
        <v>410</v>
      </c>
      <c r="E39" s="829">
        <v>0</v>
      </c>
      <c r="F39" s="798">
        <v>0</v>
      </c>
      <c r="G39" s="798">
        <v>0</v>
      </c>
      <c r="H39" s="798">
        <v>0</v>
      </c>
      <c r="I39" s="798">
        <v>0</v>
      </c>
      <c r="J39" s="798">
        <v>0</v>
      </c>
      <c r="K39" s="800">
        <v>0</v>
      </c>
      <c r="L39" s="835">
        <v>0</v>
      </c>
      <c r="M39" s="835">
        <v>0</v>
      </c>
      <c r="N39" s="830">
        <v>0</v>
      </c>
      <c r="O39" s="830">
        <v>0</v>
      </c>
      <c r="P39" s="830">
        <v>0</v>
      </c>
      <c r="Q39" s="830">
        <v>0</v>
      </c>
      <c r="R39" s="830">
        <v>0</v>
      </c>
      <c r="S39" s="830">
        <v>0</v>
      </c>
      <c r="T39" s="830">
        <v>651287</v>
      </c>
      <c r="U39" s="830">
        <v>0</v>
      </c>
      <c r="V39" s="830">
        <v>1164653</v>
      </c>
      <c r="W39" s="830">
        <v>0</v>
      </c>
      <c r="X39" s="830">
        <v>0</v>
      </c>
      <c r="Y39" s="830">
        <v>0</v>
      </c>
      <c r="Z39" s="830">
        <v>0</v>
      </c>
      <c r="AA39" s="835">
        <v>116256</v>
      </c>
      <c r="AB39" s="835">
        <v>92026</v>
      </c>
      <c r="AC39" s="835">
        <v>0</v>
      </c>
      <c r="AD39" s="835">
        <v>0</v>
      </c>
      <c r="AE39" s="835">
        <v>0</v>
      </c>
      <c r="AF39" s="835">
        <v>172837</v>
      </c>
      <c r="AG39" s="835">
        <v>0</v>
      </c>
      <c r="AH39" s="835">
        <v>0</v>
      </c>
      <c r="AI39" s="835">
        <v>0</v>
      </c>
      <c r="AJ39" s="835">
        <v>0</v>
      </c>
      <c r="AK39" s="835">
        <v>400805</v>
      </c>
      <c r="AL39" s="835">
        <v>0</v>
      </c>
      <c r="AM39" s="835">
        <v>0</v>
      </c>
      <c r="AN39" s="835">
        <v>0</v>
      </c>
      <c r="AO39" s="835">
        <v>0</v>
      </c>
      <c r="AP39" s="835">
        <v>0</v>
      </c>
      <c r="AQ39" s="835">
        <v>0</v>
      </c>
      <c r="AR39" s="835">
        <v>1033041</v>
      </c>
      <c r="AS39" s="835">
        <v>0</v>
      </c>
      <c r="AT39" s="835">
        <v>0</v>
      </c>
      <c r="AU39" s="835">
        <v>0</v>
      </c>
      <c r="AV39" s="835">
        <v>145580</v>
      </c>
      <c r="AW39" s="835">
        <v>0</v>
      </c>
      <c r="AX39" s="835">
        <v>0</v>
      </c>
      <c r="AY39" s="835">
        <v>0</v>
      </c>
      <c r="AZ39" s="835">
        <v>0</v>
      </c>
      <c r="BA39" s="835">
        <v>250868</v>
      </c>
      <c r="BB39" s="835">
        <v>0</v>
      </c>
      <c r="BC39" s="835">
        <v>0</v>
      </c>
      <c r="BD39" s="835">
        <v>42732</v>
      </c>
      <c r="BE39" s="835">
        <v>0</v>
      </c>
      <c r="BF39" s="835">
        <v>761641</v>
      </c>
      <c r="BG39" s="835">
        <v>1622</v>
      </c>
      <c r="BH39" s="835">
        <v>0</v>
      </c>
      <c r="BI39" s="835">
        <v>0</v>
      </c>
      <c r="BJ39" s="835">
        <v>0</v>
      </c>
      <c r="BK39" s="835">
        <v>0</v>
      </c>
      <c r="BL39" s="835">
        <v>187438</v>
      </c>
      <c r="BM39" s="835">
        <v>0</v>
      </c>
      <c r="BN39" s="835">
        <v>0</v>
      </c>
      <c r="BO39" s="835">
        <v>0</v>
      </c>
      <c r="BP39" s="835">
        <v>0</v>
      </c>
      <c r="BQ39" s="835">
        <v>0</v>
      </c>
      <c r="BR39" s="835">
        <v>0</v>
      </c>
      <c r="BS39" s="835">
        <v>0</v>
      </c>
      <c r="BT39" s="835">
        <v>0</v>
      </c>
      <c r="BU39" s="835">
        <v>0</v>
      </c>
      <c r="BV39" s="835">
        <v>0</v>
      </c>
      <c r="BW39" s="835">
        <v>0</v>
      </c>
      <c r="BX39" s="835">
        <v>0</v>
      </c>
      <c r="BY39" s="835">
        <v>0</v>
      </c>
      <c r="BZ39" s="835">
        <v>0</v>
      </c>
      <c r="CA39" s="835">
        <v>0</v>
      </c>
      <c r="CB39" s="835">
        <v>0</v>
      </c>
    </row>
    <row r="40" spans="1:80" x14ac:dyDescent="0.25">
      <c r="A40" s="787">
        <v>53</v>
      </c>
      <c r="B40" s="846">
        <v>53</v>
      </c>
      <c r="C40" s="832" t="s">
        <v>108</v>
      </c>
      <c r="D40" s="860" t="s">
        <v>411</v>
      </c>
      <c r="E40" s="829">
        <v>0</v>
      </c>
      <c r="F40" s="798">
        <v>0</v>
      </c>
      <c r="G40" s="798">
        <v>0</v>
      </c>
      <c r="H40" s="798">
        <v>0</v>
      </c>
      <c r="I40" s="798">
        <v>0</v>
      </c>
      <c r="J40" s="798">
        <v>0</v>
      </c>
      <c r="K40" s="800">
        <v>0</v>
      </c>
      <c r="L40" s="835">
        <v>0</v>
      </c>
      <c r="M40" s="835">
        <v>0</v>
      </c>
      <c r="N40" s="830">
        <v>0</v>
      </c>
      <c r="O40" s="830">
        <v>0</v>
      </c>
      <c r="P40" s="830">
        <v>0</v>
      </c>
      <c r="Q40" s="830">
        <v>0</v>
      </c>
      <c r="R40" s="830">
        <v>0</v>
      </c>
      <c r="S40" s="830">
        <v>0</v>
      </c>
      <c r="T40" s="830">
        <v>-641282</v>
      </c>
      <c r="U40" s="830">
        <v>0</v>
      </c>
      <c r="V40" s="830">
        <v>7184396</v>
      </c>
      <c r="W40" s="830">
        <v>0</v>
      </c>
      <c r="X40" s="830">
        <v>0</v>
      </c>
      <c r="Y40" s="830">
        <v>0</v>
      </c>
      <c r="Z40" s="830">
        <v>0</v>
      </c>
      <c r="AA40" s="835">
        <v>149543</v>
      </c>
      <c r="AB40" s="835">
        <v>-114251</v>
      </c>
      <c r="AC40" s="835">
        <v>0</v>
      </c>
      <c r="AD40" s="835">
        <v>0</v>
      </c>
      <c r="AE40" s="835">
        <v>0</v>
      </c>
      <c r="AF40" s="835">
        <v>-316655</v>
      </c>
      <c r="AG40" s="835">
        <v>0</v>
      </c>
      <c r="AH40" s="835">
        <v>0</v>
      </c>
      <c r="AI40" s="835">
        <v>0</v>
      </c>
      <c r="AJ40" s="835">
        <v>0</v>
      </c>
      <c r="AK40" s="835">
        <v>-219853</v>
      </c>
      <c r="AL40" s="835">
        <v>0</v>
      </c>
      <c r="AM40" s="835">
        <v>0</v>
      </c>
      <c r="AN40" s="835">
        <v>0</v>
      </c>
      <c r="AO40" s="835">
        <v>0</v>
      </c>
      <c r="AP40" s="835">
        <v>0</v>
      </c>
      <c r="AQ40" s="835">
        <v>0</v>
      </c>
      <c r="AR40" s="835">
        <v>4098842</v>
      </c>
      <c r="AS40" s="835">
        <v>0</v>
      </c>
      <c r="AT40" s="835">
        <v>0</v>
      </c>
      <c r="AU40" s="835">
        <v>0</v>
      </c>
      <c r="AV40" s="835">
        <v>346065</v>
      </c>
      <c r="AW40" s="835">
        <v>0</v>
      </c>
      <c r="AX40" s="835">
        <v>0</v>
      </c>
      <c r="AY40" s="835">
        <v>0</v>
      </c>
      <c r="AZ40" s="835">
        <v>0</v>
      </c>
      <c r="BA40" s="835">
        <v>253734</v>
      </c>
      <c r="BB40" s="835">
        <v>0</v>
      </c>
      <c r="BC40" s="835">
        <v>0</v>
      </c>
      <c r="BD40" s="835">
        <v>347040</v>
      </c>
      <c r="BE40" s="835">
        <v>0</v>
      </c>
      <c r="BF40" s="835">
        <v>940100</v>
      </c>
      <c r="BG40" s="835">
        <v>28820</v>
      </c>
      <c r="BH40" s="835">
        <v>0</v>
      </c>
      <c r="BI40" s="835">
        <v>0</v>
      </c>
      <c r="BJ40" s="835">
        <v>0</v>
      </c>
      <c r="BK40" s="835">
        <v>0</v>
      </c>
      <c r="BL40" s="835">
        <v>3024</v>
      </c>
      <c r="BM40" s="835">
        <v>0</v>
      </c>
      <c r="BN40" s="835">
        <v>0</v>
      </c>
      <c r="BO40" s="835">
        <v>0</v>
      </c>
      <c r="BP40" s="835">
        <v>0</v>
      </c>
      <c r="BQ40" s="835">
        <v>0</v>
      </c>
      <c r="BR40" s="835">
        <v>0</v>
      </c>
      <c r="BS40" s="835">
        <v>0</v>
      </c>
      <c r="BT40" s="835">
        <v>0</v>
      </c>
      <c r="BU40" s="835">
        <v>0</v>
      </c>
      <c r="BV40" s="835">
        <v>0</v>
      </c>
      <c r="BW40" s="835">
        <v>0</v>
      </c>
      <c r="BX40" s="835">
        <v>0</v>
      </c>
      <c r="BY40" s="835">
        <v>0</v>
      </c>
      <c r="BZ40" s="835">
        <v>0</v>
      </c>
      <c r="CA40" s="835">
        <v>0</v>
      </c>
      <c r="CB40" s="835">
        <v>0</v>
      </c>
    </row>
    <row r="41" spans="1:80" x14ac:dyDescent="0.25">
      <c r="A41" s="860"/>
      <c r="B41" s="846">
        <v>54</v>
      </c>
      <c r="C41" s="832" t="s">
        <v>730</v>
      </c>
      <c r="D41" s="860" t="s">
        <v>412</v>
      </c>
      <c r="E41" s="829"/>
      <c r="F41" s="798"/>
      <c r="G41" s="798"/>
      <c r="H41" s="798"/>
      <c r="I41" s="798"/>
      <c r="J41" s="798"/>
      <c r="K41" s="800"/>
      <c r="L41" s="835"/>
      <c r="M41" s="835"/>
      <c r="N41" s="830"/>
      <c r="O41" s="830"/>
      <c r="P41" s="830"/>
      <c r="Q41" s="830"/>
      <c r="R41" s="830"/>
      <c r="S41" s="830"/>
      <c r="T41" s="830"/>
      <c r="U41" s="830"/>
      <c r="V41" s="830"/>
      <c r="W41" s="830"/>
      <c r="X41" s="830"/>
      <c r="Y41" s="830"/>
      <c r="Z41" s="830"/>
      <c r="AA41" s="835"/>
      <c r="AB41" s="835"/>
      <c r="AC41" s="835"/>
      <c r="AD41" s="835"/>
      <c r="AE41" s="835"/>
      <c r="AF41" s="835"/>
      <c r="AG41" s="835"/>
      <c r="AH41" s="835"/>
      <c r="AI41" s="835"/>
      <c r="AJ41" s="835"/>
      <c r="AK41" s="835"/>
      <c r="AL41" s="835"/>
      <c r="AM41" s="835"/>
      <c r="AN41" s="835"/>
      <c r="AO41" s="835"/>
      <c r="AP41" s="835"/>
      <c r="AQ41" s="835"/>
      <c r="AR41" s="835"/>
      <c r="AS41" s="835"/>
      <c r="AT41" s="835"/>
      <c r="AU41" s="835"/>
      <c r="AV41" s="835"/>
      <c r="AW41" s="835"/>
      <c r="AX41" s="835"/>
      <c r="AY41" s="835"/>
      <c r="AZ41" s="835"/>
      <c r="BA41" s="835"/>
      <c r="BB41" s="835"/>
      <c r="BC41" s="835"/>
      <c r="BD41" s="835"/>
      <c r="BE41" s="835"/>
      <c r="BF41" s="835"/>
      <c r="BG41" s="835"/>
      <c r="BH41" s="835"/>
      <c r="BI41" s="835"/>
      <c r="BJ41" s="835"/>
      <c r="BK41" s="835"/>
      <c r="BL41" s="835"/>
      <c r="BM41" s="835"/>
      <c r="BN41" s="835"/>
      <c r="BO41" s="835"/>
      <c r="BP41" s="835"/>
      <c r="BQ41" s="835"/>
      <c r="BR41" s="835"/>
      <c r="BS41" s="835"/>
      <c r="BT41" s="835"/>
      <c r="BU41" s="835"/>
      <c r="BV41" s="835"/>
      <c r="BW41" s="835"/>
      <c r="BX41" s="835"/>
      <c r="BY41" s="835"/>
      <c r="BZ41" s="835"/>
      <c r="CA41" s="835"/>
      <c r="CB41" s="835"/>
    </row>
    <row r="42" spans="1:80" x14ac:dyDescent="0.25">
      <c r="A42" s="787">
        <v>55</v>
      </c>
      <c r="B42" s="846">
        <v>55</v>
      </c>
      <c r="C42" s="832" t="s">
        <v>316</v>
      </c>
      <c r="D42" s="860" t="s">
        <v>413</v>
      </c>
      <c r="E42" s="829">
        <v>0</v>
      </c>
      <c r="F42" s="798">
        <v>0</v>
      </c>
      <c r="G42" s="798">
        <v>0</v>
      </c>
      <c r="H42" s="798">
        <v>0</v>
      </c>
      <c r="I42" s="798">
        <v>0</v>
      </c>
      <c r="J42" s="798">
        <v>0</v>
      </c>
      <c r="K42" s="800">
        <v>0</v>
      </c>
      <c r="L42" s="835">
        <v>0</v>
      </c>
      <c r="M42" s="835">
        <v>0</v>
      </c>
      <c r="N42" s="830">
        <v>0</v>
      </c>
      <c r="O42" s="830">
        <v>0</v>
      </c>
      <c r="P42" s="830">
        <v>0</v>
      </c>
      <c r="Q42" s="830">
        <v>0</v>
      </c>
      <c r="R42" s="830">
        <v>0</v>
      </c>
      <c r="S42" s="830">
        <v>0</v>
      </c>
      <c r="T42" s="830">
        <v>2172875</v>
      </c>
      <c r="U42" s="830">
        <v>0</v>
      </c>
      <c r="V42" s="830">
        <v>9774372</v>
      </c>
      <c r="W42" s="830">
        <v>0</v>
      </c>
      <c r="X42" s="830">
        <v>0</v>
      </c>
      <c r="Y42" s="830">
        <v>0</v>
      </c>
      <c r="Z42" s="830">
        <v>0</v>
      </c>
      <c r="AA42" s="835">
        <v>237497</v>
      </c>
      <c r="AB42" s="835">
        <v>-14410</v>
      </c>
      <c r="AC42" s="835">
        <v>0</v>
      </c>
      <c r="AD42" s="835">
        <v>0</v>
      </c>
      <c r="AE42" s="835">
        <v>0</v>
      </c>
      <c r="AF42" s="835">
        <v>-75254</v>
      </c>
      <c r="AG42" s="835">
        <v>0</v>
      </c>
      <c r="AH42" s="835">
        <v>0</v>
      </c>
      <c r="AI42" s="835">
        <v>0</v>
      </c>
      <c r="AJ42" s="835">
        <v>0</v>
      </c>
      <c r="AK42" s="835">
        <v>2246479</v>
      </c>
      <c r="AL42" s="835">
        <v>0</v>
      </c>
      <c r="AM42" s="835">
        <v>0</v>
      </c>
      <c r="AN42" s="835">
        <v>0</v>
      </c>
      <c r="AO42" s="835">
        <v>0</v>
      </c>
      <c r="AP42" s="835">
        <v>0</v>
      </c>
      <c r="AQ42" s="835">
        <v>0</v>
      </c>
      <c r="AR42" s="835">
        <v>5393951</v>
      </c>
      <c r="AS42" s="835">
        <v>0</v>
      </c>
      <c r="AT42" s="835">
        <v>0</v>
      </c>
      <c r="AU42" s="835">
        <v>0</v>
      </c>
      <c r="AV42" s="835">
        <v>348345</v>
      </c>
      <c r="AW42" s="835">
        <v>0</v>
      </c>
      <c r="AX42" s="835">
        <v>0</v>
      </c>
      <c r="AY42" s="835">
        <v>0</v>
      </c>
      <c r="AZ42" s="835">
        <v>0</v>
      </c>
      <c r="BA42" s="835">
        <v>916878</v>
      </c>
      <c r="BB42" s="835">
        <v>0</v>
      </c>
      <c r="BC42" s="835">
        <v>0</v>
      </c>
      <c r="BD42" s="835">
        <v>371565</v>
      </c>
      <c r="BE42" s="835">
        <v>0</v>
      </c>
      <c r="BF42" s="835">
        <v>4578800</v>
      </c>
      <c r="BG42" s="835">
        <v>26737</v>
      </c>
      <c r="BH42" s="835">
        <v>0</v>
      </c>
      <c r="BI42" s="835">
        <v>0</v>
      </c>
      <c r="BJ42" s="835">
        <v>0</v>
      </c>
      <c r="BK42" s="835">
        <v>0</v>
      </c>
      <c r="BL42" s="835">
        <v>226289</v>
      </c>
      <c r="BM42" s="835">
        <v>0</v>
      </c>
      <c r="BN42" s="835">
        <v>0</v>
      </c>
      <c r="BO42" s="835">
        <v>0</v>
      </c>
      <c r="BP42" s="835">
        <v>0</v>
      </c>
      <c r="BQ42" s="835">
        <v>0</v>
      </c>
      <c r="BR42" s="835">
        <v>0</v>
      </c>
      <c r="BS42" s="835">
        <v>0</v>
      </c>
      <c r="BT42" s="835">
        <v>0</v>
      </c>
      <c r="BU42" s="835">
        <v>0</v>
      </c>
      <c r="BV42" s="835">
        <v>0</v>
      </c>
      <c r="BW42" s="835">
        <v>0</v>
      </c>
      <c r="BX42" s="835">
        <v>0</v>
      </c>
      <c r="BY42" s="835">
        <v>0</v>
      </c>
      <c r="BZ42" s="835">
        <v>0</v>
      </c>
      <c r="CA42" s="835">
        <v>0</v>
      </c>
      <c r="CB42" s="835">
        <v>0</v>
      </c>
    </row>
    <row r="43" spans="1:80" x14ac:dyDescent="0.25">
      <c r="A43" s="787">
        <v>61</v>
      </c>
      <c r="B43" s="846">
        <v>61</v>
      </c>
      <c r="C43" s="832" t="s">
        <v>335</v>
      </c>
      <c r="D43" s="860" t="s">
        <v>414</v>
      </c>
      <c r="E43" s="797">
        <v>99</v>
      </c>
      <c r="F43" s="796">
        <v>99.84</v>
      </c>
      <c r="G43" s="796">
        <v>94.45</v>
      </c>
      <c r="H43" s="796">
        <v>98.95</v>
      </c>
      <c r="I43" s="796">
        <v>99.64</v>
      </c>
      <c r="J43" s="796">
        <v>89.63</v>
      </c>
      <c r="K43" s="785">
        <v>94.78</v>
      </c>
      <c r="L43" s="784">
        <v>97.22</v>
      </c>
      <c r="M43" s="784">
        <v>98.6</v>
      </c>
      <c r="N43" s="783">
        <v>93.59</v>
      </c>
      <c r="O43" s="783">
        <v>98.69</v>
      </c>
      <c r="P43" s="783">
        <v>99.56</v>
      </c>
      <c r="Q43" s="783">
        <v>99.28</v>
      </c>
      <c r="R43" s="783">
        <v>99.56</v>
      </c>
      <c r="S43" s="783">
        <v>98.46</v>
      </c>
      <c r="T43" s="783">
        <v>99.22</v>
      </c>
      <c r="U43" s="783">
        <v>88.97</v>
      </c>
      <c r="V43" s="783">
        <v>97.28</v>
      </c>
      <c r="W43" s="783">
        <v>97.03</v>
      </c>
      <c r="X43" s="783">
        <v>99.38</v>
      </c>
      <c r="Y43" s="783">
        <v>99.85</v>
      </c>
      <c r="Z43" s="783">
        <v>99.85</v>
      </c>
      <c r="AA43" s="784">
        <v>95.05</v>
      </c>
      <c r="AB43" s="784">
        <v>98.55</v>
      </c>
      <c r="AC43" s="784">
        <v>99.51</v>
      </c>
      <c r="AD43" s="784">
        <v>99.68</v>
      </c>
      <c r="AE43" s="784">
        <v>99.22</v>
      </c>
      <c r="AF43" s="784">
        <v>97.09</v>
      </c>
      <c r="AG43" s="784">
        <v>90.89</v>
      </c>
      <c r="AH43" s="784">
        <v>96.09</v>
      </c>
      <c r="AI43" s="784">
        <v>97.91</v>
      </c>
      <c r="AJ43" s="784">
        <v>99.44</v>
      </c>
      <c r="AK43" s="784">
        <v>94.23</v>
      </c>
      <c r="AL43" s="784">
        <v>96.03</v>
      </c>
      <c r="AM43" s="784">
        <v>95.13</v>
      </c>
      <c r="AN43" s="784">
        <v>99.34</v>
      </c>
      <c r="AO43" s="784">
        <v>96.57</v>
      </c>
      <c r="AP43" s="784">
        <v>94.35</v>
      </c>
      <c r="AQ43" s="784">
        <v>99.62</v>
      </c>
      <c r="AR43" s="784">
        <v>97.05</v>
      </c>
      <c r="AS43" s="784">
        <v>98.69</v>
      </c>
      <c r="AT43" s="784">
        <v>96.05</v>
      </c>
      <c r="AU43" s="784">
        <v>99.8</v>
      </c>
      <c r="AV43" s="784">
        <v>98.12</v>
      </c>
      <c r="AW43" s="784">
        <v>98.43</v>
      </c>
      <c r="AX43" s="784">
        <v>97.45</v>
      </c>
      <c r="AY43" s="784">
        <v>98.12</v>
      </c>
      <c r="AZ43" s="784">
        <v>96.9</v>
      </c>
      <c r="BA43" s="784">
        <v>98.89</v>
      </c>
      <c r="BB43" s="784">
        <v>85.71</v>
      </c>
      <c r="BC43" s="784">
        <v>99.07</v>
      </c>
      <c r="BD43" s="784">
        <v>95.81</v>
      </c>
      <c r="BE43" s="784">
        <v>96.18</v>
      </c>
      <c r="BF43" s="784">
        <v>94.66</v>
      </c>
      <c r="BG43" s="784">
        <v>91.42</v>
      </c>
      <c r="BH43" s="784">
        <v>98.2</v>
      </c>
      <c r="BI43" s="784">
        <v>98.56</v>
      </c>
      <c r="BJ43" s="784">
        <v>98.29</v>
      </c>
      <c r="BK43" s="784">
        <v>88.28</v>
      </c>
      <c r="BL43" s="784">
        <v>99.63</v>
      </c>
      <c r="BM43" s="784">
        <v>99.47</v>
      </c>
      <c r="BN43" s="784">
        <v>0</v>
      </c>
      <c r="BO43" s="784">
        <v>98.94</v>
      </c>
      <c r="BP43" s="784">
        <v>96.34</v>
      </c>
      <c r="BQ43" s="784">
        <v>96.47</v>
      </c>
      <c r="BR43" s="784">
        <v>98.05</v>
      </c>
      <c r="BS43" s="784">
        <v>99.84</v>
      </c>
      <c r="BT43" s="784">
        <v>99.64</v>
      </c>
      <c r="BU43" s="784">
        <v>85.11</v>
      </c>
      <c r="BV43" s="784">
        <v>99.23</v>
      </c>
      <c r="BW43" s="784">
        <v>95.79</v>
      </c>
      <c r="BX43" s="784">
        <v>99.75</v>
      </c>
      <c r="BY43" s="784">
        <v>95.97</v>
      </c>
      <c r="BZ43" s="784">
        <v>98.11</v>
      </c>
      <c r="CA43" s="784">
        <v>99.7</v>
      </c>
      <c r="CB43" s="784">
        <v>86.29</v>
      </c>
    </row>
    <row r="44" spans="1:80" x14ac:dyDescent="0.25">
      <c r="A44" s="795">
        <v>80</v>
      </c>
      <c r="B44" s="846">
        <v>80</v>
      </c>
      <c r="C44" s="832" t="s">
        <v>285</v>
      </c>
      <c r="D44" s="860" t="s">
        <v>415</v>
      </c>
      <c r="E44" s="829">
        <v>0</v>
      </c>
      <c r="F44" s="798">
        <v>0</v>
      </c>
      <c r="G44" s="798">
        <v>216587</v>
      </c>
      <c r="H44" s="798">
        <v>28552562</v>
      </c>
      <c r="I44" s="798">
        <v>6357360</v>
      </c>
      <c r="J44" s="798">
        <v>200762</v>
      </c>
      <c r="K44" s="800">
        <v>4859622</v>
      </c>
      <c r="L44" s="835">
        <v>636048</v>
      </c>
      <c r="M44" s="835">
        <v>7976738</v>
      </c>
      <c r="N44" s="830">
        <v>0</v>
      </c>
      <c r="O44" s="830">
        <v>1609287</v>
      </c>
      <c r="P44" s="830">
        <v>754074</v>
      </c>
      <c r="Q44" s="830">
        <v>0</v>
      </c>
      <c r="R44" s="830">
        <v>7064117</v>
      </c>
      <c r="S44" s="830">
        <v>6590169</v>
      </c>
      <c r="T44" s="830">
        <v>6244675</v>
      </c>
      <c r="U44" s="830">
        <v>2662</v>
      </c>
      <c r="V44" s="830">
        <v>7434041</v>
      </c>
      <c r="W44" s="830">
        <v>0</v>
      </c>
      <c r="X44" s="830">
        <v>0</v>
      </c>
      <c r="Y44" s="830">
        <v>603414</v>
      </c>
      <c r="Z44" s="830">
        <v>2091314</v>
      </c>
      <c r="AA44" s="835">
        <v>675940</v>
      </c>
      <c r="AB44" s="835">
        <v>0</v>
      </c>
      <c r="AC44" s="835">
        <v>0</v>
      </c>
      <c r="AD44" s="835">
        <v>48850</v>
      </c>
      <c r="AE44" s="835">
        <v>1377677</v>
      </c>
      <c r="AF44" s="835">
        <v>165592</v>
      </c>
      <c r="AG44" s="835">
        <v>52524</v>
      </c>
      <c r="AH44" s="835">
        <v>0</v>
      </c>
      <c r="AI44" s="835">
        <v>0</v>
      </c>
      <c r="AJ44" s="835">
        <v>701305</v>
      </c>
      <c r="AK44" s="835">
        <v>5873846</v>
      </c>
      <c r="AL44" s="835">
        <v>354133</v>
      </c>
      <c r="AM44" s="835">
        <v>0</v>
      </c>
      <c r="AN44" s="835">
        <v>12905229</v>
      </c>
      <c r="AO44" s="835">
        <v>6225709</v>
      </c>
      <c r="AP44" s="835">
        <v>50486</v>
      </c>
      <c r="AQ44" s="835">
        <v>0</v>
      </c>
      <c r="AR44" s="835">
        <v>3577013</v>
      </c>
      <c r="AS44" s="835">
        <v>1123564</v>
      </c>
      <c r="AT44" s="835">
        <v>212411</v>
      </c>
      <c r="AU44" s="835">
        <v>1402573</v>
      </c>
      <c r="AV44" s="835">
        <v>8462789</v>
      </c>
      <c r="AW44" s="835">
        <v>918168</v>
      </c>
      <c r="AX44" s="835">
        <v>215874</v>
      </c>
      <c r="AY44" s="835">
        <v>0</v>
      </c>
      <c r="AZ44" s="835">
        <v>197155</v>
      </c>
      <c r="BA44" s="835">
        <v>1264992</v>
      </c>
      <c r="BB44" s="835">
        <v>0</v>
      </c>
      <c r="BC44" s="835">
        <v>394678</v>
      </c>
      <c r="BD44" s="835">
        <v>538900</v>
      </c>
      <c r="BE44" s="835">
        <v>0</v>
      </c>
      <c r="BF44" s="835">
        <v>886172</v>
      </c>
      <c r="BG44" s="835">
        <v>0</v>
      </c>
      <c r="BH44" s="835">
        <v>0</v>
      </c>
      <c r="BI44" s="835">
        <v>957884</v>
      </c>
      <c r="BJ44" s="835">
        <v>1670367</v>
      </c>
      <c r="BK44" s="835">
        <v>0</v>
      </c>
      <c r="BL44" s="835">
        <v>4779395</v>
      </c>
      <c r="BM44" s="835">
        <v>1954659</v>
      </c>
      <c r="BN44" s="835">
        <v>0</v>
      </c>
      <c r="BO44" s="835">
        <v>1645707</v>
      </c>
      <c r="BP44" s="835">
        <v>3135936</v>
      </c>
      <c r="BQ44" s="835">
        <v>764963</v>
      </c>
      <c r="BR44" s="835">
        <v>3107869</v>
      </c>
      <c r="BS44" s="835">
        <v>0</v>
      </c>
      <c r="BT44" s="835">
        <v>0</v>
      </c>
      <c r="BU44" s="835">
        <v>883782</v>
      </c>
      <c r="BV44" s="835">
        <v>1418846</v>
      </c>
      <c r="BW44" s="835">
        <v>11536</v>
      </c>
      <c r="BX44" s="835">
        <v>755639</v>
      </c>
      <c r="BY44" s="835">
        <v>0</v>
      </c>
      <c r="BZ44" s="835">
        <v>0</v>
      </c>
      <c r="CA44" s="835">
        <v>9227258</v>
      </c>
      <c r="CB44" s="835">
        <v>0</v>
      </c>
    </row>
    <row r="45" spans="1:80" x14ac:dyDescent="0.25">
      <c r="A45" s="795">
        <v>81</v>
      </c>
      <c r="B45" s="846">
        <v>81</v>
      </c>
      <c r="C45" s="832" t="s">
        <v>286</v>
      </c>
      <c r="D45" s="860" t="s">
        <v>416</v>
      </c>
      <c r="E45" s="829">
        <v>0</v>
      </c>
      <c r="F45" s="798">
        <v>0</v>
      </c>
      <c r="G45" s="798">
        <v>38587</v>
      </c>
      <c r="H45" s="798">
        <v>2775890</v>
      </c>
      <c r="I45" s="798">
        <v>251573</v>
      </c>
      <c r="J45" s="798">
        <v>19998</v>
      </c>
      <c r="K45" s="800">
        <v>82610</v>
      </c>
      <c r="L45" s="835">
        <v>182818</v>
      </c>
      <c r="M45" s="835">
        <v>3318927</v>
      </c>
      <c r="N45" s="830">
        <v>0</v>
      </c>
      <c r="O45" s="830">
        <v>105755</v>
      </c>
      <c r="P45" s="830">
        <v>101011</v>
      </c>
      <c r="Q45" s="830">
        <v>0</v>
      </c>
      <c r="R45" s="830">
        <v>870691</v>
      </c>
      <c r="S45" s="830">
        <v>1074227</v>
      </c>
      <c r="T45" s="830">
        <v>838882</v>
      </c>
      <c r="U45" s="830">
        <v>20122</v>
      </c>
      <c r="V45" s="830">
        <v>1931560</v>
      </c>
      <c r="W45" s="830">
        <v>0</v>
      </c>
      <c r="X45" s="830">
        <v>0</v>
      </c>
      <c r="Y45" s="830">
        <v>0</v>
      </c>
      <c r="Z45" s="830">
        <v>309482</v>
      </c>
      <c r="AA45" s="835">
        <v>61014</v>
      </c>
      <c r="AB45" s="835">
        <v>213007</v>
      </c>
      <c r="AC45" s="835">
        <v>0</v>
      </c>
      <c r="AD45" s="835">
        <v>15023</v>
      </c>
      <c r="AE45" s="835">
        <v>111294</v>
      </c>
      <c r="AF45" s="835">
        <v>236015</v>
      </c>
      <c r="AG45" s="835">
        <v>2412</v>
      </c>
      <c r="AH45" s="835">
        <v>0</v>
      </c>
      <c r="AI45" s="835">
        <v>0</v>
      </c>
      <c r="AJ45" s="835">
        <v>71654</v>
      </c>
      <c r="AK45" s="835">
        <v>494128</v>
      </c>
      <c r="AL45" s="835">
        <v>15016</v>
      </c>
      <c r="AM45" s="835">
        <v>0</v>
      </c>
      <c r="AN45" s="835">
        <v>565453</v>
      </c>
      <c r="AO45" s="835">
        <v>478591</v>
      </c>
      <c r="AP45" s="835">
        <v>16794</v>
      </c>
      <c r="AQ45" s="835">
        <v>0</v>
      </c>
      <c r="AR45" s="835">
        <v>1214255</v>
      </c>
      <c r="AS45" s="835">
        <v>217515</v>
      </c>
      <c r="AT45" s="835">
        <v>30109</v>
      </c>
      <c r="AU45" s="835">
        <v>196710</v>
      </c>
      <c r="AV45" s="835">
        <v>550687</v>
      </c>
      <c r="AW45" s="835">
        <v>30644</v>
      </c>
      <c r="AX45" s="835">
        <v>45572</v>
      </c>
      <c r="AY45" s="835">
        <v>119716</v>
      </c>
      <c r="AZ45" s="835">
        <v>160064</v>
      </c>
      <c r="BA45" s="835">
        <v>282428</v>
      </c>
      <c r="BB45" s="835">
        <v>0</v>
      </c>
      <c r="BC45" s="835">
        <v>162841</v>
      </c>
      <c r="BD45" s="835">
        <v>114109</v>
      </c>
      <c r="BE45" s="835">
        <v>0</v>
      </c>
      <c r="BF45" s="835">
        <v>1401877</v>
      </c>
      <c r="BG45" s="835">
        <v>30238</v>
      </c>
      <c r="BH45" s="835">
        <v>0</v>
      </c>
      <c r="BI45" s="835">
        <v>133522</v>
      </c>
      <c r="BJ45" s="835">
        <v>144527</v>
      </c>
      <c r="BK45" s="835">
        <v>39495</v>
      </c>
      <c r="BL45" s="835">
        <v>218406</v>
      </c>
      <c r="BM45" s="835">
        <v>371976</v>
      </c>
      <c r="BN45" s="835">
        <v>0</v>
      </c>
      <c r="BO45" s="835">
        <v>526769</v>
      </c>
      <c r="BP45" s="835">
        <v>208001</v>
      </c>
      <c r="BQ45" s="835">
        <v>904780</v>
      </c>
      <c r="BR45" s="835">
        <v>118215</v>
      </c>
      <c r="BS45" s="835">
        <v>0</v>
      </c>
      <c r="BT45" s="835">
        <v>0</v>
      </c>
      <c r="BU45" s="835">
        <v>155630</v>
      </c>
      <c r="BV45" s="835">
        <v>241331</v>
      </c>
      <c r="BW45" s="835">
        <v>76860</v>
      </c>
      <c r="BX45" s="835">
        <v>91259</v>
      </c>
      <c r="BY45" s="835">
        <v>0</v>
      </c>
      <c r="BZ45" s="835">
        <v>0</v>
      </c>
      <c r="CA45" s="835">
        <v>761837</v>
      </c>
      <c r="CB45" s="835">
        <v>0</v>
      </c>
    </row>
    <row r="46" spans="1:80" x14ac:dyDescent="0.25">
      <c r="A46" s="795">
        <v>82</v>
      </c>
      <c r="B46" s="846">
        <v>82</v>
      </c>
      <c r="C46" s="832" t="s">
        <v>648</v>
      </c>
      <c r="D46" s="860" t="s">
        <v>417</v>
      </c>
      <c r="E46" s="829">
        <v>0</v>
      </c>
      <c r="F46" s="798">
        <v>0</v>
      </c>
      <c r="G46" s="798">
        <v>30955</v>
      </c>
      <c r="H46" s="798">
        <v>70252793</v>
      </c>
      <c r="I46" s="798">
        <v>1819846</v>
      </c>
      <c r="J46" s="798">
        <v>0</v>
      </c>
      <c r="K46" s="800">
        <v>105000</v>
      </c>
      <c r="L46" s="835">
        <v>2476500</v>
      </c>
      <c r="M46" s="835">
        <v>51072387</v>
      </c>
      <c r="N46" s="830">
        <v>0</v>
      </c>
      <c r="O46" s="830">
        <v>42939</v>
      </c>
      <c r="P46" s="830">
        <v>73094</v>
      </c>
      <c r="Q46" s="830">
        <v>0</v>
      </c>
      <c r="R46" s="830">
        <v>33757</v>
      </c>
      <c r="S46" s="830">
        <v>12504541</v>
      </c>
      <c r="T46" s="830">
        <v>26918324</v>
      </c>
      <c r="U46" s="830">
        <v>42078</v>
      </c>
      <c r="V46" s="830">
        <v>10045142</v>
      </c>
      <c r="W46" s="830">
        <v>0</v>
      </c>
      <c r="X46" s="830">
        <v>0</v>
      </c>
      <c r="Y46" s="830">
        <v>592421</v>
      </c>
      <c r="Z46" s="830">
        <v>1590238</v>
      </c>
      <c r="AA46" s="835">
        <v>438805</v>
      </c>
      <c r="AB46" s="835">
        <v>1279495</v>
      </c>
      <c r="AC46" s="835">
        <v>0</v>
      </c>
      <c r="AD46" s="835">
        <v>37337</v>
      </c>
      <c r="AE46" s="835">
        <v>1346764</v>
      </c>
      <c r="AF46" s="835">
        <v>5335454</v>
      </c>
      <c r="AG46" s="835">
        <v>0</v>
      </c>
      <c r="AH46" s="835">
        <v>0</v>
      </c>
      <c r="AI46" s="835">
        <v>0</v>
      </c>
      <c r="AJ46" s="835">
        <v>0</v>
      </c>
      <c r="AK46" s="835">
        <v>6158830</v>
      </c>
      <c r="AL46" s="835">
        <v>0</v>
      </c>
      <c r="AM46" s="835">
        <v>0</v>
      </c>
      <c r="AN46" s="835">
        <v>7767311</v>
      </c>
      <c r="AO46" s="835">
        <v>14453411</v>
      </c>
      <c r="AP46" s="835">
        <v>0</v>
      </c>
      <c r="AQ46" s="835">
        <v>0</v>
      </c>
      <c r="AR46" s="835">
        <v>555929</v>
      </c>
      <c r="AS46" s="835">
        <v>66707</v>
      </c>
      <c r="AT46" s="835">
        <v>250000</v>
      </c>
      <c r="AU46" s="835">
        <v>0</v>
      </c>
      <c r="AV46" s="835">
        <v>8404000</v>
      </c>
      <c r="AW46" s="835">
        <v>199960</v>
      </c>
      <c r="AX46" s="835">
        <v>263570</v>
      </c>
      <c r="AY46" s="835">
        <v>1586188</v>
      </c>
      <c r="AZ46" s="835">
        <v>250735</v>
      </c>
      <c r="BA46" s="835">
        <v>3343640</v>
      </c>
      <c r="BB46" s="835">
        <v>0</v>
      </c>
      <c r="BC46" s="835">
        <v>108539</v>
      </c>
      <c r="BD46" s="835">
        <v>662000</v>
      </c>
      <c r="BE46" s="835">
        <v>0</v>
      </c>
      <c r="BF46" s="835">
        <v>4927623</v>
      </c>
      <c r="BG46" s="835">
        <v>0</v>
      </c>
      <c r="BH46" s="835">
        <v>0</v>
      </c>
      <c r="BI46" s="835">
        <v>1750926</v>
      </c>
      <c r="BJ46" s="835">
        <v>1629606</v>
      </c>
      <c r="BK46" s="835">
        <v>0</v>
      </c>
      <c r="BL46" s="835">
        <v>697736</v>
      </c>
      <c r="BM46" s="835">
        <v>398639</v>
      </c>
      <c r="BN46" s="835">
        <v>0</v>
      </c>
      <c r="BO46" s="835">
        <v>1843539</v>
      </c>
      <c r="BP46" s="835">
        <v>873656</v>
      </c>
      <c r="BQ46" s="835">
        <v>722630</v>
      </c>
      <c r="BR46" s="835">
        <v>755406</v>
      </c>
      <c r="BS46" s="835">
        <v>0</v>
      </c>
      <c r="BT46" s="835">
        <v>0</v>
      </c>
      <c r="BU46" s="835">
        <v>307159</v>
      </c>
      <c r="BV46" s="835">
        <v>2041241</v>
      </c>
      <c r="BW46" s="835">
        <v>121393</v>
      </c>
      <c r="BX46" s="835">
        <v>0</v>
      </c>
      <c r="BY46" s="835">
        <v>0</v>
      </c>
      <c r="BZ46" s="835">
        <v>0</v>
      </c>
      <c r="CA46" s="835">
        <v>8980117</v>
      </c>
      <c r="CB46" s="835">
        <v>0</v>
      </c>
    </row>
    <row r="47" spans="1:80" x14ac:dyDescent="0.25">
      <c r="A47" s="795">
        <v>83</v>
      </c>
      <c r="B47" s="846">
        <v>83</v>
      </c>
      <c r="C47" s="832" t="s">
        <v>109</v>
      </c>
      <c r="D47" s="860" t="s">
        <v>418</v>
      </c>
      <c r="E47" s="829">
        <v>0</v>
      </c>
      <c r="F47" s="798">
        <v>0</v>
      </c>
      <c r="G47" s="798">
        <v>939734</v>
      </c>
      <c r="H47" s="798">
        <v>64413208</v>
      </c>
      <c r="I47" s="798">
        <v>20895107</v>
      </c>
      <c r="J47" s="798">
        <v>317703</v>
      </c>
      <c r="K47" s="800">
        <v>10588116</v>
      </c>
      <c r="L47" s="835">
        <v>3651716</v>
      </c>
      <c r="M47" s="835">
        <v>69525863</v>
      </c>
      <c r="N47" s="830">
        <v>0</v>
      </c>
      <c r="O47" s="830">
        <v>3114276</v>
      </c>
      <c r="P47" s="830">
        <v>5245656</v>
      </c>
      <c r="Q47" s="830">
        <v>0</v>
      </c>
      <c r="R47" s="830">
        <v>19497463</v>
      </c>
      <c r="S47" s="830">
        <v>23065684</v>
      </c>
      <c r="T47" s="830">
        <v>35228497</v>
      </c>
      <c r="U47" s="830">
        <v>2343698</v>
      </c>
      <c r="V47" s="830">
        <v>75900414</v>
      </c>
      <c r="W47" s="830">
        <v>0</v>
      </c>
      <c r="X47" s="830">
        <v>0</v>
      </c>
      <c r="Y47" s="830">
        <v>95824</v>
      </c>
      <c r="Z47" s="830">
        <v>6734349</v>
      </c>
      <c r="AA47" s="835">
        <v>7882117</v>
      </c>
      <c r="AB47" s="835">
        <v>6612786</v>
      </c>
      <c r="AC47" s="835">
        <v>0</v>
      </c>
      <c r="AD47" s="835">
        <v>146003</v>
      </c>
      <c r="AE47" s="835">
        <v>8593210</v>
      </c>
      <c r="AF47" s="835">
        <v>7010938</v>
      </c>
      <c r="AG47" s="835">
        <v>728613</v>
      </c>
      <c r="AH47" s="835">
        <v>0</v>
      </c>
      <c r="AI47" s="835">
        <v>0</v>
      </c>
      <c r="AJ47" s="835">
        <v>2462662</v>
      </c>
      <c r="AK47" s="835">
        <v>33140145</v>
      </c>
      <c r="AL47" s="835">
        <v>1927813</v>
      </c>
      <c r="AM47" s="835">
        <v>0</v>
      </c>
      <c r="AN47" s="835">
        <v>47136672</v>
      </c>
      <c r="AO47" s="835">
        <v>53013437</v>
      </c>
      <c r="AP47" s="835">
        <v>325387</v>
      </c>
      <c r="AQ47" s="835">
        <v>0</v>
      </c>
      <c r="AR47" s="835">
        <v>40489201</v>
      </c>
      <c r="AS47" s="835">
        <v>5703996</v>
      </c>
      <c r="AT47" s="835">
        <v>4491566</v>
      </c>
      <c r="AU47" s="835">
        <v>5655853</v>
      </c>
      <c r="AV47" s="835">
        <v>25703850</v>
      </c>
      <c r="AW47" s="835">
        <v>1494702</v>
      </c>
      <c r="AX47" s="835">
        <v>4909719</v>
      </c>
      <c r="AY47" s="835">
        <v>9362995</v>
      </c>
      <c r="AZ47" s="835">
        <v>7816659</v>
      </c>
      <c r="BA47" s="835">
        <v>12969041</v>
      </c>
      <c r="BB47" s="835">
        <v>0</v>
      </c>
      <c r="BC47" s="835">
        <v>2846564</v>
      </c>
      <c r="BD47" s="835">
        <v>1502203</v>
      </c>
      <c r="BE47" s="835">
        <v>0</v>
      </c>
      <c r="BF47" s="835">
        <v>43202788</v>
      </c>
      <c r="BG47" s="835">
        <v>2809834</v>
      </c>
      <c r="BH47" s="835">
        <v>0</v>
      </c>
      <c r="BI47" s="835">
        <v>5186250</v>
      </c>
      <c r="BJ47" s="835">
        <v>5871626</v>
      </c>
      <c r="BK47" s="835">
        <v>5598141</v>
      </c>
      <c r="BL47" s="835">
        <v>12845491</v>
      </c>
      <c r="BM47" s="835">
        <v>6678484</v>
      </c>
      <c r="BN47" s="835">
        <v>0</v>
      </c>
      <c r="BO47" s="835">
        <v>19769453</v>
      </c>
      <c r="BP47" s="835">
        <v>10643652</v>
      </c>
      <c r="BQ47" s="835">
        <v>7025753</v>
      </c>
      <c r="BR47" s="835">
        <v>6459756</v>
      </c>
      <c r="BS47" s="835">
        <v>0</v>
      </c>
      <c r="BT47" s="835">
        <v>0</v>
      </c>
      <c r="BU47" s="835">
        <v>6347868</v>
      </c>
      <c r="BV47" s="835">
        <v>12334521</v>
      </c>
      <c r="BW47" s="835">
        <v>3890975</v>
      </c>
      <c r="BX47" s="835">
        <v>2105581</v>
      </c>
      <c r="BY47" s="835">
        <v>0</v>
      </c>
      <c r="BZ47" s="835">
        <v>0</v>
      </c>
      <c r="CA47" s="835">
        <v>46535650</v>
      </c>
      <c r="CB47" s="835">
        <v>0</v>
      </c>
    </row>
    <row r="48" spans="1:80" x14ac:dyDescent="0.25">
      <c r="A48" s="795">
        <v>84</v>
      </c>
      <c r="B48" s="846">
        <v>84</v>
      </c>
      <c r="C48" s="832" t="s">
        <v>294</v>
      </c>
      <c r="D48" s="860" t="s">
        <v>419</v>
      </c>
      <c r="E48" s="829">
        <v>0</v>
      </c>
      <c r="F48" s="798">
        <v>0</v>
      </c>
      <c r="G48" s="798">
        <v>258327</v>
      </c>
      <c r="H48" s="798">
        <v>22962438</v>
      </c>
      <c r="I48" s="798">
        <v>3492972</v>
      </c>
      <c r="J48" s="798">
        <v>190688</v>
      </c>
      <c r="K48" s="800">
        <v>817007</v>
      </c>
      <c r="L48" s="835">
        <v>1126203</v>
      </c>
      <c r="M48" s="835">
        <v>17032109</v>
      </c>
      <c r="N48" s="830">
        <v>0</v>
      </c>
      <c r="O48" s="830">
        <v>713224</v>
      </c>
      <c r="P48" s="830">
        <v>1396453</v>
      </c>
      <c r="Q48" s="830">
        <v>0</v>
      </c>
      <c r="R48" s="830">
        <v>3977723</v>
      </c>
      <c r="S48" s="830">
        <v>5886481</v>
      </c>
      <c r="T48" s="830">
        <v>5503973</v>
      </c>
      <c r="U48" s="830">
        <v>145369</v>
      </c>
      <c r="V48" s="830">
        <v>16160506</v>
      </c>
      <c r="W48" s="830">
        <v>0</v>
      </c>
      <c r="X48" s="830">
        <v>0</v>
      </c>
      <c r="Y48" s="830">
        <v>0</v>
      </c>
      <c r="Z48" s="830">
        <v>1949498</v>
      </c>
      <c r="AA48" s="835">
        <v>1325853</v>
      </c>
      <c r="AB48" s="835">
        <v>1232038</v>
      </c>
      <c r="AC48" s="835">
        <v>0</v>
      </c>
      <c r="AD48" s="835">
        <v>97628</v>
      </c>
      <c r="AE48" s="835">
        <v>809123</v>
      </c>
      <c r="AF48" s="835">
        <v>1978556</v>
      </c>
      <c r="AG48" s="835">
        <v>52730</v>
      </c>
      <c r="AH48" s="835">
        <v>0</v>
      </c>
      <c r="AI48" s="835">
        <v>0</v>
      </c>
      <c r="AJ48" s="835">
        <v>438460</v>
      </c>
      <c r="AK48" s="835">
        <v>7444635</v>
      </c>
      <c r="AL48" s="835">
        <v>112304</v>
      </c>
      <c r="AM48" s="835">
        <v>0</v>
      </c>
      <c r="AN48" s="835">
        <v>4677834</v>
      </c>
      <c r="AO48" s="835">
        <v>8928167</v>
      </c>
      <c r="AP48" s="835">
        <v>115054</v>
      </c>
      <c r="AQ48" s="835">
        <v>0</v>
      </c>
      <c r="AR48" s="835">
        <v>9484603</v>
      </c>
      <c r="AS48" s="835">
        <v>928470</v>
      </c>
      <c r="AT48" s="835">
        <v>301918</v>
      </c>
      <c r="AU48" s="835">
        <v>2119529</v>
      </c>
      <c r="AV48" s="835">
        <v>8056185</v>
      </c>
      <c r="AW48" s="835">
        <v>385970</v>
      </c>
      <c r="AX48" s="835">
        <v>347423</v>
      </c>
      <c r="AY48" s="835">
        <v>1507285</v>
      </c>
      <c r="AZ48" s="835">
        <v>1887772</v>
      </c>
      <c r="BA48" s="835">
        <v>2596717</v>
      </c>
      <c r="BB48" s="835">
        <v>0</v>
      </c>
      <c r="BC48" s="835">
        <v>1203279</v>
      </c>
      <c r="BD48" s="835">
        <v>415319</v>
      </c>
      <c r="BE48" s="835">
        <v>0</v>
      </c>
      <c r="BF48" s="835">
        <v>9369687</v>
      </c>
      <c r="BG48" s="835">
        <v>191828</v>
      </c>
      <c r="BH48" s="835">
        <v>0</v>
      </c>
      <c r="BI48" s="835">
        <v>1517719</v>
      </c>
      <c r="BJ48" s="835">
        <v>921451</v>
      </c>
      <c r="BK48" s="835">
        <v>324142</v>
      </c>
      <c r="BL48" s="835">
        <v>2211222</v>
      </c>
      <c r="BM48" s="835">
        <v>2009610</v>
      </c>
      <c r="BN48" s="835">
        <v>0</v>
      </c>
      <c r="BO48" s="835">
        <v>3423232</v>
      </c>
      <c r="BP48" s="835">
        <v>1060563</v>
      </c>
      <c r="BQ48" s="835">
        <v>688567</v>
      </c>
      <c r="BR48" s="835">
        <v>1560621</v>
      </c>
      <c r="BS48" s="835">
        <v>0</v>
      </c>
      <c r="BT48" s="835">
        <v>0</v>
      </c>
      <c r="BU48" s="835">
        <v>723230</v>
      </c>
      <c r="BV48" s="835">
        <v>2053259</v>
      </c>
      <c r="BW48" s="835">
        <v>437578</v>
      </c>
      <c r="BX48" s="835">
        <v>741641</v>
      </c>
      <c r="BY48" s="835">
        <v>0</v>
      </c>
      <c r="BZ48" s="835">
        <v>0</v>
      </c>
      <c r="CA48" s="835">
        <v>6676309</v>
      </c>
      <c r="CB48" s="835">
        <v>0</v>
      </c>
    </row>
    <row r="49" spans="1:80" x14ac:dyDescent="0.25">
      <c r="A49" s="795">
        <v>85</v>
      </c>
      <c r="B49" s="846">
        <v>85</v>
      </c>
      <c r="C49" s="832" t="s">
        <v>296</v>
      </c>
      <c r="D49" s="860" t="s">
        <v>420</v>
      </c>
      <c r="E49" s="829">
        <v>0</v>
      </c>
      <c r="F49" s="798">
        <v>0</v>
      </c>
      <c r="G49" s="798">
        <v>276037</v>
      </c>
      <c r="H49" s="798">
        <v>21703315</v>
      </c>
      <c r="I49" s="798">
        <v>2490561</v>
      </c>
      <c r="J49" s="798">
        <v>224866</v>
      </c>
      <c r="K49" s="800">
        <v>861799</v>
      </c>
      <c r="L49" s="835">
        <v>896057</v>
      </c>
      <c r="M49" s="835">
        <v>13284138</v>
      </c>
      <c r="N49" s="830">
        <v>0</v>
      </c>
      <c r="O49" s="830">
        <v>672132</v>
      </c>
      <c r="P49" s="830">
        <v>1316378</v>
      </c>
      <c r="Q49" s="830">
        <v>0</v>
      </c>
      <c r="R49" s="830">
        <v>3604959</v>
      </c>
      <c r="S49" s="830">
        <v>5317239</v>
      </c>
      <c r="T49" s="830">
        <v>5772923</v>
      </c>
      <c r="U49" s="830">
        <v>228173</v>
      </c>
      <c r="V49" s="830">
        <v>15596327</v>
      </c>
      <c r="W49" s="830">
        <v>0</v>
      </c>
      <c r="X49" s="830">
        <v>0</v>
      </c>
      <c r="Y49" s="830">
        <v>0</v>
      </c>
      <c r="Z49" s="830">
        <v>1892050</v>
      </c>
      <c r="AA49" s="835">
        <v>1670866</v>
      </c>
      <c r="AB49" s="835">
        <v>1048169</v>
      </c>
      <c r="AC49" s="835">
        <v>0</v>
      </c>
      <c r="AD49" s="835">
        <v>101993</v>
      </c>
      <c r="AE49" s="835">
        <v>806303</v>
      </c>
      <c r="AF49" s="835">
        <v>2041717</v>
      </c>
      <c r="AG49" s="835">
        <v>63196</v>
      </c>
      <c r="AH49" s="835">
        <v>0</v>
      </c>
      <c r="AI49" s="835">
        <v>0</v>
      </c>
      <c r="AJ49" s="835">
        <v>428995</v>
      </c>
      <c r="AK49" s="835">
        <v>5637429</v>
      </c>
      <c r="AL49" s="835">
        <v>155877</v>
      </c>
      <c r="AM49" s="835">
        <v>0</v>
      </c>
      <c r="AN49" s="835">
        <v>3636177</v>
      </c>
      <c r="AO49" s="835">
        <v>6723828</v>
      </c>
      <c r="AP49" s="835">
        <v>136040</v>
      </c>
      <c r="AQ49" s="835">
        <v>0</v>
      </c>
      <c r="AR49" s="835">
        <v>9146999</v>
      </c>
      <c r="AS49" s="835">
        <v>1004553</v>
      </c>
      <c r="AT49" s="835">
        <v>393688</v>
      </c>
      <c r="AU49" s="835">
        <v>1823636</v>
      </c>
      <c r="AV49" s="835">
        <v>6158426</v>
      </c>
      <c r="AW49" s="835">
        <v>314190</v>
      </c>
      <c r="AX49" s="835">
        <v>624974</v>
      </c>
      <c r="AY49" s="835">
        <v>884399</v>
      </c>
      <c r="AZ49" s="835">
        <v>2038519</v>
      </c>
      <c r="BA49" s="835">
        <v>2671258</v>
      </c>
      <c r="BB49" s="835">
        <v>0</v>
      </c>
      <c r="BC49" s="835">
        <v>1312702</v>
      </c>
      <c r="BD49" s="835">
        <v>494751</v>
      </c>
      <c r="BE49" s="835">
        <v>0</v>
      </c>
      <c r="BF49" s="835">
        <v>8174657</v>
      </c>
      <c r="BG49" s="835">
        <v>313718</v>
      </c>
      <c r="BH49" s="835">
        <v>0</v>
      </c>
      <c r="BI49" s="835">
        <v>1571225</v>
      </c>
      <c r="BJ49" s="835">
        <v>781030</v>
      </c>
      <c r="BK49" s="835">
        <v>553177</v>
      </c>
      <c r="BL49" s="835">
        <v>2056084</v>
      </c>
      <c r="BM49" s="835">
        <v>1691479</v>
      </c>
      <c r="BN49" s="835">
        <v>0</v>
      </c>
      <c r="BO49" s="835">
        <v>3630276</v>
      </c>
      <c r="BP49" s="835">
        <v>941228</v>
      </c>
      <c r="BQ49" s="835">
        <v>831615</v>
      </c>
      <c r="BR49" s="835">
        <v>1363947</v>
      </c>
      <c r="BS49" s="835">
        <v>0</v>
      </c>
      <c r="BT49" s="835">
        <v>0</v>
      </c>
      <c r="BU49" s="835">
        <v>771249</v>
      </c>
      <c r="BV49" s="835">
        <v>2339060</v>
      </c>
      <c r="BW49" s="835">
        <v>498078</v>
      </c>
      <c r="BX49" s="835">
        <v>578687</v>
      </c>
      <c r="BY49" s="835">
        <v>0</v>
      </c>
      <c r="BZ49" s="835">
        <v>0</v>
      </c>
      <c r="CA49" s="835">
        <v>5871871</v>
      </c>
      <c r="CB49" s="835">
        <v>0</v>
      </c>
    </row>
    <row r="50" spans="1:80" x14ac:dyDescent="0.25">
      <c r="A50" s="795">
        <v>88</v>
      </c>
      <c r="B50" s="846">
        <v>88</v>
      </c>
      <c r="C50" s="832" t="s">
        <v>293</v>
      </c>
      <c r="D50" s="860" t="s">
        <v>421</v>
      </c>
      <c r="E50" s="829">
        <v>0</v>
      </c>
      <c r="F50" s="798">
        <v>0</v>
      </c>
      <c r="G50" s="798">
        <v>256407</v>
      </c>
      <c r="H50" s="798">
        <v>22962438</v>
      </c>
      <c r="I50" s="798">
        <v>3465041</v>
      </c>
      <c r="J50" s="798">
        <v>187700</v>
      </c>
      <c r="K50" s="800">
        <v>762683</v>
      </c>
      <c r="L50" s="835">
        <v>934069</v>
      </c>
      <c r="M50" s="835">
        <v>15345180</v>
      </c>
      <c r="N50" s="830">
        <v>0</v>
      </c>
      <c r="O50" s="830">
        <v>695789</v>
      </c>
      <c r="P50" s="830">
        <v>1191632</v>
      </c>
      <c r="Q50" s="830">
        <v>0</v>
      </c>
      <c r="R50" s="830">
        <v>3804965</v>
      </c>
      <c r="S50" s="830">
        <v>5822911</v>
      </c>
      <c r="T50" s="830">
        <v>5416014</v>
      </c>
      <c r="U50" s="830">
        <v>145369</v>
      </c>
      <c r="V50" s="830">
        <v>15871179</v>
      </c>
      <c r="W50" s="830">
        <v>0</v>
      </c>
      <c r="X50" s="830">
        <v>0</v>
      </c>
      <c r="Y50" s="830">
        <v>0</v>
      </c>
      <c r="Z50" s="830">
        <v>1943103</v>
      </c>
      <c r="AA50" s="835">
        <v>1323798</v>
      </c>
      <c r="AB50" s="835">
        <v>1186541</v>
      </c>
      <c r="AC50" s="835">
        <v>0</v>
      </c>
      <c r="AD50" s="835">
        <v>96608</v>
      </c>
      <c r="AE50" s="835">
        <v>804668</v>
      </c>
      <c r="AF50" s="835">
        <v>1892506</v>
      </c>
      <c r="AG50" s="835">
        <v>50355</v>
      </c>
      <c r="AH50" s="835">
        <v>0</v>
      </c>
      <c r="AI50" s="835">
        <v>0</v>
      </c>
      <c r="AJ50" s="835">
        <v>438460</v>
      </c>
      <c r="AK50" s="835">
        <v>7064605</v>
      </c>
      <c r="AL50" s="835">
        <v>112304</v>
      </c>
      <c r="AM50" s="835">
        <v>0</v>
      </c>
      <c r="AN50" s="835">
        <v>4583400</v>
      </c>
      <c r="AO50" s="835">
        <v>8602971</v>
      </c>
      <c r="AP50" s="835">
        <v>104867</v>
      </c>
      <c r="AQ50" s="835">
        <v>0</v>
      </c>
      <c r="AR50" s="835">
        <v>9238885</v>
      </c>
      <c r="AS50" s="835">
        <v>880808</v>
      </c>
      <c r="AT50" s="835">
        <v>301918</v>
      </c>
      <c r="AU50" s="835">
        <v>2109199</v>
      </c>
      <c r="AV50" s="835">
        <v>7539464</v>
      </c>
      <c r="AW50" s="835">
        <v>352260</v>
      </c>
      <c r="AX50" s="835">
        <v>346468</v>
      </c>
      <c r="AY50" s="835">
        <v>1020256</v>
      </c>
      <c r="AZ50" s="835">
        <v>1887772</v>
      </c>
      <c r="BA50" s="835">
        <v>2563384</v>
      </c>
      <c r="BB50" s="835">
        <v>0</v>
      </c>
      <c r="BC50" s="835">
        <v>1131445</v>
      </c>
      <c r="BD50" s="835">
        <v>314017</v>
      </c>
      <c r="BE50" s="835">
        <v>0</v>
      </c>
      <c r="BF50" s="835">
        <v>8065079</v>
      </c>
      <c r="BG50" s="835">
        <v>189829</v>
      </c>
      <c r="BH50" s="835">
        <v>0</v>
      </c>
      <c r="BI50" s="835">
        <v>1475758</v>
      </c>
      <c r="BJ50" s="835">
        <v>756666</v>
      </c>
      <c r="BK50" s="835">
        <v>297781</v>
      </c>
      <c r="BL50" s="835">
        <v>2211222</v>
      </c>
      <c r="BM50" s="835">
        <v>1903230</v>
      </c>
      <c r="BN50" s="835">
        <v>0</v>
      </c>
      <c r="BO50" s="835">
        <v>3362850</v>
      </c>
      <c r="BP50" s="835">
        <v>1053019</v>
      </c>
      <c r="BQ50" s="835">
        <v>605266</v>
      </c>
      <c r="BR50" s="835">
        <v>1501534</v>
      </c>
      <c r="BS50" s="835">
        <v>0</v>
      </c>
      <c r="BT50" s="835">
        <v>0</v>
      </c>
      <c r="BU50" s="835">
        <v>718274</v>
      </c>
      <c r="BV50" s="835">
        <v>1839387</v>
      </c>
      <c r="BW50" s="835">
        <v>428418</v>
      </c>
      <c r="BX50" s="835">
        <v>597872</v>
      </c>
      <c r="BY50" s="835">
        <v>0</v>
      </c>
      <c r="BZ50" s="835">
        <v>0</v>
      </c>
      <c r="CA50" s="835">
        <v>5547280</v>
      </c>
      <c r="CB50" s="835">
        <v>0</v>
      </c>
    </row>
    <row r="51" spans="1:80" x14ac:dyDescent="0.25">
      <c r="A51" s="795">
        <v>89</v>
      </c>
      <c r="B51" s="846">
        <v>89</v>
      </c>
      <c r="C51" s="832" t="s">
        <v>297</v>
      </c>
      <c r="D51" s="860" t="s">
        <v>422</v>
      </c>
      <c r="E51" s="829">
        <v>0</v>
      </c>
      <c r="F51" s="798">
        <v>0</v>
      </c>
      <c r="G51" s="798">
        <v>1503</v>
      </c>
      <c r="H51" s="798">
        <v>2095718</v>
      </c>
      <c r="I51" s="798">
        <v>44007</v>
      </c>
      <c r="J51" s="798">
        <v>10</v>
      </c>
      <c r="K51" s="800">
        <v>3473</v>
      </c>
      <c r="L51" s="835">
        <v>71273</v>
      </c>
      <c r="M51" s="835">
        <v>1595148</v>
      </c>
      <c r="N51" s="830">
        <v>0</v>
      </c>
      <c r="O51" s="830">
        <v>1063</v>
      </c>
      <c r="P51" s="830">
        <v>3924</v>
      </c>
      <c r="Q51" s="830">
        <v>0</v>
      </c>
      <c r="R51" s="830">
        <v>0</v>
      </c>
      <c r="S51" s="830">
        <v>47316</v>
      </c>
      <c r="T51" s="830">
        <v>28649</v>
      </c>
      <c r="U51" s="830">
        <v>2160</v>
      </c>
      <c r="V51" s="830">
        <v>179179</v>
      </c>
      <c r="W51" s="830">
        <v>0</v>
      </c>
      <c r="X51" s="830">
        <v>0</v>
      </c>
      <c r="Y51" s="830">
        <v>16656</v>
      </c>
      <c r="Z51" s="830">
        <v>34816</v>
      </c>
      <c r="AA51" s="835">
        <v>14008</v>
      </c>
      <c r="AB51" s="835">
        <v>11608</v>
      </c>
      <c r="AC51" s="835">
        <v>0</v>
      </c>
      <c r="AD51" s="835">
        <v>0</v>
      </c>
      <c r="AE51" s="835">
        <v>21154</v>
      </c>
      <c r="AF51" s="835">
        <v>167691</v>
      </c>
      <c r="AG51" s="835">
        <v>0</v>
      </c>
      <c r="AH51" s="835">
        <v>0</v>
      </c>
      <c r="AI51" s="835">
        <v>0</v>
      </c>
      <c r="AJ51" s="835">
        <v>0</v>
      </c>
      <c r="AK51" s="835">
        <v>130979</v>
      </c>
      <c r="AL51" s="835">
        <v>249</v>
      </c>
      <c r="AM51" s="835">
        <v>0</v>
      </c>
      <c r="AN51" s="835">
        <v>139225</v>
      </c>
      <c r="AO51" s="835">
        <v>131421</v>
      </c>
      <c r="AP51" s="835">
        <v>0</v>
      </c>
      <c r="AQ51" s="835">
        <v>0</v>
      </c>
      <c r="AR51" s="835">
        <v>37361</v>
      </c>
      <c r="AS51" s="835">
        <v>0</v>
      </c>
      <c r="AT51" s="835">
        <v>6611</v>
      </c>
      <c r="AU51" s="835">
        <v>12807</v>
      </c>
      <c r="AV51" s="835">
        <v>200965</v>
      </c>
      <c r="AW51" s="835">
        <v>3720</v>
      </c>
      <c r="AX51" s="835">
        <v>11135</v>
      </c>
      <c r="AY51" s="835">
        <v>39817</v>
      </c>
      <c r="AZ51" s="835">
        <v>7708</v>
      </c>
      <c r="BA51" s="835">
        <v>110028</v>
      </c>
      <c r="BB51" s="835">
        <v>0</v>
      </c>
      <c r="BC51" s="835">
        <v>3322</v>
      </c>
      <c r="BD51" s="835">
        <v>29218</v>
      </c>
      <c r="BE51" s="835">
        <v>0</v>
      </c>
      <c r="BF51" s="835">
        <v>113341</v>
      </c>
      <c r="BG51" s="835">
        <v>0</v>
      </c>
      <c r="BH51" s="835">
        <v>0</v>
      </c>
      <c r="BI51" s="835">
        <v>67513</v>
      </c>
      <c r="BJ51" s="835">
        <v>37870</v>
      </c>
      <c r="BK51" s="835">
        <v>0</v>
      </c>
      <c r="BL51" s="835">
        <v>0</v>
      </c>
      <c r="BM51" s="835">
        <v>12435</v>
      </c>
      <c r="BN51" s="835">
        <v>0</v>
      </c>
      <c r="BO51" s="835">
        <v>30161</v>
      </c>
      <c r="BP51" s="835">
        <v>27672</v>
      </c>
      <c r="BQ51" s="835">
        <v>26034</v>
      </c>
      <c r="BR51" s="835">
        <v>0</v>
      </c>
      <c r="BS51" s="835">
        <v>0</v>
      </c>
      <c r="BT51" s="835">
        <v>0</v>
      </c>
      <c r="BU51" s="835">
        <v>10645</v>
      </c>
      <c r="BV51" s="835">
        <v>69348</v>
      </c>
      <c r="BW51" s="835">
        <v>0</v>
      </c>
      <c r="BX51" s="835">
        <v>0</v>
      </c>
      <c r="BY51" s="835">
        <v>0</v>
      </c>
      <c r="BZ51" s="835">
        <v>0</v>
      </c>
      <c r="CA51" s="835">
        <v>165426</v>
      </c>
      <c r="CB51" s="835">
        <v>0</v>
      </c>
    </row>
    <row r="52" spans="1:80" x14ac:dyDescent="0.25">
      <c r="A52" s="787">
        <v>90</v>
      </c>
      <c r="B52" s="846">
        <v>90</v>
      </c>
      <c r="C52" s="832" t="s">
        <v>290</v>
      </c>
      <c r="D52" s="860" t="s">
        <v>423</v>
      </c>
      <c r="E52" s="829">
        <v>0</v>
      </c>
      <c r="F52" s="798">
        <v>0</v>
      </c>
      <c r="G52" s="798">
        <v>0</v>
      </c>
      <c r="H52" s="798">
        <v>0</v>
      </c>
      <c r="I52" s="798">
        <v>0</v>
      </c>
      <c r="J52" s="798">
        <v>0</v>
      </c>
      <c r="K52" s="800">
        <v>0</v>
      </c>
      <c r="L52" s="835">
        <v>0</v>
      </c>
      <c r="M52" s="835">
        <v>0</v>
      </c>
      <c r="N52" s="830">
        <v>0</v>
      </c>
      <c r="O52" s="830">
        <v>0</v>
      </c>
      <c r="P52" s="830">
        <v>0</v>
      </c>
      <c r="Q52" s="830">
        <v>0</v>
      </c>
      <c r="R52" s="830">
        <v>0</v>
      </c>
      <c r="S52" s="830">
        <v>0</v>
      </c>
      <c r="T52" s="830">
        <v>2897044</v>
      </c>
      <c r="U52" s="830">
        <v>0</v>
      </c>
      <c r="V52" s="830">
        <v>20483672</v>
      </c>
      <c r="W52" s="830">
        <v>0</v>
      </c>
      <c r="X52" s="830">
        <v>0</v>
      </c>
      <c r="Y52" s="830">
        <v>0</v>
      </c>
      <c r="Z52" s="830">
        <v>0</v>
      </c>
      <c r="AA52" s="835">
        <v>774164</v>
      </c>
      <c r="AB52" s="835">
        <v>281583</v>
      </c>
      <c r="AC52" s="835">
        <v>0</v>
      </c>
      <c r="AD52" s="835">
        <v>0</v>
      </c>
      <c r="AE52" s="835">
        <v>0</v>
      </c>
      <c r="AF52" s="835">
        <v>0</v>
      </c>
      <c r="AG52" s="835">
        <v>0</v>
      </c>
      <c r="AH52" s="835">
        <v>0</v>
      </c>
      <c r="AI52" s="835">
        <v>0</v>
      </c>
      <c r="AJ52" s="835">
        <v>0</v>
      </c>
      <c r="AK52" s="835">
        <v>2747253</v>
      </c>
      <c r="AL52" s="835">
        <v>0</v>
      </c>
      <c r="AM52" s="835">
        <v>0</v>
      </c>
      <c r="AN52" s="835">
        <v>0</v>
      </c>
      <c r="AO52" s="835">
        <v>0</v>
      </c>
      <c r="AP52" s="835">
        <v>0</v>
      </c>
      <c r="AQ52" s="835">
        <v>0</v>
      </c>
      <c r="AR52" s="835">
        <v>10297327</v>
      </c>
      <c r="AS52" s="835">
        <v>0</v>
      </c>
      <c r="AT52" s="835">
        <v>0</v>
      </c>
      <c r="AU52" s="835">
        <v>0</v>
      </c>
      <c r="AV52" s="835">
        <v>2945821</v>
      </c>
      <c r="AW52" s="835">
        <v>0</v>
      </c>
      <c r="AX52" s="835">
        <v>0</v>
      </c>
      <c r="AY52" s="835">
        <v>0</v>
      </c>
      <c r="AZ52" s="835">
        <v>0</v>
      </c>
      <c r="BA52" s="835">
        <v>2235596</v>
      </c>
      <c r="BB52" s="835">
        <v>0</v>
      </c>
      <c r="BC52" s="835">
        <v>0</v>
      </c>
      <c r="BD52" s="835">
        <v>4617306</v>
      </c>
      <c r="BE52" s="835">
        <v>0</v>
      </c>
      <c r="BF52" s="835">
        <v>8912498</v>
      </c>
      <c r="BG52" s="835">
        <v>198096</v>
      </c>
      <c r="BH52" s="835">
        <v>0</v>
      </c>
      <c r="BI52" s="835">
        <v>0</v>
      </c>
      <c r="BJ52" s="835">
        <v>0</v>
      </c>
      <c r="BK52" s="835">
        <v>0</v>
      </c>
      <c r="BL52" s="835">
        <v>1082136</v>
      </c>
      <c r="BM52" s="835">
        <v>0</v>
      </c>
      <c r="BN52" s="835">
        <v>0</v>
      </c>
      <c r="BO52" s="835">
        <v>0</v>
      </c>
      <c r="BP52" s="835">
        <v>0</v>
      </c>
      <c r="BQ52" s="835">
        <v>0</v>
      </c>
      <c r="BR52" s="835">
        <v>0</v>
      </c>
      <c r="BS52" s="835">
        <v>0</v>
      </c>
      <c r="BT52" s="835">
        <v>0</v>
      </c>
      <c r="BU52" s="835">
        <v>0</v>
      </c>
      <c r="BV52" s="835">
        <v>0</v>
      </c>
      <c r="BW52" s="835">
        <v>0</v>
      </c>
      <c r="BX52" s="835">
        <v>0</v>
      </c>
      <c r="BY52" s="835">
        <v>0</v>
      </c>
      <c r="BZ52" s="835">
        <v>0</v>
      </c>
      <c r="CA52" s="835">
        <v>0</v>
      </c>
      <c r="CB52" s="835">
        <v>0</v>
      </c>
    </row>
    <row r="53" spans="1:80" x14ac:dyDescent="0.25">
      <c r="A53" s="787">
        <v>91</v>
      </c>
      <c r="B53" s="846">
        <v>91</v>
      </c>
      <c r="C53" s="832" t="s">
        <v>291</v>
      </c>
      <c r="D53" s="860" t="s">
        <v>424</v>
      </c>
      <c r="E53" s="829">
        <v>0</v>
      </c>
      <c r="F53" s="798">
        <v>0</v>
      </c>
      <c r="G53" s="798">
        <v>0</v>
      </c>
      <c r="H53" s="798">
        <v>0</v>
      </c>
      <c r="I53" s="798">
        <v>0</v>
      </c>
      <c r="J53" s="798">
        <v>0</v>
      </c>
      <c r="K53" s="800">
        <v>0</v>
      </c>
      <c r="L53" s="835">
        <v>0</v>
      </c>
      <c r="M53" s="835">
        <v>0</v>
      </c>
      <c r="N53" s="830">
        <v>0</v>
      </c>
      <c r="O53" s="830">
        <v>0</v>
      </c>
      <c r="P53" s="830">
        <v>0</v>
      </c>
      <c r="Q53" s="830">
        <v>0</v>
      </c>
      <c r="R53" s="830">
        <v>0</v>
      </c>
      <c r="S53" s="830">
        <v>0</v>
      </c>
      <c r="T53" s="830">
        <v>1473786</v>
      </c>
      <c r="U53" s="830">
        <v>0</v>
      </c>
      <c r="V53" s="830">
        <v>5850467</v>
      </c>
      <c r="W53" s="830">
        <v>0</v>
      </c>
      <c r="X53" s="830">
        <v>0</v>
      </c>
      <c r="Y53" s="830">
        <v>0</v>
      </c>
      <c r="Z53" s="830">
        <v>0</v>
      </c>
      <c r="AA53" s="835">
        <v>165246</v>
      </c>
      <c r="AB53" s="835">
        <v>0</v>
      </c>
      <c r="AC53" s="835">
        <v>0</v>
      </c>
      <c r="AD53" s="835">
        <v>0</v>
      </c>
      <c r="AE53" s="835">
        <v>0</v>
      </c>
      <c r="AF53" s="835">
        <v>845096</v>
      </c>
      <c r="AG53" s="835">
        <v>0</v>
      </c>
      <c r="AH53" s="835">
        <v>0</v>
      </c>
      <c r="AI53" s="835">
        <v>0</v>
      </c>
      <c r="AJ53" s="835">
        <v>0</v>
      </c>
      <c r="AK53" s="835">
        <v>1136764</v>
      </c>
      <c r="AL53" s="835">
        <v>0</v>
      </c>
      <c r="AM53" s="835">
        <v>0</v>
      </c>
      <c r="AN53" s="835">
        <v>0</v>
      </c>
      <c r="AO53" s="835">
        <v>0</v>
      </c>
      <c r="AP53" s="835">
        <v>0</v>
      </c>
      <c r="AQ53" s="835">
        <v>0</v>
      </c>
      <c r="AR53" s="835">
        <v>7006204</v>
      </c>
      <c r="AS53" s="835">
        <v>0</v>
      </c>
      <c r="AT53" s="835">
        <v>0</v>
      </c>
      <c r="AU53" s="835">
        <v>0</v>
      </c>
      <c r="AV53" s="835">
        <v>716344</v>
      </c>
      <c r="AW53" s="835">
        <v>0</v>
      </c>
      <c r="AX53" s="835">
        <v>0</v>
      </c>
      <c r="AY53" s="835">
        <v>0</v>
      </c>
      <c r="AZ53" s="835">
        <v>0</v>
      </c>
      <c r="BA53" s="835">
        <v>633526</v>
      </c>
      <c r="BB53" s="835">
        <v>0</v>
      </c>
      <c r="BC53" s="835">
        <v>0</v>
      </c>
      <c r="BD53" s="835">
        <v>646040</v>
      </c>
      <c r="BE53" s="835">
        <v>0</v>
      </c>
      <c r="BF53" s="835">
        <v>3250516</v>
      </c>
      <c r="BG53" s="835">
        <v>74151</v>
      </c>
      <c r="BH53" s="835">
        <v>0</v>
      </c>
      <c r="BI53" s="835">
        <v>0</v>
      </c>
      <c r="BJ53" s="835">
        <v>0</v>
      </c>
      <c r="BK53" s="835">
        <v>0</v>
      </c>
      <c r="BL53" s="835">
        <v>666814</v>
      </c>
      <c r="BM53" s="835">
        <v>0</v>
      </c>
      <c r="BN53" s="835">
        <v>0</v>
      </c>
      <c r="BO53" s="835">
        <v>0</v>
      </c>
      <c r="BP53" s="835">
        <v>0</v>
      </c>
      <c r="BQ53" s="835">
        <v>0</v>
      </c>
      <c r="BR53" s="835">
        <v>0</v>
      </c>
      <c r="BS53" s="835">
        <v>0</v>
      </c>
      <c r="BT53" s="835">
        <v>0</v>
      </c>
      <c r="BU53" s="835">
        <v>0</v>
      </c>
      <c r="BV53" s="835">
        <v>0</v>
      </c>
      <c r="BW53" s="835">
        <v>0</v>
      </c>
      <c r="BX53" s="835">
        <v>0</v>
      </c>
      <c r="BY53" s="835">
        <v>0</v>
      </c>
      <c r="BZ53" s="835">
        <v>0</v>
      </c>
      <c r="CA53" s="835">
        <v>0</v>
      </c>
      <c r="CB53" s="835">
        <v>0</v>
      </c>
    </row>
    <row r="54" spans="1:80" x14ac:dyDescent="0.25">
      <c r="A54" s="860"/>
      <c r="B54" s="846">
        <v>92</v>
      </c>
      <c r="C54" s="832" t="s">
        <v>731</v>
      </c>
      <c r="D54" s="860" t="s">
        <v>425</v>
      </c>
      <c r="E54" s="829"/>
      <c r="F54" s="798"/>
      <c r="G54" s="798"/>
      <c r="H54" s="798"/>
      <c r="I54" s="798"/>
      <c r="J54" s="798"/>
      <c r="K54" s="800"/>
      <c r="L54" s="835"/>
      <c r="M54" s="835"/>
      <c r="N54" s="830"/>
      <c r="O54" s="830"/>
      <c r="P54" s="830"/>
      <c r="Q54" s="830"/>
      <c r="R54" s="830"/>
      <c r="S54" s="830"/>
      <c r="T54" s="830"/>
      <c r="U54" s="830"/>
      <c r="V54" s="830"/>
      <c r="W54" s="830"/>
      <c r="X54" s="830"/>
      <c r="Y54" s="830"/>
      <c r="Z54" s="830"/>
      <c r="AA54" s="835"/>
      <c r="AB54" s="835"/>
      <c r="AC54" s="835"/>
      <c r="AD54" s="835"/>
      <c r="AE54" s="835"/>
      <c r="AF54" s="835"/>
      <c r="AG54" s="835"/>
      <c r="AH54" s="835"/>
      <c r="AI54" s="835"/>
      <c r="AJ54" s="835"/>
      <c r="AK54" s="835"/>
      <c r="AL54" s="835"/>
      <c r="AM54" s="835"/>
      <c r="AN54" s="835"/>
      <c r="AO54" s="835"/>
      <c r="AP54" s="835"/>
      <c r="AQ54" s="835"/>
      <c r="AR54" s="835"/>
      <c r="AS54" s="835"/>
      <c r="AT54" s="835"/>
      <c r="AU54" s="835"/>
      <c r="AV54" s="835"/>
      <c r="AW54" s="835"/>
      <c r="AX54" s="835"/>
      <c r="AY54" s="835"/>
      <c r="AZ54" s="835"/>
      <c r="BA54" s="835"/>
      <c r="BB54" s="835"/>
      <c r="BC54" s="835"/>
      <c r="BD54" s="835"/>
      <c r="BE54" s="835"/>
      <c r="BF54" s="835"/>
      <c r="BG54" s="835"/>
      <c r="BH54" s="835"/>
      <c r="BI54" s="835"/>
      <c r="BJ54" s="835"/>
      <c r="BK54" s="835"/>
      <c r="BL54" s="835"/>
      <c r="BM54" s="835"/>
      <c r="BN54" s="835"/>
      <c r="BO54" s="835"/>
      <c r="BP54" s="835"/>
      <c r="BQ54" s="835"/>
      <c r="BR54" s="835"/>
      <c r="BS54" s="835"/>
      <c r="BT54" s="835"/>
      <c r="BU54" s="835"/>
      <c r="BV54" s="835"/>
      <c r="BW54" s="835"/>
      <c r="BX54" s="835"/>
      <c r="BY54" s="835"/>
      <c r="BZ54" s="835"/>
      <c r="CA54" s="835"/>
      <c r="CB54" s="835"/>
    </row>
    <row r="55" spans="1:80" x14ac:dyDescent="0.25">
      <c r="A55" s="787">
        <v>93</v>
      </c>
      <c r="B55" s="846">
        <v>93</v>
      </c>
      <c r="C55" s="832" t="s">
        <v>304</v>
      </c>
      <c r="D55" s="860" t="s">
        <v>426</v>
      </c>
      <c r="E55" s="829">
        <v>0</v>
      </c>
      <c r="F55" s="798">
        <v>0</v>
      </c>
      <c r="G55" s="798">
        <v>0</v>
      </c>
      <c r="H55" s="798">
        <v>0</v>
      </c>
      <c r="I55" s="798">
        <v>0</v>
      </c>
      <c r="J55" s="798">
        <v>0</v>
      </c>
      <c r="K55" s="800">
        <v>0</v>
      </c>
      <c r="L55" s="835">
        <v>0</v>
      </c>
      <c r="M55" s="835">
        <v>0</v>
      </c>
      <c r="N55" s="830">
        <v>0</v>
      </c>
      <c r="O55" s="830">
        <v>0</v>
      </c>
      <c r="P55" s="830">
        <v>0</v>
      </c>
      <c r="Q55" s="830">
        <v>0</v>
      </c>
      <c r="R55" s="830">
        <v>0</v>
      </c>
      <c r="S55" s="830">
        <v>0</v>
      </c>
      <c r="T55" s="830">
        <v>14456731</v>
      </c>
      <c r="U55" s="830">
        <v>0</v>
      </c>
      <c r="V55" s="830">
        <v>48928147</v>
      </c>
      <c r="W55" s="830">
        <v>0</v>
      </c>
      <c r="X55" s="830">
        <v>0</v>
      </c>
      <c r="Y55" s="830">
        <v>0</v>
      </c>
      <c r="Z55" s="830">
        <v>0</v>
      </c>
      <c r="AA55" s="835">
        <v>3541838</v>
      </c>
      <c r="AB55" s="835">
        <v>502173</v>
      </c>
      <c r="AC55" s="835">
        <v>0</v>
      </c>
      <c r="AD55" s="835">
        <v>0</v>
      </c>
      <c r="AE55" s="835">
        <v>0</v>
      </c>
      <c r="AF55" s="835">
        <v>6608540</v>
      </c>
      <c r="AG55" s="835">
        <v>0</v>
      </c>
      <c r="AH55" s="835">
        <v>0</v>
      </c>
      <c r="AI55" s="835">
        <v>0</v>
      </c>
      <c r="AJ55" s="835">
        <v>0</v>
      </c>
      <c r="AK55" s="835">
        <v>15488917</v>
      </c>
      <c r="AL55" s="835">
        <v>0</v>
      </c>
      <c r="AM55" s="835">
        <v>0</v>
      </c>
      <c r="AN55" s="835">
        <v>0</v>
      </c>
      <c r="AO55" s="835">
        <v>0</v>
      </c>
      <c r="AP55" s="835">
        <v>0</v>
      </c>
      <c r="AQ55" s="835">
        <v>0</v>
      </c>
      <c r="AR55" s="835">
        <v>51546031</v>
      </c>
      <c r="AS55" s="835">
        <v>0</v>
      </c>
      <c r="AT55" s="835">
        <v>0</v>
      </c>
      <c r="AU55" s="835">
        <v>0</v>
      </c>
      <c r="AV55" s="835">
        <v>7913749</v>
      </c>
      <c r="AW55" s="835">
        <v>0</v>
      </c>
      <c r="AX55" s="835">
        <v>0</v>
      </c>
      <c r="AY55" s="835">
        <v>0</v>
      </c>
      <c r="AZ55" s="835">
        <v>0</v>
      </c>
      <c r="BA55" s="835">
        <v>7028225</v>
      </c>
      <c r="BB55" s="835">
        <v>0</v>
      </c>
      <c r="BC55" s="835">
        <v>0</v>
      </c>
      <c r="BD55" s="835">
        <v>2435393</v>
      </c>
      <c r="BE55" s="835">
        <v>0</v>
      </c>
      <c r="BF55" s="835">
        <v>31528434</v>
      </c>
      <c r="BG55" s="835">
        <v>455138</v>
      </c>
      <c r="BH55" s="835">
        <v>0</v>
      </c>
      <c r="BI55" s="835">
        <v>0</v>
      </c>
      <c r="BJ55" s="835">
        <v>0</v>
      </c>
      <c r="BK55" s="835">
        <v>0</v>
      </c>
      <c r="BL55" s="835">
        <v>7426342</v>
      </c>
      <c r="BM55" s="835">
        <v>0</v>
      </c>
      <c r="BN55" s="835">
        <v>0</v>
      </c>
      <c r="BO55" s="835">
        <v>0</v>
      </c>
      <c r="BP55" s="835">
        <v>0</v>
      </c>
      <c r="BQ55" s="835">
        <v>0</v>
      </c>
      <c r="BR55" s="835">
        <v>0</v>
      </c>
      <c r="BS55" s="835">
        <v>0</v>
      </c>
      <c r="BT55" s="835">
        <v>0</v>
      </c>
      <c r="BU55" s="835">
        <v>0</v>
      </c>
      <c r="BV55" s="835">
        <v>0</v>
      </c>
      <c r="BW55" s="835">
        <v>0</v>
      </c>
      <c r="BX55" s="835">
        <v>0</v>
      </c>
      <c r="BY55" s="835">
        <v>0</v>
      </c>
      <c r="BZ55" s="835">
        <v>0</v>
      </c>
      <c r="CA55" s="835">
        <v>0</v>
      </c>
      <c r="CB55" s="835">
        <v>0</v>
      </c>
    </row>
    <row r="56" spans="1:80" x14ac:dyDescent="0.25">
      <c r="A56" s="787">
        <v>94</v>
      </c>
      <c r="B56" s="846">
        <v>94</v>
      </c>
      <c r="C56" s="832" t="s">
        <v>307</v>
      </c>
      <c r="D56" s="860" t="s">
        <v>427</v>
      </c>
      <c r="E56" s="829">
        <v>0</v>
      </c>
      <c r="F56" s="798">
        <v>0</v>
      </c>
      <c r="G56" s="798">
        <v>0</v>
      </c>
      <c r="H56" s="798">
        <v>0</v>
      </c>
      <c r="I56" s="798">
        <v>0</v>
      </c>
      <c r="J56" s="798">
        <v>0</v>
      </c>
      <c r="K56" s="800">
        <v>0</v>
      </c>
      <c r="L56" s="835">
        <v>0</v>
      </c>
      <c r="M56" s="835">
        <v>0</v>
      </c>
      <c r="N56" s="830">
        <v>0</v>
      </c>
      <c r="O56" s="830">
        <v>0</v>
      </c>
      <c r="P56" s="830">
        <v>0</v>
      </c>
      <c r="Q56" s="830">
        <v>0</v>
      </c>
      <c r="R56" s="830">
        <v>0</v>
      </c>
      <c r="S56" s="830">
        <v>0</v>
      </c>
      <c r="T56" s="830">
        <v>12961980</v>
      </c>
      <c r="U56" s="830">
        <v>0</v>
      </c>
      <c r="V56" s="830">
        <v>39631853</v>
      </c>
      <c r="W56" s="830">
        <v>0</v>
      </c>
      <c r="X56" s="830">
        <v>0</v>
      </c>
      <c r="Y56" s="830">
        <v>0</v>
      </c>
      <c r="Z56" s="830">
        <v>0</v>
      </c>
      <c r="AA56" s="835">
        <v>3375493</v>
      </c>
      <c r="AB56" s="835">
        <v>617266</v>
      </c>
      <c r="AC56" s="835">
        <v>0</v>
      </c>
      <c r="AD56" s="835">
        <v>0</v>
      </c>
      <c r="AE56" s="835">
        <v>0</v>
      </c>
      <c r="AF56" s="835">
        <v>6916727</v>
      </c>
      <c r="AG56" s="835">
        <v>0</v>
      </c>
      <c r="AH56" s="835">
        <v>0</v>
      </c>
      <c r="AI56" s="835">
        <v>0</v>
      </c>
      <c r="AJ56" s="835">
        <v>0</v>
      </c>
      <c r="AK56" s="835">
        <v>14034204</v>
      </c>
      <c r="AL56" s="835">
        <v>0</v>
      </c>
      <c r="AM56" s="835">
        <v>0</v>
      </c>
      <c r="AN56" s="835">
        <v>0</v>
      </c>
      <c r="AO56" s="835">
        <v>0</v>
      </c>
      <c r="AP56" s="835">
        <v>0</v>
      </c>
      <c r="AQ56" s="835">
        <v>0</v>
      </c>
      <c r="AR56" s="835">
        <v>45948712</v>
      </c>
      <c r="AS56" s="835">
        <v>0</v>
      </c>
      <c r="AT56" s="835">
        <v>0</v>
      </c>
      <c r="AU56" s="835">
        <v>0</v>
      </c>
      <c r="AV56" s="835">
        <v>7561454</v>
      </c>
      <c r="AW56" s="835">
        <v>0</v>
      </c>
      <c r="AX56" s="835">
        <v>0</v>
      </c>
      <c r="AY56" s="835">
        <v>0</v>
      </c>
      <c r="AZ56" s="835">
        <v>0</v>
      </c>
      <c r="BA56" s="835">
        <v>6413523</v>
      </c>
      <c r="BB56" s="835">
        <v>0</v>
      </c>
      <c r="BC56" s="835">
        <v>0</v>
      </c>
      <c r="BD56" s="835">
        <v>2087118</v>
      </c>
      <c r="BE56" s="835">
        <v>0</v>
      </c>
      <c r="BF56" s="835">
        <v>28867571</v>
      </c>
      <c r="BG56" s="835">
        <v>426343</v>
      </c>
      <c r="BH56" s="835">
        <v>0</v>
      </c>
      <c r="BI56" s="835">
        <v>0</v>
      </c>
      <c r="BJ56" s="835">
        <v>0</v>
      </c>
      <c r="BK56" s="835">
        <v>0</v>
      </c>
      <c r="BL56" s="835">
        <v>7301161</v>
      </c>
      <c r="BM56" s="835">
        <v>0</v>
      </c>
      <c r="BN56" s="835">
        <v>0</v>
      </c>
      <c r="BO56" s="835">
        <v>0</v>
      </c>
      <c r="BP56" s="835">
        <v>0</v>
      </c>
      <c r="BQ56" s="835">
        <v>0</v>
      </c>
      <c r="BR56" s="835">
        <v>0</v>
      </c>
      <c r="BS56" s="835">
        <v>0</v>
      </c>
      <c r="BT56" s="835">
        <v>0</v>
      </c>
      <c r="BU56" s="835">
        <v>0</v>
      </c>
      <c r="BV56" s="835">
        <v>0</v>
      </c>
      <c r="BW56" s="835">
        <v>0</v>
      </c>
      <c r="BX56" s="835">
        <v>0</v>
      </c>
      <c r="BY56" s="835">
        <v>0</v>
      </c>
      <c r="BZ56" s="835">
        <v>0</v>
      </c>
      <c r="CA56" s="835">
        <v>0</v>
      </c>
      <c r="CB56" s="835">
        <v>0</v>
      </c>
    </row>
    <row r="57" spans="1:80" x14ac:dyDescent="0.25">
      <c r="A57" s="787">
        <v>97</v>
      </c>
      <c r="B57" s="846">
        <v>97</v>
      </c>
      <c r="C57" s="832" t="s">
        <v>303</v>
      </c>
      <c r="D57" s="860" t="s">
        <v>428</v>
      </c>
      <c r="E57" s="829">
        <v>0</v>
      </c>
      <c r="F57" s="798">
        <v>0</v>
      </c>
      <c r="G57" s="798">
        <v>0</v>
      </c>
      <c r="H57" s="798">
        <v>0</v>
      </c>
      <c r="I57" s="798">
        <v>0</v>
      </c>
      <c r="J57" s="798">
        <v>0</v>
      </c>
      <c r="K57" s="800">
        <v>0</v>
      </c>
      <c r="L57" s="835">
        <v>0</v>
      </c>
      <c r="M57" s="835">
        <v>0</v>
      </c>
      <c r="N57" s="830">
        <v>0</v>
      </c>
      <c r="O57" s="830">
        <v>0</v>
      </c>
      <c r="P57" s="830">
        <v>0</v>
      </c>
      <c r="Q57" s="830">
        <v>0</v>
      </c>
      <c r="R57" s="830">
        <v>0</v>
      </c>
      <c r="S57" s="830">
        <v>0</v>
      </c>
      <c r="T57" s="830">
        <v>14078447</v>
      </c>
      <c r="U57" s="830">
        <v>0</v>
      </c>
      <c r="V57" s="830">
        <v>48738032</v>
      </c>
      <c r="W57" s="830">
        <v>0</v>
      </c>
      <c r="X57" s="830">
        <v>0</v>
      </c>
      <c r="Y57" s="830">
        <v>0</v>
      </c>
      <c r="Z57" s="830">
        <v>0</v>
      </c>
      <c r="AA57" s="835">
        <v>3519795</v>
      </c>
      <c r="AB57" s="835">
        <v>502173</v>
      </c>
      <c r="AC57" s="835">
        <v>0</v>
      </c>
      <c r="AD57" s="835">
        <v>0</v>
      </c>
      <c r="AE57" s="835">
        <v>0</v>
      </c>
      <c r="AF57" s="835">
        <v>6434040</v>
      </c>
      <c r="AG57" s="835">
        <v>0</v>
      </c>
      <c r="AH57" s="835">
        <v>0</v>
      </c>
      <c r="AI57" s="835">
        <v>0</v>
      </c>
      <c r="AJ57" s="835">
        <v>0</v>
      </c>
      <c r="AK57" s="835">
        <v>15144582</v>
      </c>
      <c r="AL57" s="835">
        <v>0</v>
      </c>
      <c r="AM57" s="835">
        <v>0</v>
      </c>
      <c r="AN57" s="835">
        <v>0</v>
      </c>
      <c r="AO57" s="835">
        <v>0</v>
      </c>
      <c r="AP57" s="835">
        <v>0</v>
      </c>
      <c r="AQ57" s="835">
        <v>0</v>
      </c>
      <c r="AR57" s="835">
        <v>51102340</v>
      </c>
      <c r="AS57" s="835">
        <v>0</v>
      </c>
      <c r="AT57" s="835">
        <v>0</v>
      </c>
      <c r="AU57" s="835">
        <v>0</v>
      </c>
      <c r="AV57" s="835">
        <v>6925175</v>
      </c>
      <c r="AW57" s="835">
        <v>0</v>
      </c>
      <c r="AX57" s="835">
        <v>0</v>
      </c>
      <c r="AY57" s="835">
        <v>0</v>
      </c>
      <c r="AZ57" s="835">
        <v>0</v>
      </c>
      <c r="BA57" s="835">
        <v>6931100</v>
      </c>
      <c r="BB57" s="835">
        <v>0</v>
      </c>
      <c r="BC57" s="835">
        <v>0</v>
      </c>
      <c r="BD57" s="835">
        <v>2239221</v>
      </c>
      <c r="BE57" s="835">
        <v>0</v>
      </c>
      <c r="BF57" s="835">
        <v>28282747</v>
      </c>
      <c r="BG57" s="835">
        <v>445715</v>
      </c>
      <c r="BH57" s="835">
        <v>0</v>
      </c>
      <c r="BI57" s="835">
        <v>0</v>
      </c>
      <c r="BJ57" s="835">
        <v>0</v>
      </c>
      <c r="BK57" s="835">
        <v>0</v>
      </c>
      <c r="BL57" s="835">
        <v>7426342</v>
      </c>
      <c r="BM57" s="835">
        <v>0</v>
      </c>
      <c r="BN57" s="835">
        <v>0</v>
      </c>
      <c r="BO57" s="835">
        <v>0</v>
      </c>
      <c r="BP57" s="835">
        <v>0</v>
      </c>
      <c r="BQ57" s="835">
        <v>0</v>
      </c>
      <c r="BR57" s="835">
        <v>0</v>
      </c>
      <c r="BS57" s="835">
        <v>0</v>
      </c>
      <c r="BT57" s="835">
        <v>0</v>
      </c>
      <c r="BU57" s="835">
        <v>0</v>
      </c>
      <c r="BV57" s="835">
        <v>0</v>
      </c>
      <c r="BW57" s="835">
        <v>0</v>
      </c>
      <c r="BX57" s="835">
        <v>0</v>
      </c>
      <c r="BY57" s="835">
        <v>0</v>
      </c>
      <c r="BZ57" s="835">
        <v>0</v>
      </c>
      <c r="CA57" s="835">
        <v>0</v>
      </c>
      <c r="CB57" s="835">
        <v>0</v>
      </c>
    </row>
    <row r="58" spans="1:80" x14ac:dyDescent="0.25">
      <c r="A58" s="787">
        <v>98</v>
      </c>
      <c r="B58" s="846">
        <v>98</v>
      </c>
      <c r="C58" s="832" t="s">
        <v>308</v>
      </c>
      <c r="D58" s="860" t="s">
        <v>429</v>
      </c>
      <c r="E58" s="829">
        <v>0</v>
      </c>
      <c r="F58" s="798">
        <v>0</v>
      </c>
      <c r="G58" s="798">
        <v>0</v>
      </c>
      <c r="H58" s="798">
        <v>0</v>
      </c>
      <c r="I58" s="798">
        <v>0</v>
      </c>
      <c r="J58" s="798">
        <v>0</v>
      </c>
      <c r="K58" s="800">
        <v>0</v>
      </c>
      <c r="L58" s="835">
        <v>0</v>
      </c>
      <c r="M58" s="835">
        <v>0</v>
      </c>
      <c r="N58" s="830">
        <v>0</v>
      </c>
      <c r="O58" s="830">
        <v>0</v>
      </c>
      <c r="P58" s="830">
        <v>0</v>
      </c>
      <c r="Q58" s="830">
        <v>0</v>
      </c>
      <c r="R58" s="830">
        <v>0</v>
      </c>
      <c r="S58" s="830">
        <v>0</v>
      </c>
      <c r="T58" s="830">
        <v>10380</v>
      </c>
      <c r="U58" s="830">
        <v>0</v>
      </c>
      <c r="V58" s="830">
        <v>52667</v>
      </c>
      <c r="W58" s="830">
        <v>0</v>
      </c>
      <c r="X58" s="830">
        <v>0</v>
      </c>
      <c r="Y58" s="830">
        <v>0</v>
      </c>
      <c r="Z58" s="830">
        <v>0</v>
      </c>
      <c r="AA58" s="835">
        <v>4352</v>
      </c>
      <c r="AB58" s="835">
        <v>0</v>
      </c>
      <c r="AC58" s="835">
        <v>0</v>
      </c>
      <c r="AD58" s="835">
        <v>0</v>
      </c>
      <c r="AE58" s="835">
        <v>0</v>
      </c>
      <c r="AF58" s="835">
        <v>10896</v>
      </c>
      <c r="AG58" s="835">
        <v>0</v>
      </c>
      <c r="AH58" s="835">
        <v>0</v>
      </c>
      <c r="AI58" s="835">
        <v>0</v>
      </c>
      <c r="AJ58" s="835">
        <v>0</v>
      </c>
      <c r="AK58" s="835">
        <v>27105</v>
      </c>
      <c r="AL58" s="835">
        <v>0</v>
      </c>
      <c r="AM58" s="835">
        <v>0</v>
      </c>
      <c r="AN58" s="835">
        <v>0</v>
      </c>
      <c r="AO58" s="835">
        <v>0</v>
      </c>
      <c r="AP58" s="835">
        <v>0</v>
      </c>
      <c r="AQ58" s="835">
        <v>0</v>
      </c>
      <c r="AR58" s="835">
        <v>155722</v>
      </c>
      <c r="AS58" s="835">
        <v>0</v>
      </c>
      <c r="AT58" s="835">
        <v>0</v>
      </c>
      <c r="AU58" s="835">
        <v>0</v>
      </c>
      <c r="AV58" s="835">
        <v>0</v>
      </c>
      <c r="AW58" s="835">
        <v>0</v>
      </c>
      <c r="AX58" s="835">
        <v>0</v>
      </c>
      <c r="AY58" s="835">
        <v>0</v>
      </c>
      <c r="AZ58" s="835">
        <v>0</v>
      </c>
      <c r="BA58" s="835">
        <v>15707</v>
      </c>
      <c r="BB58" s="835">
        <v>0</v>
      </c>
      <c r="BC58" s="835">
        <v>0</v>
      </c>
      <c r="BD58" s="835">
        <v>0</v>
      </c>
      <c r="BE58" s="835">
        <v>0</v>
      </c>
      <c r="BF58" s="835">
        <v>13937</v>
      </c>
      <c r="BG58" s="835">
        <v>0</v>
      </c>
      <c r="BH58" s="835">
        <v>0</v>
      </c>
      <c r="BI58" s="835">
        <v>0</v>
      </c>
      <c r="BJ58" s="835">
        <v>0</v>
      </c>
      <c r="BK58" s="835">
        <v>0</v>
      </c>
      <c r="BL58" s="835">
        <v>0</v>
      </c>
      <c r="BM58" s="835">
        <v>0</v>
      </c>
      <c r="BN58" s="835">
        <v>0</v>
      </c>
      <c r="BO58" s="835">
        <v>0</v>
      </c>
      <c r="BP58" s="835">
        <v>0</v>
      </c>
      <c r="BQ58" s="835">
        <v>0</v>
      </c>
      <c r="BR58" s="835">
        <v>0</v>
      </c>
      <c r="BS58" s="835">
        <v>0</v>
      </c>
      <c r="BT58" s="835">
        <v>0</v>
      </c>
      <c r="BU58" s="835">
        <v>0</v>
      </c>
      <c r="BV58" s="835">
        <v>0</v>
      </c>
      <c r="BW58" s="835">
        <v>0</v>
      </c>
      <c r="BX58" s="835">
        <v>0</v>
      </c>
      <c r="BY58" s="835">
        <v>0</v>
      </c>
      <c r="BZ58" s="835">
        <v>0</v>
      </c>
      <c r="CA58" s="835">
        <v>0</v>
      </c>
      <c r="CB58" s="835">
        <v>0</v>
      </c>
    </row>
    <row r="59" spans="1:80" x14ac:dyDescent="0.25">
      <c r="A59" s="787">
        <v>99</v>
      </c>
      <c r="B59" s="846">
        <v>99</v>
      </c>
      <c r="C59" s="832" t="s">
        <v>305</v>
      </c>
      <c r="D59" s="860" t="s">
        <v>430</v>
      </c>
      <c r="E59" s="829">
        <v>0</v>
      </c>
      <c r="F59" s="798">
        <v>0</v>
      </c>
      <c r="G59" s="798">
        <v>0</v>
      </c>
      <c r="H59" s="798">
        <v>0</v>
      </c>
      <c r="I59" s="798">
        <v>0</v>
      </c>
      <c r="J59" s="798">
        <v>0</v>
      </c>
      <c r="K59" s="800">
        <v>0</v>
      </c>
      <c r="L59" s="835">
        <v>0</v>
      </c>
      <c r="M59" s="835">
        <v>0</v>
      </c>
      <c r="N59" s="830">
        <v>0</v>
      </c>
      <c r="O59" s="830">
        <v>0</v>
      </c>
      <c r="P59" s="830">
        <v>0</v>
      </c>
      <c r="Q59" s="830">
        <v>0</v>
      </c>
      <c r="R59" s="830">
        <v>0</v>
      </c>
      <c r="S59" s="830">
        <v>0</v>
      </c>
      <c r="T59" s="830">
        <v>7991964</v>
      </c>
      <c r="U59" s="830">
        <v>0</v>
      </c>
      <c r="V59" s="830">
        <v>38467200</v>
      </c>
      <c r="W59" s="830">
        <v>0</v>
      </c>
      <c r="X59" s="830">
        <v>0</v>
      </c>
      <c r="Y59" s="830">
        <v>0</v>
      </c>
      <c r="Z59" s="830">
        <v>0</v>
      </c>
      <c r="AA59" s="835">
        <v>2304683</v>
      </c>
      <c r="AB59" s="835">
        <v>452815</v>
      </c>
      <c r="AC59" s="835">
        <v>0</v>
      </c>
      <c r="AD59" s="835">
        <v>0</v>
      </c>
      <c r="AE59" s="835">
        <v>0</v>
      </c>
      <c r="AF59" s="835">
        <v>4086309</v>
      </c>
      <c r="AG59" s="835">
        <v>0</v>
      </c>
      <c r="AH59" s="835">
        <v>0</v>
      </c>
      <c r="AI59" s="835">
        <v>0</v>
      </c>
      <c r="AJ59" s="835">
        <v>0</v>
      </c>
      <c r="AK59" s="835">
        <v>10969298</v>
      </c>
      <c r="AL59" s="835">
        <v>0</v>
      </c>
      <c r="AM59" s="835">
        <v>0</v>
      </c>
      <c r="AN59" s="835">
        <v>0</v>
      </c>
      <c r="AO59" s="835">
        <v>0</v>
      </c>
      <c r="AP59" s="835">
        <v>0</v>
      </c>
      <c r="AQ59" s="835">
        <v>0</v>
      </c>
      <c r="AR59" s="835">
        <v>38458043</v>
      </c>
      <c r="AS59" s="835">
        <v>0</v>
      </c>
      <c r="AT59" s="835">
        <v>0</v>
      </c>
      <c r="AU59" s="835">
        <v>0</v>
      </c>
      <c r="AV59" s="835">
        <v>5772554</v>
      </c>
      <c r="AW59" s="835">
        <v>0</v>
      </c>
      <c r="AX59" s="835">
        <v>0</v>
      </c>
      <c r="AY59" s="835">
        <v>0</v>
      </c>
      <c r="AZ59" s="835">
        <v>0</v>
      </c>
      <c r="BA59" s="835">
        <v>4317233</v>
      </c>
      <c r="BB59" s="835">
        <v>0</v>
      </c>
      <c r="BC59" s="835">
        <v>0</v>
      </c>
      <c r="BD59" s="835">
        <v>1536083</v>
      </c>
      <c r="BE59" s="835">
        <v>0</v>
      </c>
      <c r="BF59" s="835">
        <v>23862928</v>
      </c>
      <c r="BG59" s="835">
        <v>279993</v>
      </c>
      <c r="BH59" s="835">
        <v>0</v>
      </c>
      <c r="BI59" s="835">
        <v>0</v>
      </c>
      <c r="BJ59" s="835">
        <v>0</v>
      </c>
      <c r="BK59" s="835">
        <v>0</v>
      </c>
      <c r="BL59" s="835">
        <v>6383329</v>
      </c>
      <c r="BM59" s="835">
        <v>0</v>
      </c>
      <c r="BN59" s="835">
        <v>0</v>
      </c>
      <c r="BO59" s="835">
        <v>0</v>
      </c>
      <c r="BP59" s="835">
        <v>0</v>
      </c>
      <c r="BQ59" s="835">
        <v>0</v>
      </c>
      <c r="BR59" s="835">
        <v>0</v>
      </c>
      <c r="BS59" s="835">
        <v>0</v>
      </c>
      <c r="BT59" s="835">
        <v>0</v>
      </c>
      <c r="BU59" s="835">
        <v>0</v>
      </c>
      <c r="BV59" s="835">
        <v>0</v>
      </c>
      <c r="BW59" s="835">
        <v>0</v>
      </c>
      <c r="BX59" s="835">
        <v>0</v>
      </c>
      <c r="BY59" s="835">
        <v>0</v>
      </c>
      <c r="BZ59" s="835">
        <v>0</v>
      </c>
      <c r="CA59" s="835">
        <v>0</v>
      </c>
      <c r="CB59" s="835">
        <v>0</v>
      </c>
    </row>
    <row r="60" spans="1:80" x14ac:dyDescent="0.25">
      <c r="A60" s="787">
        <v>100</v>
      </c>
      <c r="B60" s="846">
        <v>100</v>
      </c>
      <c r="C60" s="832" t="s">
        <v>318</v>
      </c>
      <c r="D60" s="860" t="s">
        <v>431</v>
      </c>
      <c r="E60" s="829">
        <v>0</v>
      </c>
      <c r="F60" s="798">
        <v>0</v>
      </c>
      <c r="G60" s="798">
        <v>0</v>
      </c>
      <c r="H60" s="798">
        <v>0</v>
      </c>
      <c r="I60" s="798">
        <v>0</v>
      </c>
      <c r="J60" s="798">
        <v>0</v>
      </c>
      <c r="K60" s="800">
        <v>0</v>
      </c>
      <c r="L60" s="835">
        <v>0</v>
      </c>
      <c r="M60" s="835">
        <v>0</v>
      </c>
      <c r="N60" s="830">
        <v>0</v>
      </c>
      <c r="O60" s="830">
        <v>0</v>
      </c>
      <c r="P60" s="830">
        <v>0</v>
      </c>
      <c r="Q60" s="830">
        <v>0</v>
      </c>
      <c r="R60" s="830">
        <v>0</v>
      </c>
      <c r="S60" s="830">
        <v>0</v>
      </c>
      <c r="T60" s="830">
        <v>432587</v>
      </c>
      <c r="U60" s="830">
        <v>0</v>
      </c>
      <c r="V60" s="830">
        <v>761943</v>
      </c>
      <c r="W60" s="830">
        <v>0</v>
      </c>
      <c r="X60" s="830">
        <v>0</v>
      </c>
      <c r="Y60" s="830">
        <v>0</v>
      </c>
      <c r="Z60" s="830">
        <v>0</v>
      </c>
      <c r="AA60" s="835">
        <v>34200</v>
      </c>
      <c r="AB60" s="835">
        <v>0</v>
      </c>
      <c r="AC60" s="835">
        <v>0</v>
      </c>
      <c r="AD60" s="835">
        <v>0</v>
      </c>
      <c r="AE60" s="835">
        <v>0</v>
      </c>
      <c r="AF60" s="835">
        <v>10896</v>
      </c>
      <c r="AG60" s="835">
        <v>0</v>
      </c>
      <c r="AH60" s="835">
        <v>0</v>
      </c>
      <c r="AI60" s="835">
        <v>0</v>
      </c>
      <c r="AJ60" s="835">
        <v>0</v>
      </c>
      <c r="AK60" s="835">
        <v>70945</v>
      </c>
      <c r="AL60" s="835">
        <v>0</v>
      </c>
      <c r="AM60" s="835">
        <v>0</v>
      </c>
      <c r="AN60" s="835">
        <v>0</v>
      </c>
      <c r="AO60" s="835">
        <v>0</v>
      </c>
      <c r="AP60" s="835">
        <v>0</v>
      </c>
      <c r="AQ60" s="835">
        <v>0</v>
      </c>
      <c r="AR60" s="835">
        <v>939302</v>
      </c>
      <c r="AS60" s="835">
        <v>0</v>
      </c>
      <c r="AT60" s="835">
        <v>0</v>
      </c>
      <c r="AU60" s="835">
        <v>0</v>
      </c>
      <c r="AV60" s="835">
        <v>0</v>
      </c>
      <c r="AW60" s="835">
        <v>0</v>
      </c>
      <c r="AX60" s="835">
        <v>0</v>
      </c>
      <c r="AY60" s="835">
        <v>0</v>
      </c>
      <c r="AZ60" s="835">
        <v>0</v>
      </c>
      <c r="BA60" s="835">
        <v>107593</v>
      </c>
      <c r="BB60" s="835">
        <v>0</v>
      </c>
      <c r="BC60" s="835">
        <v>0</v>
      </c>
      <c r="BD60" s="835">
        <v>0</v>
      </c>
      <c r="BE60" s="835">
        <v>0</v>
      </c>
      <c r="BF60" s="835">
        <v>169519</v>
      </c>
      <c r="BG60" s="835">
        <v>0</v>
      </c>
      <c r="BH60" s="835">
        <v>0</v>
      </c>
      <c r="BI60" s="835">
        <v>0</v>
      </c>
      <c r="BJ60" s="835">
        <v>0</v>
      </c>
      <c r="BK60" s="835">
        <v>0</v>
      </c>
      <c r="BL60" s="835">
        <v>0</v>
      </c>
      <c r="BM60" s="835">
        <v>0</v>
      </c>
      <c r="BN60" s="835">
        <v>0</v>
      </c>
      <c r="BO60" s="835">
        <v>0</v>
      </c>
      <c r="BP60" s="835">
        <v>0</v>
      </c>
      <c r="BQ60" s="835">
        <v>0</v>
      </c>
      <c r="BR60" s="835">
        <v>0</v>
      </c>
      <c r="BS60" s="835">
        <v>0</v>
      </c>
      <c r="BT60" s="835">
        <v>0</v>
      </c>
      <c r="BU60" s="835">
        <v>0</v>
      </c>
      <c r="BV60" s="835">
        <v>0</v>
      </c>
      <c r="BW60" s="835">
        <v>0</v>
      </c>
      <c r="BX60" s="835">
        <v>0</v>
      </c>
      <c r="BY60" s="835">
        <v>0</v>
      </c>
      <c r="BZ60" s="835">
        <v>0</v>
      </c>
      <c r="CA60" s="835">
        <v>0</v>
      </c>
      <c r="CB60" s="835">
        <v>0</v>
      </c>
    </row>
    <row r="61" spans="1:80" x14ac:dyDescent="0.25">
      <c r="A61" s="787">
        <v>101</v>
      </c>
      <c r="B61" s="846">
        <v>101</v>
      </c>
      <c r="C61" s="832" t="s">
        <v>317</v>
      </c>
      <c r="D61" s="860" t="s">
        <v>432</v>
      </c>
      <c r="E61" s="829">
        <v>0</v>
      </c>
      <c r="F61" s="798">
        <v>0</v>
      </c>
      <c r="G61" s="798">
        <v>0</v>
      </c>
      <c r="H61" s="798">
        <v>0</v>
      </c>
      <c r="I61" s="798">
        <v>0</v>
      </c>
      <c r="J61" s="798">
        <v>0</v>
      </c>
      <c r="K61" s="800">
        <v>0</v>
      </c>
      <c r="L61" s="835">
        <v>0</v>
      </c>
      <c r="M61" s="835">
        <v>0</v>
      </c>
      <c r="N61" s="830">
        <v>0</v>
      </c>
      <c r="O61" s="830">
        <v>0</v>
      </c>
      <c r="P61" s="830">
        <v>0</v>
      </c>
      <c r="Q61" s="830">
        <v>0</v>
      </c>
      <c r="R61" s="830">
        <v>0</v>
      </c>
      <c r="S61" s="830">
        <v>0</v>
      </c>
      <c r="T61" s="830">
        <v>759407</v>
      </c>
      <c r="U61" s="830">
        <v>0</v>
      </c>
      <c r="V61" s="830">
        <v>1573890</v>
      </c>
      <c r="W61" s="830">
        <v>0</v>
      </c>
      <c r="X61" s="830">
        <v>0</v>
      </c>
      <c r="Y61" s="830">
        <v>0</v>
      </c>
      <c r="Z61" s="830">
        <v>0</v>
      </c>
      <c r="AA61" s="835">
        <v>199478</v>
      </c>
      <c r="AB61" s="835">
        <v>28182</v>
      </c>
      <c r="AC61" s="835">
        <v>0</v>
      </c>
      <c r="AD61" s="835">
        <v>0</v>
      </c>
      <c r="AE61" s="835">
        <v>0</v>
      </c>
      <c r="AF61" s="835">
        <v>541024</v>
      </c>
      <c r="AG61" s="835">
        <v>0</v>
      </c>
      <c r="AH61" s="835">
        <v>0</v>
      </c>
      <c r="AI61" s="835">
        <v>0</v>
      </c>
      <c r="AJ61" s="835">
        <v>0</v>
      </c>
      <c r="AK61" s="835">
        <v>642566</v>
      </c>
      <c r="AL61" s="835">
        <v>0</v>
      </c>
      <c r="AM61" s="835">
        <v>0</v>
      </c>
      <c r="AN61" s="835">
        <v>0</v>
      </c>
      <c r="AO61" s="835">
        <v>0</v>
      </c>
      <c r="AP61" s="835">
        <v>0</v>
      </c>
      <c r="AQ61" s="835">
        <v>0</v>
      </c>
      <c r="AR61" s="835">
        <v>619966</v>
      </c>
      <c r="AS61" s="835">
        <v>0</v>
      </c>
      <c r="AT61" s="835">
        <v>0</v>
      </c>
      <c r="AU61" s="835">
        <v>0</v>
      </c>
      <c r="AV61" s="835">
        <v>343144</v>
      </c>
      <c r="AW61" s="835">
        <v>0</v>
      </c>
      <c r="AX61" s="835">
        <v>0</v>
      </c>
      <c r="AY61" s="835">
        <v>0</v>
      </c>
      <c r="AZ61" s="835">
        <v>0</v>
      </c>
      <c r="BA61" s="835">
        <v>236348</v>
      </c>
      <c r="BB61" s="835">
        <v>0</v>
      </c>
      <c r="BC61" s="835">
        <v>0</v>
      </c>
      <c r="BD61" s="835">
        <v>0</v>
      </c>
      <c r="BE61" s="835">
        <v>0</v>
      </c>
      <c r="BF61" s="835">
        <v>1069813</v>
      </c>
      <c r="BG61" s="835">
        <v>0</v>
      </c>
      <c r="BH61" s="835">
        <v>0</v>
      </c>
      <c r="BI61" s="835">
        <v>0</v>
      </c>
      <c r="BJ61" s="835">
        <v>0</v>
      </c>
      <c r="BK61" s="835">
        <v>0</v>
      </c>
      <c r="BL61" s="835">
        <v>232510</v>
      </c>
      <c r="BM61" s="835">
        <v>0</v>
      </c>
      <c r="BN61" s="835">
        <v>0</v>
      </c>
      <c r="BO61" s="835">
        <v>0</v>
      </c>
      <c r="BP61" s="835">
        <v>0</v>
      </c>
      <c r="BQ61" s="835">
        <v>0</v>
      </c>
      <c r="BR61" s="835">
        <v>0</v>
      </c>
      <c r="BS61" s="835">
        <v>0</v>
      </c>
      <c r="BT61" s="835">
        <v>0</v>
      </c>
      <c r="BU61" s="835">
        <v>0</v>
      </c>
      <c r="BV61" s="835">
        <v>0</v>
      </c>
      <c r="BW61" s="835">
        <v>0</v>
      </c>
      <c r="BX61" s="835">
        <v>0</v>
      </c>
      <c r="BY61" s="835">
        <v>0</v>
      </c>
      <c r="BZ61" s="835">
        <v>0</v>
      </c>
      <c r="CA61" s="835">
        <v>0</v>
      </c>
      <c r="CB61" s="835">
        <v>0</v>
      </c>
    </row>
    <row r="62" spans="1:80" x14ac:dyDescent="0.25">
      <c r="A62" s="787">
        <v>102</v>
      </c>
      <c r="B62" s="846">
        <v>102</v>
      </c>
      <c r="C62" s="832" t="s">
        <v>336</v>
      </c>
      <c r="D62" s="860" t="s">
        <v>433</v>
      </c>
      <c r="E62" s="797">
        <v>98.99</v>
      </c>
      <c r="F62" s="796">
        <v>99.82</v>
      </c>
      <c r="G62" s="796">
        <v>93.72</v>
      </c>
      <c r="H62" s="796">
        <v>98.85</v>
      </c>
      <c r="I62" s="796">
        <v>99.6</v>
      </c>
      <c r="J62" s="796">
        <v>87.93</v>
      </c>
      <c r="K62" s="785">
        <v>94.36</v>
      </c>
      <c r="L62" s="784">
        <v>96.79</v>
      </c>
      <c r="M62" s="784">
        <v>98.46</v>
      </c>
      <c r="N62" s="783">
        <v>92.17</v>
      </c>
      <c r="O62" s="783">
        <v>98.58</v>
      </c>
      <c r="P62" s="783">
        <v>99.52</v>
      </c>
      <c r="Q62" s="783">
        <v>99.22</v>
      </c>
      <c r="R62" s="783">
        <v>99.54</v>
      </c>
      <c r="S62" s="783">
        <v>98.3</v>
      </c>
      <c r="T62" s="783">
        <v>99.18</v>
      </c>
      <c r="U62" s="783">
        <v>86.34</v>
      </c>
      <c r="V62" s="783">
        <v>96.98</v>
      </c>
      <c r="W62" s="783">
        <v>96.47</v>
      </c>
      <c r="X62" s="783">
        <v>99.35</v>
      </c>
      <c r="Y62" s="783">
        <v>99.88</v>
      </c>
      <c r="Z62" s="783">
        <v>99.85</v>
      </c>
      <c r="AA62" s="784">
        <v>94.24</v>
      </c>
      <c r="AB62" s="784">
        <v>98.53</v>
      </c>
      <c r="AC62" s="784">
        <v>99.44</v>
      </c>
      <c r="AD62" s="784">
        <v>99.67</v>
      </c>
      <c r="AE62" s="784">
        <v>99.18</v>
      </c>
      <c r="AF62" s="784">
        <v>96.74</v>
      </c>
      <c r="AG62" s="784">
        <v>89.72</v>
      </c>
      <c r="AH62" s="784">
        <v>95.44</v>
      </c>
      <c r="AI62" s="784">
        <v>97.61</v>
      </c>
      <c r="AJ62" s="784">
        <v>99.41</v>
      </c>
      <c r="AK62" s="784">
        <v>93.54</v>
      </c>
      <c r="AL62" s="784">
        <v>95.28</v>
      </c>
      <c r="AM62" s="784">
        <v>94.52</v>
      </c>
      <c r="AN62" s="784">
        <v>99.29</v>
      </c>
      <c r="AO62" s="784">
        <v>96.25</v>
      </c>
      <c r="AP62" s="784">
        <v>93.38</v>
      </c>
      <c r="AQ62" s="784">
        <v>99.58</v>
      </c>
      <c r="AR62" s="784">
        <v>96.82</v>
      </c>
      <c r="AS62" s="784">
        <v>98.53</v>
      </c>
      <c r="AT62" s="784">
        <v>95.28</v>
      </c>
      <c r="AU62" s="784">
        <v>99.77</v>
      </c>
      <c r="AV62" s="784">
        <v>97.93</v>
      </c>
      <c r="AW62" s="784">
        <v>98.16</v>
      </c>
      <c r="AX62" s="784">
        <v>97.1</v>
      </c>
      <c r="AY62" s="784">
        <v>97.94</v>
      </c>
      <c r="AZ62" s="784">
        <v>96.58</v>
      </c>
      <c r="BA62" s="784">
        <v>98.8</v>
      </c>
      <c r="BB62" s="784">
        <v>84.28</v>
      </c>
      <c r="BC62" s="784">
        <v>98.96</v>
      </c>
      <c r="BD62" s="784">
        <v>95.06</v>
      </c>
      <c r="BE62" s="784">
        <v>95.74</v>
      </c>
      <c r="BF62" s="784">
        <v>94.14</v>
      </c>
      <c r="BG62" s="784">
        <v>89.65</v>
      </c>
      <c r="BH62" s="784">
        <v>97.94</v>
      </c>
      <c r="BI62" s="784">
        <v>98.45</v>
      </c>
      <c r="BJ62" s="784">
        <v>98.23</v>
      </c>
      <c r="BK62" s="784">
        <v>86.31</v>
      </c>
      <c r="BL62" s="784">
        <v>99.62</v>
      </c>
      <c r="BM62" s="784">
        <v>99.46</v>
      </c>
      <c r="BN62" s="784">
        <v>0</v>
      </c>
      <c r="BO62" s="784">
        <v>98.85</v>
      </c>
      <c r="BP62" s="784">
        <v>96</v>
      </c>
      <c r="BQ62" s="784">
        <v>96.27</v>
      </c>
      <c r="BR62" s="784">
        <v>97.85</v>
      </c>
      <c r="BS62" s="784">
        <v>99.84</v>
      </c>
      <c r="BT62" s="784">
        <v>99.59</v>
      </c>
      <c r="BU62" s="784">
        <v>83.39</v>
      </c>
      <c r="BV62" s="784">
        <v>99.18</v>
      </c>
      <c r="BW62" s="784">
        <v>95.7</v>
      </c>
      <c r="BX62" s="784">
        <v>99.74</v>
      </c>
      <c r="BY62" s="784">
        <v>95.46</v>
      </c>
      <c r="BZ62" s="784">
        <v>97.84</v>
      </c>
      <c r="CA62" s="784">
        <v>99.68</v>
      </c>
      <c r="CB62" s="784">
        <v>83.83</v>
      </c>
    </row>
    <row r="63" spans="1:80" x14ac:dyDescent="0.25">
      <c r="A63" s="787">
        <v>103</v>
      </c>
      <c r="B63" s="846">
        <v>103</v>
      </c>
      <c r="C63" s="832" t="s">
        <v>337</v>
      </c>
      <c r="D63" s="860" t="s">
        <v>434</v>
      </c>
      <c r="E63" s="797">
        <v>100</v>
      </c>
      <c r="F63" s="796">
        <v>100</v>
      </c>
      <c r="G63" s="796">
        <v>100</v>
      </c>
      <c r="H63" s="796">
        <v>100</v>
      </c>
      <c r="I63" s="796">
        <v>100</v>
      </c>
      <c r="J63" s="796">
        <v>98.53</v>
      </c>
      <c r="K63" s="785">
        <v>100</v>
      </c>
      <c r="L63" s="784">
        <v>100</v>
      </c>
      <c r="M63" s="784">
        <v>100</v>
      </c>
      <c r="N63" s="783">
        <v>100</v>
      </c>
      <c r="O63" s="783">
        <v>100</v>
      </c>
      <c r="P63" s="783">
        <v>100</v>
      </c>
      <c r="Q63" s="783">
        <v>100</v>
      </c>
      <c r="R63" s="783">
        <v>100</v>
      </c>
      <c r="S63" s="783">
        <v>99.95</v>
      </c>
      <c r="T63" s="783">
        <v>100</v>
      </c>
      <c r="U63" s="783">
        <v>100</v>
      </c>
      <c r="V63" s="783">
        <v>100</v>
      </c>
      <c r="W63" s="783">
        <v>100</v>
      </c>
      <c r="X63" s="783">
        <v>100</v>
      </c>
      <c r="Y63" s="783">
        <v>99.57</v>
      </c>
      <c r="Z63" s="783">
        <v>100</v>
      </c>
      <c r="AA63" s="784">
        <v>100</v>
      </c>
      <c r="AB63" s="784">
        <v>100</v>
      </c>
      <c r="AC63" s="784">
        <v>100</v>
      </c>
      <c r="AD63" s="784">
        <v>100</v>
      </c>
      <c r="AE63" s="784">
        <v>100</v>
      </c>
      <c r="AF63" s="784">
        <v>100</v>
      </c>
      <c r="AG63" s="784">
        <v>100</v>
      </c>
      <c r="AH63" s="784">
        <v>100</v>
      </c>
      <c r="AI63" s="784">
        <v>100</v>
      </c>
      <c r="AJ63" s="784">
        <v>99.88</v>
      </c>
      <c r="AK63" s="784">
        <v>100</v>
      </c>
      <c r="AL63" s="784">
        <v>100</v>
      </c>
      <c r="AM63" s="784">
        <v>100</v>
      </c>
      <c r="AN63" s="784">
        <v>100</v>
      </c>
      <c r="AO63" s="784">
        <v>100</v>
      </c>
      <c r="AP63" s="784">
        <v>100</v>
      </c>
      <c r="AQ63" s="784">
        <v>100</v>
      </c>
      <c r="AR63" s="784">
        <v>100</v>
      </c>
      <c r="AS63" s="784">
        <v>99.99</v>
      </c>
      <c r="AT63" s="784">
        <v>100</v>
      </c>
      <c r="AU63" s="784">
        <v>100</v>
      </c>
      <c r="AV63" s="784">
        <v>100</v>
      </c>
      <c r="AW63" s="784">
        <v>100</v>
      </c>
      <c r="AX63" s="784">
        <v>100</v>
      </c>
      <c r="AY63" s="784">
        <v>100</v>
      </c>
      <c r="AZ63" s="784">
        <v>100</v>
      </c>
      <c r="BA63" s="784">
        <v>100</v>
      </c>
      <c r="BB63" s="784">
        <v>100</v>
      </c>
      <c r="BC63" s="784">
        <v>100</v>
      </c>
      <c r="BD63" s="784">
        <v>100</v>
      </c>
      <c r="BE63" s="784">
        <v>100</v>
      </c>
      <c r="BF63" s="784">
        <v>100</v>
      </c>
      <c r="BG63" s="784">
        <v>100</v>
      </c>
      <c r="BH63" s="784">
        <v>99.86</v>
      </c>
      <c r="BI63" s="784">
        <v>100</v>
      </c>
      <c r="BJ63" s="784">
        <v>99.63</v>
      </c>
      <c r="BK63" s="784">
        <v>100</v>
      </c>
      <c r="BL63" s="784">
        <v>100</v>
      </c>
      <c r="BM63" s="784">
        <v>100</v>
      </c>
      <c r="BN63" s="784">
        <v>0</v>
      </c>
      <c r="BO63" s="784">
        <v>100</v>
      </c>
      <c r="BP63" s="784">
        <v>100</v>
      </c>
      <c r="BQ63" s="784">
        <v>100</v>
      </c>
      <c r="BR63" s="784">
        <v>100</v>
      </c>
      <c r="BS63" s="784">
        <v>99.8</v>
      </c>
      <c r="BT63" s="784">
        <v>100</v>
      </c>
      <c r="BU63" s="784">
        <v>97.89</v>
      </c>
      <c r="BV63" s="784">
        <v>100</v>
      </c>
      <c r="BW63" s="784">
        <v>96.4</v>
      </c>
      <c r="BX63" s="784">
        <v>100</v>
      </c>
      <c r="BY63" s="784">
        <v>100</v>
      </c>
      <c r="BZ63" s="784">
        <v>100</v>
      </c>
      <c r="CA63" s="784">
        <v>100</v>
      </c>
      <c r="CB63" s="784">
        <v>100</v>
      </c>
    </row>
    <row r="64" spans="1:80" x14ac:dyDescent="0.25">
      <c r="A64" s="860"/>
      <c r="B64" s="846">
        <v>104</v>
      </c>
      <c r="C64" s="786" t="s">
        <v>435</v>
      </c>
      <c r="D64" s="860" t="s">
        <v>436</v>
      </c>
      <c r="E64" s="829"/>
      <c r="F64" s="798"/>
      <c r="G64" s="798"/>
      <c r="H64" s="798"/>
      <c r="I64" s="798"/>
      <c r="J64" s="798"/>
      <c r="K64" s="800"/>
      <c r="L64" s="835"/>
      <c r="M64" s="835"/>
      <c r="N64" s="830"/>
      <c r="O64" s="830"/>
      <c r="P64" s="830"/>
      <c r="Q64" s="830"/>
      <c r="R64" s="830"/>
      <c r="S64" s="830"/>
      <c r="T64" s="830"/>
      <c r="U64" s="830"/>
      <c r="V64" s="830"/>
      <c r="W64" s="830"/>
      <c r="X64" s="830"/>
      <c r="Y64" s="830"/>
      <c r="Z64" s="830"/>
      <c r="AA64" s="835"/>
      <c r="AB64" s="835"/>
      <c r="AC64" s="835"/>
      <c r="AD64" s="835"/>
      <c r="AE64" s="835"/>
      <c r="AF64" s="835"/>
      <c r="AG64" s="835"/>
      <c r="AH64" s="835"/>
      <c r="AI64" s="835"/>
      <c r="AJ64" s="835"/>
      <c r="AK64" s="835"/>
      <c r="AL64" s="835"/>
      <c r="AM64" s="835"/>
      <c r="AN64" s="835"/>
      <c r="AO64" s="835"/>
      <c r="AP64" s="835"/>
      <c r="AQ64" s="835"/>
      <c r="AR64" s="835"/>
      <c r="AS64" s="835"/>
      <c r="AT64" s="835"/>
      <c r="AU64" s="835"/>
      <c r="AV64" s="835"/>
      <c r="AW64" s="835"/>
      <c r="AX64" s="835"/>
      <c r="AY64" s="835"/>
      <c r="AZ64" s="835"/>
      <c r="BA64" s="835"/>
      <c r="BB64" s="835"/>
      <c r="BC64" s="835"/>
      <c r="BD64" s="835"/>
      <c r="BE64" s="835"/>
      <c r="BF64" s="835"/>
      <c r="BG64" s="835"/>
      <c r="BH64" s="835"/>
      <c r="BI64" s="835"/>
      <c r="BJ64" s="835"/>
      <c r="BK64" s="835"/>
      <c r="BL64" s="835"/>
      <c r="BM64" s="835"/>
      <c r="BN64" s="835"/>
      <c r="BO64" s="835"/>
      <c r="BP64" s="835"/>
      <c r="BQ64" s="835"/>
      <c r="BR64" s="835"/>
      <c r="BS64" s="835"/>
      <c r="BT64" s="835"/>
      <c r="BU64" s="835"/>
      <c r="BV64" s="835"/>
      <c r="BW64" s="835"/>
      <c r="BX64" s="835"/>
      <c r="BY64" s="835"/>
      <c r="BZ64" s="835"/>
      <c r="CA64" s="835"/>
      <c r="CB64" s="835"/>
    </row>
    <row r="65" spans="1:80" x14ac:dyDescent="0.25">
      <c r="A65" s="860"/>
      <c r="B65" s="846">
        <v>107</v>
      </c>
      <c r="C65" s="786" t="s">
        <v>732</v>
      </c>
      <c r="D65" s="860" t="s">
        <v>437</v>
      </c>
      <c r="E65" s="829"/>
      <c r="F65" s="798"/>
      <c r="G65" s="798"/>
      <c r="H65" s="798"/>
      <c r="I65" s="798"/>
      <c r="J65" s="798"/>
      <c r="K65" s="800"/>
      <c r="L65" s="835"/>
      <c r="M65" s="835"/>
      <c r="N65" s="830"/>
      <c r="O65" s="830"/>
      <c r="P65" s="830"/>
      <c r="Q65" s="830"/>
      <c r="R65" s="830"/>
      <c r="S65" s="830"/>
      <c r="T65" s="830"/>
      <c r="U65" s="830"/>
      <c r="V65" s="830"/>
      <c r="W65" s="830"/>
      <c r="X65" s="830"/>
      <c r="Y65" s="830"/>
      <c r="Z65" s="830"/>
      <c r="AA65" s="835"/>
      <c r="AB65" s="835"/>
      <c r="AC65" s="835"/>
      <c r="AD65" s="835"/>
      <c r="AE65" s="835"/>
      <c r="AF65" s="835"/>
      <c r="AG65" s="835"/>
      <c r="AH65" s="835"/>
      <c r="AI65" s="835"/>
      <c r="AJ65" s="835"/>
      <c r="AK65" s="835"/>
      <c r="AL65" s="835"/>
      <c r="AM65" s="835"/>
      <c r="AN65" s="835"/>
      <c r="AO65" s="835"/>
      <c r="AP65" s="835"/>
      <c r="AQ65" s="835"/>
      <c r="AR65" s="835"/>
      <c r="AS65" s="835"/>
      <c r="AT65" s="835"/>
      <c r="AU65" s="835"/>
      <c r="AV65" s="835"/>
      <c r="AW65" s="835"/>
      <c r="AX65" s="835"/>
      <c r="AY65" s="835"/>
      <c r="AZ65" s="835"/>
      <c r="BA65" s="835"/>
      <c r="BB65" s="835"/>
      <c r="BC65" s="835"/>
      <c r="BD65" s="835"/>
      <c r="BE65" s="835"/>
      <c r="BF65" s="835"/>
      <c r="BG65" s="835"/>
      <c r="BH65" s="835"/>
      <c r="BI65" s="835"/>
      <c r="BJ65" s="835"/>
      <c r="BK65" s="835"/>
      <c r="BL65" s="835"/>
      <c r="BM65" s="835"/>
      <c r="BN65" s="835"/>
      <c r="BO65" s="835"/>
      <c r="BP65" s="835"/>
      <c r="BQ65" s="835"/>
      <c r="BR65" s="835"/>
      <c r="BS65" s="835"/>
      <c r="BT65" s="835"/>
      <c r="BU65" s="835"/>
      <c r="BV65" s="835"/>
      <c r="BW65" s="835"/>
      <c r="BX65" s="835"/>
      <c r="BY65" s="835"/>
      <c r="BZ65" s="835"/>
      <c r="CA65" s="835"/>
      <c r="CB65" s="835"/>
    </row>
    <row r="66" spans="1:80" ht="25.5" x14ac:dyDescent="0.25">
      <c r="A66" s="860"/>
      <c r="B66" s="846">
        <v>108</v>
      </c>
      <c r="C66" s="786" t="s">
        <v>733</v>
      </c>
      <c r="D66" s="860" t="s">
        <v>438</v>
      </c>
      <c r="E66" s="829"/>
      <c r="F66" s="798"/>
      <c r="G66" s="798"/>
      <c r="H66" s="798"/>
      <c r="I66" s="798"/>
      <c r="J66" s="798"/>
      <c r="K66" s="800"/>
      <c r="L66" s="835"/>
      <c r="M66" s="835"/>
      <c r="N66" s="830"/>
      <c r="O66" s="830"/>
      <c r="P66" s="830"/>
      <c r="Q66" s="830"/>
      <c r="R66" s="830"/>
      <c r="S66" s="830"/>
      <c r="T66" s="830"/>
      <c r="U66" s="830"/>
      <c r="V66" s="830"/>
      <c r="W66" s="830"/>
      <c r="X66" s="830"/>
      <c r="Y66" s="830"/>
      <c r="Z66" s="830"/>
      <c r="AA66" s="835"/>
      <c r="AB66" s="835"/>
      <c r="AC66" s="835"/>
      <c r="AD66" s="835"/>
      <c r="AE66" s="835"/>
      <c r="AF66" s="835"/>
      <c r="AG66" s="835"/>
      <c r="AH66" s="835"/>
      <c r="AI66" s="835"/>
      <c r="AJ66" s="835"/>
      <c r="AK66" s="835"/>
      <c r="AL66" s="835"/>
      <c r="AM66" s="835"/>
      <c r="AN66" s="835"/>
      <c r="AO66" s="835"/>
      <c r="AP66" s="835"/>
      <c r="AQ66" s="835"/>
      <c r="AR66" s="835"/>
      <c r="AS66" s="835"/>
      <c r="AT66" s="835"/>
      <c r="AU66" s="835"/>
      <c r="AV66" s="835"/>
      <c r="AW66" s="835"/>
      <c r="AX66" s="835"/>
      <c r="AY66" s="835"/>
      <c r="AZ66" s="835"/>
      <c r="BA66" s="835"/>
      <c r="BB66" s="835"/>
      <c r="BC66" s="835"/>
      <c r="BD66" s="835"/>
      <c r="BE66" s="835"/>
      <c r="BF66" s="835"/>
      <c r="BG66" s="835"/>
      <c r="BH66" s="835"/>
      <c r="BI66" s="835"/>
      <c r="BJ66" s="835"/>
      <c r="BK66" s="835"/>
      <c r="BL66" s="835"/>
      <c r="BM66" s="835"/>
      <c r="BN66" s="835"/>
      <c r="BO66" s="835"/>
      <c r="BP66" s="835"/>
      <c r="BQ66" s="835"/>
      <c r="BR66" s="835"/>
      <c r="BS66" s="835"/>
      <c r="BT66" s="835"/>
      <c r="BU66" s="835"/>
      <c r="BV66" s="835"/>
      <c r="BW66" s="835"/>
      <c r="BX66" s="835"/>
      <c r="BY66" s="835"/>
      <c r="BZ66" s="835"/>
      <c r="CA66" s="835"/>
      <c r="CB66" s="835"/>
    </row>
    <row r="67" spans="1:80" x14ac:dyDescent="0.25">
      <c r="A67" s="860"/>
      <c r="B67" s="846">
        <v>147</v>
      </c>
      <c r="C67" s="786" t="s">
        <v>439</v>
      </c>
      <c r="D67" s="860" t="s">
        <v>440</v>
      </c>
      <c r="E67" s="829"/>
      <c r="F67" s="798"/>
      <c r="G67" s="798"/>
      <c r="H67" s="798"/>
      <c r="I67" s="798"/>
      <c r="J67" s="798"/>
      <c r="K67" s="800"/>
      <c r="L67" s="835"/>
      <c r="M67" s="835"/>
      <c r="N67" s="830"/>
      <c r="O67" s="830"/>
      <c r="P67" s="830"/>
      <c r="Q67" s="830"/>
      <c r="R67" s="830"/>
      <c r="S67" s="830"/>
      <c r="T67" s="830"/>
      <c r="U67" s="830"/>
      <c r="V67" s="830"/>
      <c r="W67" s="830"/>
      <c r="X67" s="830"/>
      <c r="Y67" s="830"/>
      <c r="Z67" s="830"/>
      <c r="AA67" s="835"/>
      <c r="AB67" s="835"/>
      <c r="AC67" s="835"/>
      <c r="AD67" s="835"/>
      <c r="AE67" s="835"/>
      <c r="AF67" s="835"/>
      <c r="AG67" s="835"/>
      <c r="AH67" s="835"/>
      <c r="AI67" s="835"/>
      <c r="AJ67" s="835"/>
      <c r="AK67" s="835"/>
      <c r="AL67" s="835"/>
      <c r="AM67" s="835"/>
      <c r="AN67" s="835"/>
      <c r="AO67" s="835"/>
      <c r="AP67" s="835"/>
      <c r="AQ67" s="835"/>
      <c r="AR67" s="835"/>
      <c r="AS67" s="835"/>
      <c r="AT67" s="835"/>
      <c r="AU67" s="835"/>
      <c r="AV67" s="835"/>
      <c r="AW67" s="835"/>
      <c r="AX67" s="835"/>
      <c r="AY67" s="835"/>
      <c r="AZ67" s="835"/>
      <c r="BA67" s="835"/>
      <c r="BB67" s="835"/>
      <c r="BC67" s="835"/>
      <c r="BD67" s="835"/>
      <c r="BE67" s="835"/>
      <c r="BF67" s="835"/>
      <c r="BG67" s="835"/>
      <c r="BH67" s="835"/>
      <c r="BI67" s="835"/>
      <c r="BJ67" s="835"/>
      <c r="BK67" s="835"/>
      <c r="BL67" s="835"/>
      <c r="BM67" s="835"/>
      <c r="BN67" s="835"/>
      <c r="BO67" s="835"/>
      <c r="BP67" s="835"/>
      <c r="BQ67" s="835"/>
      <c r="BR67" s="835"/>
      <c r="BS67" s="835"/>
      <c r="BT67" s="835"/>
      <c r="BU67" s="835"/>
      <c r="BV67" s="835"/>
      <c r="BW67" s="835"/>
      <c r="BX67" s="835"/>
      <c r="BY67" s="835"/>
      <c r="BZ67" s="835"/>
      <c r="CA67" s="835"/>
      <c r="CB67" s="835"/>
    </row>
    <row r="68" spans="1:80" x14ac:dyDescent="0.25">
      <c r="A68" s="860"/>
      <c r="B68" s="846">
        <v>148</v>
      </c>
      <c r="C68" s="786" t="s">
        <v>441</v>
      </c>
      <c r="D68" s="860" t="s">
        <v>442</v>
      </c>
      <c r="E68" s="829"/>
      <c r="F68" s="798"/>
      <c r="G68" s="798"/>
      <c r="H68" s="798"/>
      <c r="I68" s="798"/>
      <c r="J68" s="798"/>
      <c r="K68" s="800"/>
      <c r="L68" s="835"/>
      <c r="M68" s="835"/>
      <c r="N68" s="830"/>
      <c r="O68" s="830"/>
      <c r="P68" s="830"/>
      <c r="Q68" s="830"/>
      <c r="R68" s="830"/>
      <c r="S68" s="830"/>
      <c r="T68" s="830"/>
      <c r="U68" s="830"/>
      <c r="V68" s="830"/>
      <c r="W68" s="830"/>
      <c r="X68" s="830"/>
      <c r="Y68" s="830"/>
      <c r="Z68" s="830"/>
      <c r="AA68" s="835"/>
      <c r="AB68" s="835"/>
      <c r="AC68" s="835"/>
      <c r="AD68" s="835"/>
      <c r="AE68" s="835"/>
      <c r="AF68" s="835"/>
      <c r="AG68" s="835"/>
      <c r="AH68" s="835"/>
      <c r="AI68" s="835"/>
      <c r="AJ68" s="835"/>
      <c r="AK68" s="835"/>
      <c r="AL68" s="835"/>
      <c r="AM68" s="835"/>
      <c r="AN68" s="835"/>
      <c r="AO68" s="835"/>
      <c r="AP68" s="835"/>
      <c r="AQ68" s="835"/>
      <c r="AR68" s="835"/>
      <c r="AS68" s="835"/>
      <c r="AT68" s="835"/>
      <c r="AU68" s="835"/>
      <c r="AV68" s="835"/>
      <c r="AW68" s="835"/>
      <c r="AX68" s="835"/>
      <c r="AY68" s="835"/>
      <c r="AZ68" s="835"/>
      <c r="BA68" s="835"/>
      <c r="BB68" s="835"/>
      <c r="BC68" s="835"/>
      <c r="BD68" s="835"/>
      <c r="BE68" s="835"/>
      <c r="BF68" s="835"/>
      <c r="BG68" s="835"/>
      <c r="BH68" s="835"/>
      <c r="BI68" s="835"/>
      <c r="BJ68" s="835"/>
      <c r="BK68" s="835"/>
      <c r="BL68" s="835"/>
      <c r="BM68" s="835"/>
      <c r="BN68" s="835"/>
      <c r="BO68" s="835"/>
      <c r="BP68" s="835"/>
      <c r="BQ68" s="835"/>
      <c r="BR68" s="835"/>
      <c r="BS68" s="835"/>
      <c r="BT68" s="835"/>
      <c r="BU68" s="835"/>
      <c r="BV68" s="835"/>
      <c r="BW68" s="835"/>
      <c r="BX68" s="835"/>
      <c r="BY68" s="835"/>
      <c r="BZ68" s="835"/>
      <c r="CA68" s="835"/>
      <c r="CB68" s="835"/>
    </row>
    <row r="69" spans="1:80" x14ac:dyDescent="0.25">
      <c r="A69" s="860"/>
      <c r="B69" s="846">
        <v>149</v>
      </c>
      <c r="C69" s="786" t="s">
        <v>443</v>
      </c>
      <c r="D69" s="860" t="s">
        <v>444</v>
      </c>
      <c r="E69" s="829"/>
      <c r="F69" s="798"/>
      <c r="G69" s="798"/>
      <c r="H69" s="798"/>
      <c r="I69" s="798"/>
      <c r="J69" s="798"/>
      <c r="K69" s="800"/>
      <c r="L69" s="835"/>
      <c r="M69" s="835"/>
      <c r="N69" s="830"/>
      <c r="O69" s="830"/>
      <c r="P69" s="830"/>
      <c r="Q69" s="830"/>
      <c r="R69" s="830"/>
      <c r="S69" s="830"/>
      <c r="T69" s="830"/>
      <c r="U69" s="830"/>
      <c r="V69" s="830"/>
      <c r="W69" s="830"/>
      <c r="X69" s="830"/>
      <c r="Y69" s="830"/>
      <c r="Z69" s="830"/>
      <c r="AA69" s="835"/>
      <c r="AB69" s="835"/>
      <c r="AC69" s="835"/>
      <c r="AD69" s="835"/>
      <c r="AE69" s="835"/>
      <c r="AF69" s="835"/>
      <c r="AG69" s="835"/>
      <c r="AH69" s="835"/>
      <c r="AI69" s="835"/>
      <c r="AJ69" s="835"/>
      <c r="AK69" s="835"/>
      <c r="AL69" s="835"/>
      <c r="AM69" s="835"/>
      <c r="AN69" s="835"/>
      <c r="AO69" s="835"/>
      <c r="AP69" s="835"/>
      <c r="AQ69" s="835"/>
      <c r="AR69" s="835"/>
      <c r="AS69" s="835"/>
      <c r="AT69" s="835"/>
      <c r="AU69" s="835"/>
      <c r="AV69" s="835"/>
      <c r="AW69" s="835"/>
      <c r="AX69" s="835"/>
      <c r="AY69" s="835"/>
      <c r="AZ69" s="835"/>
      <c r="BA69" s="835"/>
      <c r="BB69" s="835"/>
      <c r="BC69" s="835"/>
      <c r="BD69" s="835"/>
      <c r="BE69" s="835"/>
      <c r="BF69" s="835"/>
      <c r="BG69" s="835"/>
      <c r="BH69" s="835"/>
      <c r="BI69" s="835"/>
      <c r="BJ69" s="835"/>
      <c r="BK69" s="835"/>
      <c r="BL69" s="835"/>
      <c r="BM69" s="835"/>
      <c r="BN69" s="835"/>
      <c r="BO69" s="835"/>
      <c r="BP69" s="835"/>
      <c r="BQ69" s="835"/>
      <c r="BR69" s="835"/>
      <c r="BS69" s="835"/>
      <c r="BT69" s="835"/>
      <c r="BU69" s="835"/>
      <c r="BV69" s="835"/>
      <c r="BW69" s="835"/>
      <c r="BX69" s="835"/>
      <c r="BY69" s="835"/>
      <c r="BZ69" s="835"/>
      <c r="CA69" s="835"/>
      <c r="CB69" s="835"/>
    </row>
    <row r="70" spans="1:80" ht="25.5" x14ac:dyDescent="0.25">
      <c r="A70" s="860"/>
      <c r="B70" s="846">
        <v>150</v>
      </c>
      <c r="C70" s="786" t="s">
        <v>445</v>
      </c>
      <c r="D70" s="860" t="s">
        <v>446</v>
      </c>
      <c r="E70" s="829"/>
      <c r="F70" s="798"/>
      <c r="G70" s="798"/>
      <c r="H70" s="798"/>
      <c r="I70" s="798"/>
      <c r="J70" s="798"/>
      <c r="K70" s="800"/>
      <c r="L70" s="835"/>
      <c r="M70" s="835"/>
      <c r="N70" s="830"/>
      <c r="O70" s="830"/>
      <c r="P70" s="830"/>
      <c r="Q70" s="830"/>
      <c r="R70" s="830"/>
      <c r="S70" s="830"/>
      <c r="T70" s="830"/>
      <c r="U70" s="830"/>
      <c r="V70" s="830"/>
      <c r="W70" s="830"/>
      <c r="X70" s="830"/>
      <c r="Y70" s="830"/>
      <c r="Z70" s="830"/>
      <c r="AA70" s="835"/>
      <c r="AB70" s="835"/>
      <c r="AC70" s="835"/>
      <c r="AD70" s="835"/>
      <c r="AE70" s="835"/>
      <c r="AF70" s="835"/>
      <c r="AG70" s="835"/>
      <c r="AH70" s="835"/>
      <c r="AI70" s="835"/>
      <c r="AJ70" s="835"/>
      <c r="AK70" s="835"/>
      <c r="AL70" s="835"/>
      <c r="AM70" s="835"/>
      <c r="AN70" s="835"/>
      <c r="AO70" s="835"/>
      <c r="AP70" s="835"/>
      <c r="AQ70" s="835"/>
      <c r="AR70" s="835"/>
      <c r="AS70" s="835"/>
      <c r="AT70" s="835"/>
      <c r="AU70" s="835"/>
      <c r="AV70" s="835"/>
      <c r="AW70" s="835"/>
      <c r="AX70" s="835"/>
      <c r="AY70" s="835"/>
      <c r="AZ70" s="835"/>
      <c r="BA70" s="835"/>
      <c r="BB70" s="835"/>
      <c r="BC70" s="835"/>
      <c r="BD70" s="835"/>
      <c r="BE70" s="835"/>
      <c r="BF70" s="835"/>
      <c r="BG70" s="835"/>
      <c r="BH70" s="835"/>
      <c r="BI70" s="835"/>
      <c r="BJ70" s="835"/>
      <c r="BK70" s="835"/>
      <c r="BL70" s="835"/>
      <c r="BM70" s="835"/>
      <c r="BN70" s="835"/>
      <c r="BO70" s="835"/>
      <c r="BP70" s="835"/>
      <c r="BQ70" s="835"/>
      <c r="BR70" s="835"/>
      <c r="BS70" s="835"/>
      <c r="BT70" s="835"/>
      <c r="BU70" s="835"/>
      <c r="BV70" s="835"/>
      <c r="BW70" s="835"/>
      <c r="BX70" s="835"/>
      <c r="BY70" s="835"/>
      <c r="BZ70" s="835"/>
      <c r="CA70" s="835"/>
      <c r="CB70" s="835"/>
    </row>
    <row r="71" spans="1:80" x14ac:dyDescent="0.25">
      <c r="A71" s="787">
        <v>171</v>
      </c>
      <c r="B71" s="846">
        <v>171</v>
      </c>
      <c r="C71" s="832" t="s">
        <v>284</v>
      </c>
      <c r="D71" s="860" t="s">
        <v>447</v>
      </c>
      <c r="E71" s="829">
        <v>28938</v>
      </c>
      <c r="F71" s="798">
        <v>1500653</v>
      </c>
      <c r="G71" s="798">
        <v>3792</v>
      </c>
      <c r="H71" s="798">
        <v>4911496</v>
      </c>
      <c r="I71" s="798">
        <v>134761</v>
      </c>
      <c r="J71" s="798">
        <v>0</v>
      </c>
      <c r="K71" s="800">
        <v>0</v>
      </c>
      <c r="L71" s="835">
        <v>72196</v>
      </c>
      <c r="M71" s="835">
        <v>7484598</v>
      </c>
      <c r="N71" s="830">
        <v>0</v>
      </c>
      <c r="O71" s="830">
        <v>6534</v>
      </c>
      <c r="P71" s="830">
        <v>43106</v>
      </c>
      <c r="Q71" s="830">
        <v>3725262</v>
      </c>
      <c r="R71" s="830">
        <v>2840109</v>
      </c>
      <c r="S71" s="830">
        <v>404629</v>
      </c>
      <c r="T71" s="830">
        <v>526485</v>
      </c>
      <c r="U71" s="830">
        <v>2954</v>
      </c>
      <c r="V71" s="830">
        <v>1089788</v>
      </c>
      <c r="W71" s="830">
        <v>0</v>
      </c>
      <c r="X71" s="830">
        <v>3489671</v>
      </c>
      <c r="Y71" s="830">
        <v>2453283</v>
      </c>
      <c r="Z71" s="830">
        <v>664360</v>
      </c>
      <c r="AA71" s="835">
        <v>134036</v>
      </c>
      <c r="AB71" s="835">
        <v>267017</v>
      </c>
      <c r="AC71" s="835">
        <v>0</v>
      </c>
      <c r="AD71" s="835">
        <v>4623</v>
      </c>
      <c r="AE71" s="835">
        <v>70740</v>
      </c>
      <c r="AF71" s="835">
        <v>215809</v>
      </c>
      <c r="AG71" s="835">
        <v>4631</v>
      </c>
      <c r="AH71" s="835">
        <v>0</v>
      </c>
      <c r="AI71" s="835">
        <v>0</v>
      </c>
      <c r="AJ71" s="835">
        <v>25770</v>
      </c>
      <c r="AK71" s="835">
        <v>43192</v>
      </c>
      <c r="AL71" s="835">
        <v>0</v>
      </c>
      <c r="AM71" s="835">
        <v>0</v>
      </c>
      <c r="AN71" s="835">
        <v>1158108</v>
      </c>
      <c r="AO71" s="835">
        <v>905981</v>
      </c>
      <c r="AP71" s="835">
        <v>0</v>
      </c>
      <c r="AQ71" s="835">
        <v>212048</v>
      </c>
      <c r="AR71" s="835">
        <v>1001535</v>
      </c>
      <c r="AS71" s="835">
        <v>35912</v>
      </c>
      <c r="AT71" s="835">
        <v>270967</v>
      </c>
      <c r="AU71" s="835">
        <v>109728</v>
      </c>
      <c r="AV71" s="835">
        <v>473729</v>
      </c>
      <c r="AW71" s="835">
        <v>0</v>
      </c>
      <c r="AX71" s="835">
        <v>3514</v>
      </c>
      <c r="AY71" s="835">
        <v>280490</v>
      </c>
      <c r="AZ71" s="835">
        <v>55158</v>
      </c>
      <c r="BA71" s="835">
        <v>0</v>
      </c>
      <c r="BB71" s="835">
        <v>0</v>
      </c>
      <c r="BC71" s="835">
        <v>63390</v>
      </c>
      <c r="BD71" s="835">
        <v>0</v>
      </c>
      <c r="BE71" s="835">
        <v>0</v>
      </c>
      <c r="BF71" s="835">
        <v>1417204</v>
      </c>
      <c r="BG71" s="835">
        <v>0</v>
      </c>
      <c r="BH71" s="835">
        <v>0</v>
      </c>
      <c r="BI71" s="835">
        <v>97236</v>
      </c>
      <c r="BJ71" s="835">
        <v>377153</v>
      </c>
      <c r="BK71" s="835">
        <v>27500</v>
      </c>
      <c r="BL71" s="835">
        <v>282516</v>
      </c>
      <c r="BM71" s="835">
        <v>0</v>
      </c>
      <c r="BN71" s="835">
        <v>0</v>
      </c>
      <c r="BO71" s="835">
        <v>196696</v>
      </c>
      <c r="BP71" s="835">
        <v>42861</v>
      </c>
      <c r="BQ71" s="835">
        <v>12304</v>
      </c>
      <c r="BR71" s="835">
        <v>0</v>
      </c>
      <c r="BS71" s="835">
        <v>72154</v>
      </c>
      <c r="BT71" s="835">
        <v>1299616</v>
      </c>
      <c r="BU71" s="835">
        <v>41819</v>
      </c>
      <c r="BV71" s="835">
        <v>94689</v>
      </c>
      <c r="BW71" s="835">
        <v>109553</v>
      </c>
      <c r="BX71" s="835">
        <v>0</v>
      </c>
      <c r="BY71" s="835">
        <v>0</v>
      </c>
      <c r="BZ71" s="835">
        <v>0</v>
      </c>
      <c r="CA71" s="835">
        <v>1622878</v>
      </c>
      <c r="CB71" s="835">
        <v>0</v>
      </c>
    </row>
    <row r="72" spans="1:80" x14ac:dyDescent="0.25">
      <c r="A72" s="787">
        <v>191</v>
      </c>
      <c r="B72" s="846">
        <v>191</v>
      </c>
      <c r="C72" s="832" t="s">
        <v>300</v>
      </c>
      <c r="D72" s="860" t="s">
        <v>448</v>
      </c>
      <c r="E72" s="829">
        <v>0</v>
      </c>
      <c r="F72" s="798">
        <v>0</v>
      </c>
      <c r="G72" s="798">
        <v>0</v>
      </c>
      <c r="H72" s="798">
        <v>134334</v>
      </c>
      <c r="I72" s="798">
        <v>0</v>
      </c>
      <c r="J72" s="798">
        <v>0</v>
      </c>
      <c r="K72" s="800">
        <v>0</v>
      </c>
      <c r="L72" s="835">
        <v>0</v>
      </c>
      <c r="M72" s="835">
        <v>1653470</v>
      </c>
      <c r="N72" s="830">
        <v>0</v>
      </c>
      <c r="O72" s="830">
        <v>0</v>
      </c>
      <c r="P72" s="830">
        <v>0</v>
      </c>
      <c r="Q72" s="830">
        <v>0</v>
      </c>
      <c r="R72" s="830">
        <v>657640</v>
      </c>
      <c r="S72" s="830">
        <v>0</v>
      </c>
      <c r="T72" s="830">
        <v>3187591</v>
      </c>
      <c r="U72" s="830">
        <v>0</v>
      </c>
      <c r="V72" s="830">
        <v>42549</v>
      </c>
      <c r="W72" s="830">
        <v>0</v>
      </c>
      <c r="X72" s="830">
        <v>0</v>
      </c>
      <c r="Y72" s="830">
        <v>0</v>
      </c>
      <c r="Z72" s="830">
        <v>0</v>
      </c>
      <c r="AA72" s="835">
        <v>0</v>
      </c>
      <c r="AB72" s="835">
        <v>0</v>
      </c>
      <c r="AC72" s="835">
        <v>0</v>
      </c>
      <c r="AD72" s="835">
        <v>0</v>
      </c>
      <c r="AE72" s="835">
        <v>6750</v>
      </c>
      <c r="AF72" s="835">
        <v>0</v>
      </c>
      <c r="AG72" s="835">
        <v>0</v>
      </c>
      <c r="AH72" s="835">
        <v>0</v>
      </c>
      <c r="AI72" s="835">
        <v>0</v>
      </c>
      <c r="AJ72" s="835">
        <v>0</v>
      </c>
      <c r="AK72" s="835">
        <v>483640</v>
      </c>
      <c r="AL72" s="835">
        <v>0</v>
      </c>
      <c r="AM72" s="835">
        <v>0</v>
      </c>
      <c r="AN72" s="835">
        <v>0</v>
      </c>
      <c r="AO72" s="835">
        <v>10986687</v>
      </c>
      <c r="AP72" s="835">
        <v>30000</v>
      </c>
      <c r="AQ72" s="835">
        <v>0</v>
      </c>
      <c r="AR72" s="835">
        <v>0</v>
      </c>
      <c r="AS72" s="835">
        <v>0</v>
      </c>
      <c r="AT72" s="835">
        <v>55802</v>
      </c>
      <c r="AU72" s="835">
        <v>0</v>
      </c>
      <c r="AV72" s="835">
        <v>0</v>
      </c>
      <c r="AW72" s="835">
        <v>0</v>
      </c>
      <c r="AX72" s="835">
        <v>0</v>
      </c>
      <c r="AY72" s="835">
        <v>0</v>
      </c>
      <c r="AZ72" s="835">
        <v>289289</v>
      </c>
      <c r="BA72" s="835">
        <v>126216</v>
      </c>
      <c r="BB72" s="835">
        <v>0</v>
      </c>
      <c r="BC72" s="835">
        <v>418000</v>
      </c>
      <c r="BD72" s="835">
        <v>0</v>
      </c>
      <c r="BE72" s="835">
        <v>0</v>
      </c>
      <c r="BF72" s="835">
        <v>0</v>
      </c>
      <c r="BG72" s="835">
        <v>0</v>
      </c>
      <c r="BH72" s="835">
        <v>0</v>
      </c>
      <c r="BI72" s="835">
        <v>100000</v>
      </c>
      <c r="BJ72" s="835">
        <v>0</v>
      </c>
      <c r="BK72" s="835">
        <v>1967666</v>
      </c>
      <c r="BL72" s="835">
        <v>245118</v>
      </c>
      <c r="BM72" s="835">
        <v>0</v>
      </c>
      <c r="BN72" s="835">
        <v>0</v>
      </c>
      <c r="BO72" s="835">
        <v>0</v>
      </c>
      <c r="BP72" s="835">
        <v>0</v>
      </c>
      <c r="BQ72" s="835">
        <v>1023334</v>
      </c>
      <c r="BR72" s="835">
        <v>111191</v>
      </c>
      <c r="BS72" s="835">
        <v>0</v>
      </c>
      <c r="BT72" s="835">
        <v>0</v>
      </c>
      <c r="BU72" s="835">
        <v>993710</v>
      </c>
      <c r="BV72" s="835">
        <v>0</v>
      </c>
      <c r="BW72" s="835">
        <v>0</v>
      </c>
      <c r="BX72" s="835">
        <v>0</v>
      </c>
      <c r="BY72" s="835">
        <v>0</v>
      </c>
      <c r="BZ72" s="835">
        <v>0</v>
      </c>
      <c r="CA72" s="835">
        <v>2508340</v>
      </c>
      <c r="CB72" s="835">
        <v>0</v>
      </c>
    </row>
    <row r="73" spans="1:80" x14ac:dyDescent="0.25">
      <c r="A73" s="787">
        <v>192</v>
      </c>
      <c r="B73" s="846">
        <v>192</v>
      </c>
      <c r="C73" s="832" t="s">
        <v>311</v>
      </c>
      <c r="D73" s="860" t="s">
        <v>449</v>
      </c>
      <c r="E73" s="829">
        <v>0</v>
      </c>
      <c r="F73" s="798">
        <v>0</v>
      </c>
      <c r="G73" s="798">
        <v>0</v>
      </c>
      <c r="H73" s="798">
        <v>0</v>
      </c>
      <c r="I73" s="798">
        <v>0</v>
      </c>
      <c r="J73" s="798">
        <v>0</v>
      </c>
      <c r="K73" s="800">
        <v>0</v>
      </c>
      <c r="L73" s="835">
        <v>0</v>
      </c>
      <c r="M73" s="835">
        <v>0</v>
      </c>
      <c r="N73" s="830">
        <v>0</v>
      </c>
      <c r="O73" s="830">
        <v>0</v>
      </c>
      <c r="P73" s="830">
        <v>0</v>
      </c>
      <c r="Q73" s="830">
        <v>0</v>
      </c>
      <c r="R73" s="830">
        <v>0</v>
      </c>
      <c r="S73" s="830">
        <v>0</v>
      </c>
      <c r="T73" s="830">
        <v>0</v>
      </c>
      <c r="U73" s="830">
        <v>0</v>
      </c>
      <c r="V73" s="830">
        <v>303858</v>
      </c>
      <c r="W73" s="830">
        <v>0</v>
      </c>
      <c r="X73" s="830">
        <v>0</v>
      </c>
      <c r="Y73" s="830">
        <v>0</v>
      </c>
      <c r="Z73" s="830">
        <v>0</v>
      </c>
      <c r="AA73" s="835">
        <v>0</v>
      </c>
      <c r="AB73" s="835">
        <v>0</v>
      </c>
      <c r="AC73" s="835">
        <v>0</v>
      </c>
      <c r="AD73" s="835">
        <v>0</v>
      </c>
      <c r="AE73" s="835">
        <v>0</v>
      </c>
      <c r="AF73" s="835">
        <v>0</v>
      </c>
      <c r="AG73" s="835">
        <v>0</v>
      </c>
      <c r="AH73" s="835">
        <v>0</v>
      </c>
      <c r="AI73" s="835">
        <v>0</v>
      </c>
      <c r="AJ73" s="835">
        <v>0</v>
      </c>
      <c r="AK73" s="835">
        <v>0</v>
      </c>
      <c r="AL73" s="835">
        <v>0</v>
      </c>
      <c r="AM73" s="835">
        <v>0</v>
      </c>
      <c r="AN73" s="835">
        <v>0</v>
      </c>
      <c r="AO73" s="835">
        <v>0</v>
      </c>
      <c r="AP73" s="835">
        <v>0</v>
      </c>
      <c r="AQ73" s="835">
        <v>0</v>
      </c>
      <c r="AR73" s="835">
        <v>0</v>
      </c>
      <c r="AS73" s="835">
        <v>0</v>
      </c>
      <c r="AT73" s="835">
        <v>0</v>
      </c>
      <c r="AU73" s="835">
        <v>0</v>
      </c>
      <c r="AV73" s="835">
        <v>0</v>
      </c>
      <c r="AW73" s="835">
        <v>0</v>
      </c>
      <c r="AX73" s="835">
        <v>0</v>
      </c>
      <c r="AY73" s="835">
        <v>0</v>
      </c>
      <c r="AZ73" s="835">
        <v>0</v>
      </c>
      <c r="BA73" s="835">
        <v>0</v>
      </c>
      <c r="BB73" s="835">
        <v>0</v>
      </c>
      <c r="BC73" s="835">
        <v>0</v>
      </c>
      <c r="BD73" s="835">
        <v>0</v>
      </c>
      <c r="BE73" s="835">
        <v>0</v>
      </c>
      <c r="BF73" s="835">
        <v>0</v>
      </c>
      <c r="BG73" s="835">
        <v>0</v>
      </c>
      <c r="BH73" s="835">
        <v>0</v>
      </c>
      <c r="BI73" s="835">
        <v>0</v>
      </c>
      <c r="BJ73" s="835">
        <v>0</v>
      </c>
      <c r="BK73" s="835">
        <v>0</v>
      </c>
      <c r="BL73" s="835">
        <v>2699</v>
      </c>
      <c r="BM73" s="835">
        <v>0</v>
      </c>
      <c r="BN73" s="835">
        <v>0</v>
      </c>
      <c r="BO73" s="835">
        <v>0</v>
      </c>
      <c r="BP73" s="835">
        <v>0</v>
      </c>
      <c r="BQ73" s="835">
        <v>0</v>
      </c>
      <c r="BR73" s="835">
        <v>0</v>
      </c>
      <c r="BS73" s="835">
        <v>0</v>
      </c>
      <c r="BT73" s="835">
        <v>0</v>
      </c>
      <c r="BU73" s="835">
        <v>0</v>
      </c>
      <c r="BV73" s="835">
        <v>0</v>
      </c>
      <c r="BW73" s="835">
        <v>0</v>
      </c>
      <c r="BX73" s="835">
        <v>0</v>
      </c>
      <c r="BY73" s="835">
        <v>0</v>
      </c>
      <c r="BZ73" s="835">
        <v>0</v>
      </c>
      <c r="CA73" s="835">
        <v>0</v>
      </c>
      <c r="CB73" s="835">
        <v>0</v>
      </c>
    </row>
    <row r="74" spans="1:80" ht="30" x14ac:dyDescent="0.25">
      <c r="A74" s="860"/>
      <c r="B74" s="846">
        <v>193</v>
      </c>
      <c r="C74" s="799" t="s">
        <v>450</v>
      </c>
      <c r="D74" s="860" t="s">
        <v>451</v>
      </c>
      <c r="E74" s="829"/>
      <c r="F74" s="798"/>
      <c r="G74" s="798"/>
      <c r="H74" s="798"/>
      <c r="I74" s="798"/>
      <c r="J74" s="798"/>
      <c r="K74" s="800"/>
      <c r="L74" s="835"/>
      <c r="M74" s="835"/>
      <c r="N74" s="830"/>
      <c r="O74" s="830"/>
      <c r="P74" s="830"/>
      <c r="Q74" s="830"/>
      <c r="R74" s="830"/>
      <c r="S74" s="830"/>
      <c r="T74" s="830"/>
      <c r="U74" s="830"/>
      <c r="V74" s="830"/>
      <c r="W74" s="830"/>
      <c r="X74" s="830"/>
      <c r="Y74" s="830"/>
      <c r="Z74" s="830"/>
      <c r="AA74" s="835"/>
      <c r="AB74" s="835"/>
      <c r="AC74" s="835"/>
      <c r="AD74" s="835"/>
      <c r="AE74" s="835"/>
      <c r="AF74" s="835"/>
      <c r="AG74" s="835"/>
      <c r="AH74" s="835"/>
      <c r="AI74" s="835"/>
      <c r="AJ74" s="835"/>
      <c r="AK74" s="835"/>
      <c r="AL74" s="835"/>
      <c r="AM74" s="835"/>
      <c r="AN74" s="835"/>
      <c r="AO74" s="835"/>
      <c r="AP74" s="835"/>
      <c r="AQ74" s="835"/>
      <c r="AR74" s="835"/>
      <c r="AS74" s="835"/>
      <c r="AT74" s="835"/>
      <c r="AU74" s="835"/>
      <c r="AV74" s="835"/>
      <c r="AW74" s="835"/>
      <c r="AX74" s="835"/>
      <c r="AY74" s="835"/>
      <c r="AZ74" s="835"/>
      <c r="BA74" s="835"/>
      <c r="BB74" s="835"/>
      <c r="BC74" s="835"/>
      <c r="BD74" s="835"/>
      <c r="BE74" s="835"/>
      <c r="BF74" s="835"/>
      <c r="BG74" s="835"/>
      <c r="BH74" s="835"/>
      <c r="BI74" s="835"/>
      <c r="BJ74" s="835"/>
      <c r="BK74" s="835"/>
      <c r="BL74" s="835"/>
      <c r="BM74" s="835"/>
      <c r="BN74" s="835"/>
      <c r="BO74" s="835"/>
      <c r="BP74" s="835"/>
      <c r="BQ74" s="835"/>
      <c r="BR74" s="835"/>
      <c r="BS74" s="835"/>
      <c r="BT74" s="835"/>
      <c r="BU74" s="835"/>
      <c r="BV74" s="835"/>
      <c r="BW74" s="835"/>
      <c r="BX74" s="835"/>
      <c r="BY74" s="835"/>
      <c r="BZ74" s="835"/>
      <c r="CA74" s="835"/>
      <c r="CB74" s="835"/>
    </row>
    <row r="75" spans="1:80" x14ac:dyDescent="0.25">
      <c r="A75" s="860"/>
      <c r="B75" s="846">
        <v>194</v>
      </c>
      <c r="C75" s="786" t="s">
        <v>452</v>
      </c>
      <c r="D75" s="860" t="s">
        <v>453</v>
      </c>
      <c r="E75" s="829"/>
      <c r="F75" s="798"/>
      <c r="G75" s="798"/>
      <c r="H75" s="798"/>
      <c r="I75" s="798"/>
      <c r="J75" s="798"/>
      <c r="K75" s="800"/>
      <c r="L75" s="835"/>
      <c r="M75" s="835"/>
      <c r="N75" s="830"/>
      <c r="O75" s="830"/>
      <c r="P75" s="830"/>
      <c r="Q75" s="830"/>
      <c r="R75" s="830"/>
      <c r="S75" s="830"/>
      <c r="T75" s="830"/>
      <c r="U75" s="830"/>
      <c r="V75" s="830"/>
      <c r="W75" s="830"/>
      <c r="X75" s="830"/>
      <c r="Y75" s="830"/>
      <c r="Z75" s="830"/>
      <c r="AA75" s="835"/>
      <c r="AB75" s="835"/>
      <c r="AC75" s="835"/>
      <c r="AD75" s="835"/>
      <c r="AE75" s="835"/>
      <c r="AF75" s="835"/>
      <c r="AG75" s="835"/>
      <c r="AH75" s="835"/>
      <c r="AI75" s="835"/>
      <c r="AJ75" s="835"/>
      <c r="AK75" s="835"/>
      <c r="AL75" s="835"/>
      <c r="AM75" s="835"/>
      <c r="AN75" s="835"/>
      <c r="AO75" s="835"/>
      <c r="AP75" s="835"/>
      <c r="AQ75" s="835"/>
      <c r="AR75" s="835"/>
      <c r="AS75" s="835"/>
      <c r="AT75" s="835"/>
      <c r="AU75" s="835"/>
      <c r="AV75" s="835"/>
      <c r="AW75" s="835"/>
      <c r="AX75" s="835"/>
      <c r="AY75" s="835"/>
      <c r="AZ75" s="835"/>
      <c r="BA75" s="835"/>
      <c r="BB75" s="835"/>
      <c r="BC75" s="835"/>
      <c r="BD75" s="835"/>
      <c r="BE75" s="835"/>
      <c r="BF75" s="835"/>
      <c r="BG75" s="835"/>
      <c r="BH75" s="835"/>
      <c r="BI75" s="835"/>
      <c r="BJ75" s="835"/>
      <c r="BK75" s="835"/>
      <c r="BL75" s="835"/>
      <c r="BM75" s="835"/>
      <c r="BN75" s="835"/>
      <c r="BO75" s="835"/>
      <c r="BP75" s="835"/>
      <c r="BQ75" s="835"/>
      <c r="BR75" s="835"/>
      <c r="BS75" s="835"/>
      <c r="BT75" s="835"/>
      <c r="BU75" s="835"/>
      <c r="BV75" s="835"/>
      <c r="BW75" s="835"/>
      <c r="BX75" s="835"/>
      <c r="BY75" s="835"/>
      <c r="BZ75" s="835"/>
      <c r="CA75" s="835"/>
      <c r="CB75" s="835"/>
    </row>
    <row r="76" spans="1:80" ht="30" x14ac:dyDescent="0.25">
      <c r="A76" s="860"/>
      <c r="B76" s="846">
        <v>231</v>
      </c>
      <c r="C76" s="832" t="s">
        <v>454</v>
      </c>
      <c r="D76" s="860" t="s">
        <v>455</v>
      </c>
      <c r="E76" s="829"/>
      <c r="F76" s="798"/>
      <c r="G76" s="798"/>
      <c r="H76" s="798"/>
      <c r="I76" s="798"/>
      <c r="J76" s="798"/>
      <c r="K76" s="800"/>
      <c r="L76" s="835"/>
      <c r="M76" s="835"/>
      <c r="N76" s="830"/>
      <c r="O76" s="830"/>
      <c r="P76" s="830"/>
      <c r="Q76" s="830"/>
      <c r="R76" s="830"/>
      <c r="S76" s="830"/>
      <c r="T76" s="830"/>
      <c r="U76" s="830"/>
      <c r="V76" s="830"/>
      <c r="W76" s="830"/>
      <c r="X76" s="830"/>
      <c r="Y76" s="830"/>
      <c r="Z76" s="830"/>
      <c r="AA76" s="835"/>
      <c r="AB76" s="835"/>
      <c r="AC76" s="835"/>
      <c r="AD76" s="835"/>
      <c r="AE76" s="835"/>
      <c r="AF76" s="835"/>
      <c r="AG76" s="835"/>
      <c r="AH76" s="835"/>
      <c r="AI76" s="835"/>
      <c r="AJ76" s="835"/>
      <c r="AK76" s="835"/>
      <c r="AL76" s="835"/>
      <c r="AM76" s="835"/>
      <c r="AN76" s="835"/>
      <c r="AO76" s="835"/>
      <c r="AP76" s="835"/>
      <c r="AQ76" s="835"/>
      <c r="AR76" s="835"/>
      <c r="AS76" s="835"/>
      <c r="AT76" s="835"/>
      <c r="AU76" s="835"/>
      <c r="AV76" s="835"/>
      <c r="AW76" s="835"/>
      <c r="AX76" s="835"/>
      <c r="AY76" s="835"/>
      <c r="AZ76" s="835"/>
      <c r="BA76" s="835"/>
      <c r="BB76" s="835"/>
      <c r="BC76" s="835"/>
      <c r="BD76" s="835"/>
      <c r="BE76" s="835"/>
      <c r="BF76" s="835"/>
      <c r="BG76" s="835"/>
      <c r="BH76" s="835"/>
      <c r="BI76" s="835"/>
      <c r="BJ76" s="835"/>
      <c r="BK76" s="835"/>
      <c r="BL76" s="835"/>
      <c r="BM76" s="835"/>
      <c r="BN76" s="835"/>
      <c r="BO76" s="835"/>
      <c r="BP76" s="835"/>
      <c r="BQ76" s="835"/>
      <c r="BR76" s="835"/>
      <c r="BS76" s="835"/>
      <c r="BT76" s="835"/>
      <c r="BU76" s="835"/>
      <c r="BV76" s="835"/>
      <c r="BW76" s="835"/>
      <c r="BX76" s="835"/>
      <c r="BY76" s="835"/>
      <c r="BZ76" s="835"/>
      <c r="CA76" s="835"/>
      <c r="CB76" s="835"/>
    </row>
    <row r="77" spans="1:80" ht="30" x14ac:dyDescent="0.25">
      <c r="A77" s="860"/>
      <c r="B77" s="846">
        <v>251</v>
      </c>
      <c r="C77" s="832" t="s">
        <v>456</v>
      </c>
      <c r="D77" s="860" t="s">
        <v>457</v>
      </c>
      <c r="E77" s="829"/>
      <c r="F77" s="798"/>
      <c r="G77" s="798"/>
      <c r="H77" s="798"/>
      <c r="I77" s="798"/>
      <c r="J77" s="798"/>
      <c r="K77" s="800"/>
      <c r="L77" s="835"/>
      <c r="M77" s="835"/>
      <c r="N77" s="830"/>
      <c r="O77" s="830"/>
      <c r="P77" s="830"/>
      <c r="Q77" s="830"/>
      <c r="R77" s="830"/>
      <c r="S77" s="830"/>
      <c r="T77" s="830"/>
      <c r="U77" s="830"/>
      <c r="V77" s="830"/>
      <c r="W77" s="830"/>
      <c r="X77" s="830"/>
      <c r="Y77" s="830"/>
      <c r="Z77" s="830"/>
      <c r="AA77" s="835"/>
      <c r="AB77" s="835"/>
      <c r="AC77" s="835"/>
      <c r="AD77" s="835"/>
      <c r="AE77" s="835"/>
      <c r="AF77" s="835"/>
      <c r="AG77" s="835"/>
      <c r="AH77" s="835"/>
      <c r="AI77" s="835"/>
      <c r="AJ77" s="835"/>
      <c r="AK77" s="835"/>
      <c r="AL77" s="835"/>
      <c r="AM77" s="835"/>
      <c r="AN77" s="835"/>
      <c r="AO77" s="835"/>
      <c r="AP77" s="835"/>
      <c r="AQ77" s="835"/>
      <c r="AR77" s="835"/>
      <c r="AS77" s="835"/>
      <c r="AT77" s="835"/>
      <c r="AU77" s="835"/>
      <c r="AV77" s="835"/>
      <c r="AW77" s="835"/>
      <c r="AX77" s="835"/>
      <c r="AY77" s="835"/>
      <c r="AZ77" s="835"/>
      <c r="BA77" s="835"/>
      <c r="BB77" s="835"/>
      <c r="BC77" s="835"/>
      <c r="BD77" s="835"/>
      <c r="BE77" s="835"/>
      <c r="BF77" s="835"/>
      <c r="BG77" s="835"/>
      <c r="BH77" s="835"/>
      <c r="BI77" s="835"/>
      <c r="BJ77" s="835"/>
      <c r="BK77" s="835"/>
      <c r="BL77" s="835"/>
      <c r="BM77" s="835"/>
      <c r="BN77" s="835"/>
      <c r="BO77" s="835"/>
      <c r="BP77" s="835"/>
      <c r="BQ77" s="835"/>
      <c r="BR77" s="835"/>
      <c r="BS77" s="835"/>
      <c r="BT77" s="835"/>
      <c r="BU77" s="835"/>
      <c r="BV77" s="835"/>
      <c r="BW77" s="835"/>
      <c r="BX77" s="835"/>
      <c r="BY77" s="835"/>
      <c r="BZ77" s="835"/>
      <c r="CA77" s="835"/>
      <c r="CB77" s="835"/>
    </row>
    <row r="78" spans="1:80" x14ac:dyDescent="0.25">
      <c r="A78" s="787">
        <v>252</v>
      </c>
      <c r="B78" s="846">
        <v>252</v>
      </c>
      <c r="C78" s="832" t="s">
        <v>110</v>
      </c>
      <c r="D78" s="860" t="s">
        <v>458</v>
      </c>
      <c r="E78" s="829">
        <v>1965847</v>
      </c>
      <c r="F78" s="798">
        <v>37741605</v>
      </c>
      <c r="G78" s="798">
        <v>94481</v>
      </c>
      <c r="H78" s="798">
        <v>70390054</v>
      </c>
      <c r="I78" s="798">
        <v>6333125</v>
      </c>
      <c r="J78" s="798">
        <v>51787</v>
      </c>
      <c r="K78" s="800">
        <v>562893</v>
      </c>
      <c r="L78" s="835">
        <v>1415622</v>
      </c>
      <c r="M78" s="835">
        <v>116404978</v>
      </c>
      <c r="N78" s="830">
        <v>76881</v>
      </c>
      <c r="O78" s="830">
        <v>1231168</v>
      </c>
      <c r="P78" s="830">
        <v>1558207</v>
      </c>
      <c r="Q78" s="830">
        <v>135141225</v>
      </c>
      <c r="R78" s="830">
        <v>22873133</v>
      </c>
      <c r="S78" s="830">
        <v>9021411</v>
      </c>
      <c r="T78" s="830">
        <v>7490663</v>
      </c>
      <c r="U78" s="830">
        <v>314079</v>
      </c>
      <c r="V78" s="830">
        <v>13505530</v>
      </c>
      <c r="W78" s="830">
        <v>0</v>
      </c>
      <c r="X78" s="830">
        <v>16825922</v>
      </c>
      <c r="Y78" s="830">
        <v>74593140</v>
      </c>
      <c r="Z78" s="830">
        <v>3050893</v>
      </c>
      <c r="AA78" s="835">
        <v>1887497</v>
      </c>
      <c r="AB78" s="835">
        <v>6525574</v>
      </c>
      <c r="AC78" s="835">
        <v>331257</v>
      </c>
      <c r="AD78" s="835">
        <v>314680</v>
      </c>
      <c r="AE78" s="835">
        <v>1664434</v>
      </c>
      <c r="AF78" s="835">
        <v>2160114</v>
      </c>
      <c r="AG78" s="835">
        <v>1173198</v>
      </c>
      <c r="AH78" s="835">
        <v>87242</v>
      </c>
      <c r="AI78" s="835">
        <v>1161388</v>
      </c>
      <c r="AJ78" s="835">
        <v>1499841</v>
      </c>
      <c r="AK78" s="835">
        <v>1674921</v>
      </c>
      <c r="AL78" s="835">
        <v>476840</v>
      </c>
      <c r="AM78" s="835">
        <v>23039</v>
      </c>
      <c r="AN78" s="835">
        <v>55685656</v>
      </c>
      <c r="AO78" s="835">
        <v>22246314</v>
      </c>
      <c r="AP78" s="835">
        <v>109749</v>
      </c>
      <c r="AQ78" s="835">
        <v>7125647</v>
      </c>
      <c r="AR78" s="835">
        <v>38072669</v>
      </c>
      <c r="AS78" s="835">
        <v>1121983</v>
      </c>
      <c r="AT78" s="835">
        <v>1089253</v>
      </c>
      <c r="AU78" s="835">
        <v>1938436</v>
      </c>
      <c r="AV78" s="835">
        <v>18078633</v>
      </c>
      <c r="AW78" s="835">
        <v>662319</v>
      </c>
      <c r="AX78" s="835">
        <v>931604</v>
      </c>
      <c r="AY78" s="835">
        <v>8765278</v>
      </c>
      <c r="AZ78" s="835">
        <v>2258185</v>
      </c>
      <c r="BA78" s="835">
        <v>5132042</v>
      </c>
      <c r="BB78" s="835">
        <v>22907</v>
      </c>
      <c r="BC78" s="835">
        <v>1321098</v>
      </c>
      <c r="BD78" s="835">
        <v>1030404</v>
      </c>
      <c r="BE78" s="835">
        <v>22101</v>
      </c>
      <c r="BF78" s="835">
        <v>26860627</v>
      </c>
      <c r="BG78" s="835">
        <v>14310</v>
      </c>
      <c r="BH78" s="835">
        <v>56385</v>
      </c>
      <c r="BI78" s="835">
        <v>1983597</v>
      </c>
      <c r="BJ78" s="835">
        <v>7479809</v>
      </c>
      <c r="BK78" s="835">
        <v>156006</v>
      </c>
      <c r="BL78" s="835">
        <v>8435927</v>
      </c>
      <c r="BM78" s="835">
        <v>7609057</v>
      </c>
      <c r="BN78" s="835">
        <v>45744</v>
      </c>
      <c r="BO78" s="835">
        <v>8039138</v>
      </c>
      <c r="BP78" s="835">
        <v>3467501</v>
      </c>
      <c r="BQ78" s="835">
        <v>569441</v>
      </c>
      <c r="BR78" s="835">
        <v>1517805</v>
      </c>
      <c r="BS78" s="835">
        <v>3890730</v>
      </c>
      <c r="BT78" s="835">
        <v>249665133</v>
      </c>
      <c r="BU78" s="835">
        <v>1931387</v>
      </c>
      <c r="BV78" s="835">
        <v>2390432</v>
      </c>
      <c r="BW78" s="835">
        <v>647518</v>
      </c>
      <c r="BX78" s="835">
        <v>1097328</v>
      </c>
      <c r="BY78" s="835">
        <v>9523</v>
      </c>
      <c r="BZ78" s="835">
        <v>7623</v>
      </c>
      <c r="CA78" s="835">
        <v>40610954</v>
      </c>
      <c r="CB78" s="835">
        <v>118586</v>
      </c>
    </row>
    <row r="79" spans="1:80" x14ac:dyDescent="0.25">
      <c r="A79" s="787">
        <v>253</v>
      </c>
      <c r="B79" s="846">
        <v>253</v>
      </c>
      <c r="C79" s="832" t="s">
        <v>111</v>
      </c>
      <c r="D79" s="860" t="s">
        <v>459</v>
      </c>
      <c r="E79" s="829">
        <v>175445</v>
      </c>
      <c r="F79" s="798">
        <v>7172273</v>
      </c>
      <c r="G79" s="798">
        <v>73197</v>
      </c>
      <c r="H79" s="798">
        <v>16728828</v>
      </c>
      <c r="I79" s="798">
        <v>1008466</v>
      </c>
      <c r="J79" s="798">
        <v>164041</v>
      </c>
      <c r="K79" s="800">
        <v>195217</v>
      </c>
      <c r="L79" s="835">
        <v>708312</v>
      </c>
      <c r="M79" s="835">
        <v>9291292</v>
      </c>
      <c r="N79" s="830">
        <v>41408</v>
      </c>
      <c r="O79" s="830">
        <v>239678</v>
      </c>
      <c r="P79" s="830">
        <v>264247</v>
      </c>
      <c r="Q79" s="830">
        <v>2974849</v>
      </c>
      <c r="R79" s="830">
        <v>5400659</v>
      </c>
      <c r="S79" s="830">
        <v>482617</v>
      </c>
      <c r="T79" s="830">
        <v>1769114</v>
      </c>
      <c r="U79" s="830">
        <v>315311</v>
      </c>
      <c r="V79" s="830">
        <v>6301350</v>
      </c>
      <c r="W79" s="830">
        <v>103797</v>
      </c>
      <c r="X79" s="830">
        <v>3743912</v>
      </c>
      <c r="Y79" s="830">
        <v>3465478</v>
      </c>
      <c r="Z79" s="830">
        <v>3945368</v>
      </c>
      <c r="AA79" s="835">
        <v>710004</v>
      </c>
      <c r="AB79" s="835">
        <v>710431</v>
      </c>
      <c r="AC79" s="835">
        <v>371551</v>
      </c>
      <c r="AD79" s="835">
        <v>10438</v>
      </c>
      <c r="AE79" s="835">
        <v>357857</v>
      </c>
      <c r="AF79" s="835">
        <v>1467149</v>
      </c>
      <c r="AG79" s="835">
        <v>19833</v>
      </c>
      <c r="AH79" s="835">
        <v>20191</v>
      </c>
      <c r="AI79" s="835">
        <v>150930</v>
      </c>
      <c r="AJ79" s="835">
        <v>225563</v>
      </c>
      <c r="AK79" s="835">
        <v>5064004</v>
      </c>
      <c r="AL79" s="835">
        <v>76924</v>
      </c>
      <c r="AM79" s="835">
        <v>2831</v>
      </c>
      <c r="AN79" s="835">
        <v>1717058</v>
      </c>
      <c r="AO79" s="835">
        <v>2216291</v>
      </c>
      <c r="AP79" s="835">
        <v>94030</v>
      </c>
      <c r="AQ79" s="835">
        <v>992877</v>
      </c>
      <c r="AR79" s="835">
        <v>3010654</v>
      </c>
      <c r="AS79" s="835">
        <v>896718</v>
      </c>
      <c r="AT79" s="835">
        <v>116928</v>
      </c>
      <c r="AU79" s="835">
        <v>777793</v>
      </c>
      <c r="AV79" s="835">
        <v>1721261</v>
      </c>
      <c r="AW79" s="835">
        <v>31816</v>
      </c>
      <c r="AX79" s="835">
        <v>95353</v>
      </c>
      <c r="AY79" s="835">
        <v>364389</v>
      </c>
      <c r="AZ79" s="835">
        <v>1002692</v>
      </c>
      <c r="BA79" s="835">
        <v>1811633</v>
      </c>
      <c r="BB79" s="835">
        <v>65505</v>
      </c>
      <c r="BC79" s="835">
        <v>726044</v>
      </c>
      <c r="BD79" s="835">
        <v>246900</v>
      </c>
      <c r="BE79" s="835">
        <v>17163</v>
      </c>
      <c r="BF79" s="835">
        <v>4542038</v>
      </c>
      <c r="BG79" s="835">
        <v>77651</v>
      </c>
      <c r="BH79" s="835">
        <v>30053</v>
      </c>
      <c r="BI79" s="835">
        <v>475250</v>
      </c>
      <c r="BJ79" s="835">
        <v>288263</v>
      </c>
      <c r="BK79" s="835">
        <v>189616</v>
      </c>
      <c r="BL79" s="835">
        <v>1208565</v>
      </c>
      <c r="BM79" s="835">
        <v>1270413</v>
      </c>
      <c r="BN79" s="835">
        <v>5800</v>
      </c>
      <c r="BO79" s="835">
        <v>1341708</v>
      </c>
      <c r="BP79" s="835">
        <v>275693</v>
      </c>
      <c r="BQ79" s="835">
        <v>196845</v>
      </c>
      <c r="BR79" s="835">
        <v>302315</v>
      </c>
      <c r="BS79" s="835">
        <v>39358</v>
      </c>
      <c r="BT79" s="835">
        <v>7790486</v>
      </c>
      <c r="BU79" s="835">
        <v>246865</v>
      </c>
      <c r="BV79" s="835">
        <v>325197</v>
      </c>
      <c r="BW79" s="835">
        <v>61702</v>
      </c>
      <c r="BX79" s="835">
        <v>708182</v>
      </c>
      <c r="BY79" s="835">
        <v>19609</v>
      </c>
      <c r="BZ79" s="835">
        <v>27204</v>
      </c>
      <c r="CA79" s="835">
        <v>2757579</v>
      </c>
      <c r="CB79" s="835">
        <v>34488</v>
      </c>
    </row>
    <row r="80" spans="1:80" x14ac:dyDescent="0.25">
      <c r="A80" s="787">
        <v>254</v>
      </c>
      <c r="B80" s="846">
        <v>254</v>
      </c>
      <c r="C80" s="832" t="s">
        <v>112</v>
      </c>
      <c r="D80" s="860" t="s">
        <v>460</v>
      </c>
      <c r="E80" s="829">
        <v>1588344</v>
      </c>
      <c r="F80" s="798">
        <v>14747096</v>
      </c>
      <c r="G80" s="798">
        <v>431328</v>
      </c>
      <c r="H80" s="798">
        <v>18278872</v>
      </c>
      <c r="I80" s="798">
        <v>2684048</v>
      </c>
      <c r="J80" s="798">
        <v>113870</v>
      </c>
      <c r="K80" s="800">
        <v>2527367</v>
      </c>
      <c r="L80" s="835">
        <v>154529</v>
      </c>
      <c r="M80" s="835">
        <v>-38985389</v>
      </c>
      <c r="N80" s="830">
        <v>183811</v>
      </c>
      <c r="O80" s="830">
        <v>-310049</v>
      </c>
      <c r="P80" s="830">
        <v>156989</v>
      </c>
      <c r="Q80" s="830">
        <v>-8037105</v>
      </c>
      <c r="R80" s="830">
        <v>4610656</v>
      </c>
      <c r="S80" s="830">
        <v>1970246</v>
      </c>
      <c r="T80" s="830">
        <v>-2610880</v>
      </c>
      <c r="U80" s="830">
        <v>-15846</v>
      </c>
      <c r="V80" s="830">
        <v>-2092818</v>
      </c>
      <c r="W80" s="830">
        <v>165847</v>
      </c>
      <c r="X80" s="830">
        <v>3945057</v>
      </c>
      <c r="Y80" s="830">
        <v>-341940</v>
      </c>
      <c r="Z80" s="830">
        <v>1278129</v>
      </c>
      <c r="AA80" s="835">
        <v>1169586</v>
      </c>
      <c r="AB80" s="835">
        <v>-2054277</v>
      </c>
      <c r="AC80" s="835">
        <v>939600</v>
      </c>
      <c r="AD80" s="835">
        <v>173950</v>
      </c>
      <c r="AE80" s="835">
        <v>721795</v>
      </c>
      <c r="AF80" s="835">
        <v>148344</v>
      </c>
      <c r="AG80" s="835">
        <v>113425</v>
      </c>
      <c r="AH80" s="835">
        <v>51439</v>
      </c>
      <c r="AI80" s="835">
        <v>145859</v>
      </c>
      <c r="AJ80" s="835">
        <v>1425847</v>
      </c>
      <c r="AK80" s="835">
        <v>1379926</v>
      </c>
      <c r="AL80" s="835">
        <v>223402</v>
      </c>
      <c r="AM80" s="835">
        <v>107649</v>
      </c>
      <c r="AN80" s="835">
        <v>10991845</v>
      </c>
      <c r="AO80" s="835">
        <v>4412313</v>
      </c>
      <c r="AP80" s="835">
        <v>462562</v>
      </c>
      <c r="AQ80" s="835">
        <v>8640880</v>
      </c>
      <c r="AR80" s="835">
        <v>-872267</v>
      </c>
      <c r="AS80" s="835">
        <v>1922838</v>
      </c>
      <c r="AT80" s="835">
        <v>21539</v>
      </c>
      <c r="AU80" s="835">
        <v>2255758</v>
      </c>
      <c r="AV80" s="835">
        <v>-7372811</v>
      </c>
      <c r="AW80" s="835">
        <v>92165</v>
      </c>
      <c r="AX80" s="835">
        <v>322717</v>
      </c>
      <c r="AY80" s="835">
        <v>1922013</v>
      </c>
      <c r="AZ80" s="835">
        <v>746242</v>
      </c>
      <c r="BA80" s="835">
        <v>-592106</v>
      </c>
      <c r="BB80" s="835">
        <v>62855</v>
      </c>
      <c r="BC80" s="835">
        <v>263361</v>
      </c>
      <c r="BD80" s="835">
        <v>1532748</v>
      </c>
      <c r="BE80" s="835">
        <v>354030</v>
      </c>
      <c r="BF80" s="835">
        <v>-27582309</v>
      </c>
      <c r="BG80" s="835">
        <v>370829</v>
      </c>
      <c r="BH80" s="835">
        <v>116398</v>
      </c>
      <c r="BI80" s="835">
        <v>-518812</v>
      </c>
      <c r="BJ80" s="835">
        <v>1951744</v>
      </c>
      <c r="BK80" s="835">
        <v>393401</v>
      </c>
      <c r="BL80" s="835">
        <v>1765829</v>
      </c>
      <c r="BM80" s="835">
        <v>2443856</v>
      </c>
      <c r="BN80" s="835">
        <v>118476</v>
      </c>
      <c r="BO80" s="835">
        <v>1691540</v>
      </c>
      <c r="BP80" s="835">
        <v>2597544</v>
      </c>
      <c r="BQ80" s="835">
        <v>1423374</v>
      </c>
      <c r="BR80" s="835">
        <v>794412</v>
      </c>
      <c r="BS80" s="835">
        <v>2613201</v>
      </c>
      <c r="BT80" s="835">
        <v>3973415</v>
      </c>
      <c r="BU80" s="835">
        <v>1644645</v>
      </c>
      <c r="BV80" s="835">
        <v>-2073438</v>
      </c>
      <c r="BW80" s="835">
        <v>422548</v>
      </c>
      <c r="BX80" s="835">
        <v>682670</v>
      </c>
      <c r="BY80" s="835">
        <v>146428</v>
      </c>
      <c r="BZ80" s="835">
        <v>179097</v>
      </c>
      <c r="CA80" s="835">
        <v>6147464</v>
      </c>
      <c r="CB80" s="835">
        <v>88301</v>
      </c>
    </row>
    <row r="81" spans="1:80" x14ac:dyDescent="0.25">
      <c r="A81" s="787">
        <v>255</v>
      </c>
      <c r="B81" s="846">
        <v>255</v>
      </c>
      <c r="C81" s="832" t="s">
        <v>264</v>
      </c>
      <c r="D81" s="860" t="s">
        <v>461</v>
      </c>
      <c r="E81" s="829">
        <v>-185966</v>
      </c>
      <c r="F81" s="798">
        <v>5931580</v>
      </c>
      <c r="G81" s="798">
        <v>97045</v>
      </c>
      <c r="H81" s="798">
        <v>4390588</v>
      </c>
      <c r="I81" s="798">
        <v>617333</v>
      </c>
      <c r="J81" s="798">
        <v>791</v>
      </c>
      <c r="K81" s="800">
        <v>46025</v>
      </c>
      <c r="L81" s="835">
        <v>146171</v>
      </c>
      <c r="M81" s="835">
        <v>-1334727</v>
      </c>
      <c r="N81" s="830">
        <v>9870</v>
      </c>
      <c r="O81" s="830">
        <v>-89819</v>
      </c>
      <c r="P81" s="830">
        <v>44778</v>
      </c>
      <c r="Q81" s="830">
        <v>1242802</v>
      </c>
      <c r="R81" s="830">
        <v>5939890</v>
      </c>
      <c r="S81" s="830">
        <v>-63661</v>
      </c>
      <c r="T81" s="830">
        <v>1449593</v>
      </c>
      <c r="U81" s="830">
        <v>-766</v>
      </c>
      <c r="V81" s="830">
        <v>3018780</v>
      </c>
      <c r="W81" s="830">
        <v>9529</v>
      </c>
      <c r="X81" s="830">
        <v>7286570</v>
      </c>
      <c r="Y81" s="830">
        <v>19380486</v>
      </c>
      <c r="Z81" s="830">
        <v>537300</v>
      </c>
      <c r="AA81" s="835">
        <v>271839</v>
      </c>
      <c r="AB81" s="835">
        <v>683249</v>
      </c>
      <c r="AC81" s="835">
        <v>118400</v>
      </c>
      <c r="AD81" s="835">
        <v>25795</v>
      </c>
      <c r="AE81" s="835">
        <v>161682</v>
      </c>
      <c r="AF81" s="835">
        <v>398596</v>
      </c>
      <c r="AG81" s="835">
        <v>-32899</v>
      </c>
      <c r="AH81" s="835">
        <v>8049</v>
      </c>
      <c r="AI81" s="835">
        <v>-55608</v>
      </c>
      <c r="AJ81" s="835">
        <v>298311</v>
      </c>
      <c r="AK81" s="835">
        <v>2831082</v>
      </c>
      <c r="AL81" s="835">
        <v>69224</v>
      </c>
      <c r="AM81" s="835">
        <v>2115</v>
      </c>
      <c r="AN81" s="835">
        <v>3398733</v>
      </c>
      <c r="AO81" s="835">
        <v>1629612</v>
      </c>
      <c r="AP81" s="835">
        <v>17300</v>
      </c>
      <c r="AQ81" s="835">
        <v>880478</v>
      </c>
      <c r="AR81" s="835">
        <v>1002346</v>
      </c>
      <c r="AS81" s="835">
        <v>279335</v>
      </c>
      <c r="AT81" s="835">
        <v>58097</v>
      </c>
      <c r="AU81" s="835">
        <v>221962</v>
      </c>
      <c r="AV81" s="835">
        <v>-504403</v>
      </c>
      <c r="AW81" s="835">
        <v>30178</v>
      </c>
      <c r="AX81" s="835">
        <v>-37673</v>
      </c>
      <c r="AY81" s="835">
        <v>514542</v>
      </c>
      <c r="AZ81" s="835">
        <v>343877</v>
      </c>
      <c r="BA81" s="835">
        <v>1000534</v>
      </c>
      <c r="BB81" s="835">
        <v>15147</v>
      </c>
      <c r="BC81" s="835">
        <v>149632</v>
      </c>
      <c r="BD81" s="835">
        <v>28961</v>
      </c>
      <c r="BE81" s="835">
        <v>7772</v>
      </c>
      <c r="BF81" s="835">
        <v>1840365</v>
      </c>
      <c r="BG81" s="835">
        <v>-8374</v>
      </c>
      <c r="BH81" s="835">
        <v>7241</v>
      </c>
      <c r="BI81" s="835">
        <v>-404858</v>
      </c>
      <c r="BJ81" s="835">
        <v>338398</v>
      </c>
      <c r="BK81" s="835">
        <v>73579</v>
      </c>
      <c r="BL81" s="835">
        <v>-126300</v>
      </c>
      <c r="BM81" s="835">
        <v>1193380</v>
      </c>
      <c r="BN81" s="835">
        <v>12781</v>
      </c>
      <c r="BO81" s="835">
        <v>-293005</v>
      </c>
      <c r="BP81" s="835">
        <v>463637</v>
      </c>
      <c r="BQ81" s="835">
        <v>41175</v>
      </c>
      <c r="BR81" s="835">
        <v>-143101</v>
      </c>
      <c r="BS81" s="835">
        <v>183857</v>
      </c>
      <c r="BT81" s="835">
        <v>4134332</v>
      </c>
      <c r="BU81" s="835">
        <v>171771</v>
      </c>
      <c r="BV81" s="835">
        <v>160162</v>
      </c>
      <c r="BW81" s="835">
        <v>-119432</v>
      </c>
      <c r="BX81" s="835">
        <v>196921</v>
      </c>
      <c r="BY81" s="835">
        <v>8032</v>
      </c>
      <c r="BZ81" s="835">
        <v>16482</v>
      </c>
      <c r="CA81" s="835">
        <v>4270732</v>
      </c>
      <c r="CB81" s="835">
        <v>6561</v>
      </c>
    </row>
    <row r="82" spans="1:80" x14ac:dyDescent="0.25">
      <c r="A82" s="860"/>
      <c r="B82" s="846">
        <v>274</v>
      </c>
      <c r="C82" s="799" t="s">
        <v>462</v>
      </c>
      <c r="D82" s="860" t="s">
        <v>463</v>
      </c>
      <c r="E82" s="829"/>
      <c r="F82" s="798"/>
      <c r="G82" s="798"/>
      <c r="H82" s="798"/>
      <c r="I82" s="798"/>
      <c r="J82" s="798"/>
      <c r="K82" s="800"/>
      <c r="L82" s="835"/>
      <c r="M82" s="835"/>
      <c r="N82" s="830"/>
      <c r="O82" s="830"/>
      <c r="P82" s="830"/>
      <c r="Q82" s="830"/>
      <c r="R82" s="830"/>
      <c r="S82" s="830"/>
      <c r="T82" s="830"/>
      <c r="U82" s="830"/>
      <c r="V82" s="830"/>
      <c r="W82" s="830"/>
      <c r="X82" s="830"/>
      <c r="Y82" s="830"/>
      <c r="Z82" s="830"/>
      <c r="AA82" s="835"/>
      <c r="AB82" s="835"/>
      <c r="AC82" s="835"/>
      <c r="AD82" s="835"/>
      <c r="AE82" s="835"/>
      <c r="AF82" s="835"/>
      <c r="AG82" s="835"/>
      <c r="AH82" s="835"/>
      <c r="AI82" s="835"/>
      <c r="AJ82" s="835"/>
      <c r="AK82" s="835"/>
      <c r="AL82" s="835"/>
      <c r="AM82" s="835"/>
      <c r="AN82" s="835"/>
      <c r="AO82" s="835"/>
      <c r="AP82" s="835"/>
      <c r="AQ82" s="835"/>
      <c r="AR82" s="835"/>
      <c r="AS82" s="835"/>
      <c r="AT82" s="835"/>
      <c r="AU82" s="835"/>
      <c r="AV82" s="835"/>
      <c r="AW82" s="835"/>
      <c r="AX82" s="835"/>
      <c r="AY82" s="835"/>
      <c r="AZ82" s="835"/>
      <c r="BA82" s="835"/>
      <c r="BB82" s="835"/>
      <c r="BC82" s="835"/>
      <c r="BD82" s="835"/>
      <c r="BE82" s="835"/>
      <c r="BF82" s="835"/>
      <c r="BG82" s="835"/>
      <c r="BH82" s="835"/>
      <c r="BI82" s="835"/>
      <c r="BJ82" s="835"/>
      <c r="BK82" s="835"/>
      <c r="BL82" s="835"/>
      <c r="BM82" s="835"/>
      <c r="BN82" s="835"/>
      <c r="BO82" s="835"/>
      <c r="BP82" s="835"/>
      <c r="BQ82" s="835"/>
      <c r="BR82" s="835"/>
      <c r="BS82" s="835"/>
      <c r="BT82" s="835"/>
      <c r="BU82" s="835"/>
      <c r="BV82" s="835"/>
      <c r="BW82" s="835"/>
      <c r="BX82" s="835"/>
      <c r="BY82" s="835"/>
      <c r="BZ82" s="835"/>
      <c r="CA82" s="835"/>
      <c r="CB82" s="835"/>
    </row>
    <row r="83" spans="1:80" x14ac:dyDescent="0.25">
      <c r="A83" s="860"/>
      <c r="B83" s="846">
        <v>294</v>
      </c>
      <c r="C83" s="786" t="s">
        <v>1180</v>
      </c>
      <c r="D83" s="860" t="s">
        <v>464</v>
      </c>
      <c r="E83" s="829"/>
      <c r="F83" s="798"/>
      <c r="G83" s="798"/>
      <c r="H83" s="798"/>
      <c r="I83" s="798"/>
      <c r="J83" s="798"/>
      <c r="K83" s="800"/>
      <c r="L83" s="835"/>
      <c r="M83" s="835"/>
      <c r="N83" s="830"/>
      <c r="O83" s="830"/>
      <c r="P83" s="830"/>
      <c r="Q83" s="830"/>
      <c r="R83" s="830"/>
      <c r="S83" s="830"/>
      <c r="T83" s="830"/>
      <c r="U83" s="830"/>
      <c r="V83" s="830"/>
      <c r="W83" s="830"/>
      <c r="X83" s="830"/>
      <c r="Y83" s="830"/>
      <c r="Z83" s="830"/>
      <c r="AA83" s="835"/>
      <c r="AB83" s="835"/>
      <c r="AC83" s="835"/>
      <c r="AD83" s="835"/>
      <c r="AE83" s="835"/>
      <c r="AF83" s="835"/>
      <c r="AG83" s="835"/>
      <c r="AH83" s="835"/>
      <c r="AI83" s="835"/>
      <c r="AJ83" s="835"/>
      <c r="AK83" s="835"/>
      <c r="AL83" s="835"/>
      <c r="AM83" s="835"/>
      <c r="AN83" s="835"/>
      <c r="AO83" s="835"/>
      <c r="AP83" s="835"/>
      <c r="AQ83" s="835"/>
      <c r="AR83" s="835"/>
      <c r="AS83" s="835"/>
      <c r="AT83" s="835"/>
      <c r="AU83" s="835"/>
      <c r="AV83" s="835"/>
      <c r="AW83" s="835"/>
      <c r="AX83" s="835"/>
      <c r="AY83" s="835"/>
      <c r="AZ83" s="835"/>
      <c r="BA83" s="835"/>
      <c r="BB83" s="835"/>
      <c r="BC83" s="835"/>
      <c r="BD83" s="835"/>
      <c r="BE83" s="835"/>
      <c r="BF83" s="835"/>
      <c r="BG83" s="835"/>
      <c r="BH83" s="835"/>
      <c r="BI83" s="835"/>
      <c r="BJ83" s="835"/>
      <c r="BK83" s="835"/>
      <c r="BL83" s="835"/>
      <c r="BM83" s="835"/>
      <c r="BN83" s="835"/>
      <c r="BO83" s="835"/>
      <c r="BP83" s="835"/>
      <c r="BQ83" s="835"/>
      <c r="BR83" s="835"/>
      <c r="BS83" s="835"/>
      <c r="BT83" s="835"/>
      <c r="BU83" s="835"/>
      <c r="BV83" s="835"/>
      <c r="BW83" s="835"/>
      <c r="BX83" s="835"/>
      <c r="BY83" s="835"/>
      <c r="BZ83" s="835"/>
      <c r="CA83" s="835"/>
      <c r="CB83" s="835"/>
    </row>
    <row r="84" spans="1:80" ht="25.5" x14ac:dyDescent="0.25">
      <c r="A84" s="860"/>
      <c r="B84" s="846">
        <v>314</v>
      </c>
      <c r="C84" s="786" t="s">
        <v>465</v>
      </c>
      <c r="D84" s="860" t="s">
        <v>466</v>
      </c>
      <c r="E84" s="829"/>
      <c r="F84" s="798"/>
      <c r="G84" s="798"/>
      <c r="H84" s="798"/>
      <c r="I84" s="798"/>
      <c r="J84" s="798"/>
      <c r="K84" s="800"/>
      <c r="L84" s="835"/>
      <c r="M84" s="835"/>
      <c r="N84" s="830"/>
      <c r="O84" s="830"/>
      <c r="P84" s="830"/>
      <c r="Q84" s="830"/>
      <c r="R84" s="830"/>
      <c r="S84" s="830"/>
      <c r="T84" s="830"/>
      <c r="U84" s="830"/>
      <c r="V84" s="830"/>
      <c r="W84" s="830"/>
      <c r="X84" s="830"/>
      <c r="Y84" s="830"/>
      <c r="Z84" s="830"/>
      <c r="AA84" s="835"/>
      <c r="AB84" s="835"/>
      <c r="AC84" s="835"/>
      <c r="AD84" s="835"/>
      <c r="AE84" s="835"/>
      <c r="AF84" s="835"/>
      <c r="AG84" s="835"/>
      <c r="AH84" s="835"/>
      <c r="AI84" s="835"/>
      <c r="AJ84" s="835"/>
      <c r="AK84" s="835"/>
      <c r="AL84" s="835"/>
      <c r="AM84" s="835"/>
      <c r="AN84" s="835"/>
      <c r="AO84" s="835"/>
      <c r="AP84" s="835"/>
      <c r="AQ84" s="835"/>
      <c r="AR84" s="835"/>
      <c r="AS84" s="835"/>
      <c r="AT84" s="835"/>
      <c r="AU84" s="835"/>
      <c r="AV84" s="835"/>
      <c r="AW84" s="835"/>
      <c r="AX84" s="835"/>
      <c r="AY84" s="835"/>
      <c r="AZ84" s="835"/>
      <c r="BA84" s="835"/>
      <c r="BB84" s="835"/>
      <c r="BC84" s="835"/>
      <c r="BD84" s="835"/>
      <c r="BE84" s="835"/>
      <c r="BF84" s="835"/>
      <c r="BG84" s="835"/>
      <c r="BH84" s="835"/>
      <c r="BI84" s="835"/>
      <c r="BJ84" s="835"/>
      <c r="BK84" s="835"/>
      <c r="BL84" s="835"/>
      <c r="BM84" s="835"/>
      <c r="BN84" s="835"/>
      <c r="BO84" s="835"/>
      <c r="BP84" s="835"/>
      <c r="BQ84" s="835"/>
      <c r="BR84" s="835"/>
      <c r="BS84" s="835"/>
      <c r="BT84" s="835"/>
      <c r="BU84" s="835"/>
      <c r="BV84" s="835"/>
      <c r="BW84" s="835"/>
      <c r="BX84" s="835"/>
      <c r="BY84" s="835"/>
      <c r="BZ84" s="835"/>
      <c r="CA84" s="835"/>
      <c r="CB84" s="835"/>
    </row>
    <row r="85" spans="1:80" ht="25.5" x14ac:dyDescent="0.25">
      <c r="A85" s="860"/>
      <c r="B85" s="846">
        <v>315</v>
      </c>
      <c r="C85" s="786" t="s">
        <v>467</v>
      </c>
      <c r="D85" s="860" t="s">
        <v>468</v>
      </c>
      <c r="E85" s="829"/>
      <c r="F85" s="798"/>
      <c r="G85" s="798"/>
      <c r="H85" s="798"/>
      <c r="I85" s="798"/>
      <c r="J85" s="798"/>
      <c r="K85" s="800"/>
      <c r="L85" s="835"/>
      <c r="M85" s="835"/>
      <c r="N85" s="830"/>
      <c r="O85" s="830"/>
      <c r="P85" s="830"/>
      <c r="Q85" s="830"/>
      <c r="R85" s="830"/>
      <c r="S85" s="830"/>
      <c r="T85" s="830"/>
      <c r="U85" s="830"/>
      <c r="V85" s="830"/>
      <c r="W85" s="830"/>
      <c r="X85" s="830"/>
      <c r="Y85" s="830"/>
      <c r="Z85" s="830"/>
      <c r="AA85" s="835"/>
      <c r="AB85" s="835"/>
      <c r="AC85" s="835"/>
      <c r="AD85" s="835"/>
      <c r="AE85" s="835"/>
      <c r="AF85" s="835"/>
      <c r="AG85" s="835"/>
      <c r="AH85" s="835"/>
      <c r="AI85" s="835"/>
      <c r="AJ85" s="835"/>
      <c r="AK85" s="835"/>
      <c r="AL85" s="835"/>
      <c r="AM85" s="835"/>
      <c r="AN85" s="835"/>
      <c r="AO85" s="835"/>
      <c r="AP85" s="835"/>
      <c r="AQ85" s="835"/>
      <c r="AR85" s="835"/>
      <c r="AS85" s="835"/>
      <c r="AT85" s="835"/>
      <c r="AU85" s="835"/>
      <c r="AV85" s="835"/>
      <c r="AW85" s="835"/>
      <c r="AX85" s="835"/>
      <c r="AY85" s="835"/>
      <c r="AZ85" s="835"/>
      <c r="BA85" s="835"/>
      <c r="BB85" s="835"/>
      <c r="BC85" s="835"/>
      <c r="BD85" s="835"/>
      <c r="BE85" s="835"/>
      <c r="BF85" s="835"/>
      <c r="BG85" s="835"/>
      <c r="BH85" s="835"/>
      <c r="BI85" s="835"/>
      <c r="BJ85" s="835"/>
      <c r="BK85" s="835"/>
      <c r="BL85" s="835"/>
      <c r="BM85" s="835"/>
      <c r="BN85" s="835"/>
      <c r="BO85" s="835"/>
      <c r="BP85" s="835"/>
      <c r="BQ85" s="835"/>
      <c r="BR85" s="835"/>
      <c r="BS85" s="835"/>
      <c r="BT85" s="835"/>
      <c r="BU85" s="835"/>
      <c r="BV85" s="835"/>
      <c r="BW85" s="835"/>
      <c r="BX85" s="835"/>
      <c r="BY85" s="835"/>
      <c r="BZ85" s="835"/>
      <c r="CA85" s="835"/>
      <c r="CB85" s="835"/>
    </row>
    <row r="86" spans="1:80" x14ac:dyDescent="0.25">
      <c r="A86" s="860"/>
      <c r="B86" s="846">
        <v>316</v>
      </c>
      <c r="C86" s="786" t="s">
        <v>469</v>
      </c>
      <c r="D86" s="860" t="s">
        <v>470</v>
      </c>
      <c r="E86" s="829"/>
      <c r="F86" s="798"/>
      <c r="G86" s="798"/>
      <c r="H86" s="798"/>
      <c r="I86" s="798"/>
      <c r="J86" s="798"/>
      <c r="K86" s="800"/>
      <c r="L86" s="835"/>
      <c r="M86" s="835"/>
      <c r="N86" s="830"/>
      <c r="O86" s="830"/>
      <c r="P86" s="830"/>
      <c r="Q86" s="830"/>
      <c r="R86" s="830"/>
      <c r="S86" s="830"/>
      <c r="T86" s="830"/>
      <c r="U86" s="830"/>
      <c r="V86" s="830"/>
      <c r="W86" s="830"/>
      <c r="X86" s="830"/>
      <c r="Y86" s="830"/>
      <c r="Z86" s="830"/>
      <c r="AA86" s="835"/>
      <c r="AB86" s="835"/>
      <c r="AC86" s="835"/>
      <c r="AD86" s="835"/>
      <c r="AE86" s="835"/>
      <c r="AF86" s="835"/>
      <c r="AG86" s="835"/>
      <c r="AH86" s="835"/>
      <c r="AI86" s="835"/>
      <c r="AJ86" s="835"/>
      <c r="AK86" s="835"/>
      <c r="AL86" s="835"/>
      <c r="AM86" s="835"/>
      <c r="AN86" s="835"/>
      <c r="AO86" s="835"/>
      <c r="AP86" s="835"/>
      <c r="AQ86" s="835"/>
      <c r="AR86" s="835"/>
      <c r="AS86" s="835"/>
      <c r="AT86" s="835"/>
      <c r="AU86" s="835"/>
      <c r="AV86" s="835"/>
      <c r="AW86" s="835"/>
      <c r="AX86" s="835"/>
      <c r="AY86" s="835"/>
      <c r="AZ86" s="835"/>
      <c r="BA86" s="835"/>
      <c r="BB86" s="835"/>
      <c r="BC86" s="835"/>
      <c r="BD86" s="835"/>
      <c r="BE86" s="835"/>
      <c r="BF86" s="835"/>
      <c r="BG86" s="835"/>
      <c r="BH86" s="835"/>
      <c r="BI86" s="835"/>
      <c r="BJ86" s="835"/>
      <c r="BK86" s="835"/>
      <c r="BL86" s="835"/>
      <c r="BM86" s="835"/>
      <c r="BN86" s="835"/>
      <c r="BO86" s="835"/>
      <c r="BP86" s="835"/>
      <c r="BQ86" s="835"/>
      <c r="BR86" s="835"/>
      <c r="BS86" s="835"/>
      <c r="BT86" s="835"/>
      <c r="BU86" s="835"/>
      <c r="BV86" s="835"/>
      <c r="BW86" s="835"/>
      <c r="BX86" s="835"/>
      <c r="BY86" s="835"/>
      <c r="BZ86" s="835"/>
      <c r="CA86" s="835"/>
      <c r="CB86" s="835"/>
    </row>
    <row r="87" spans="1:80" s="373" customFormat="1" x14ac:dyDescent="0.25">
      <c r="A87" s="787">
        <v>320</v>
      </c>
      <c r="B87" s="782">
        <v>320</v>
      </c>
      <c r="C87" s="781" t="s">
        <v>325</v>
      </c>
      <c r="D87" s="805" t="s">
        <v>471</v>
      </c>
      <c r="E87" s="780">
        <v>0</v>
      </c>
      <c r="F87" s="819">
        <v>0</v>
      </c>
      <c r="G87" s="819">
        <v>0</v>
      </c>
      <c r="H87" s="819">
        <v>0</v>
      </c>
      <c r="I87" s="819">
        <v>0</v>
      </c>
      <c r="J87" s="819">
        <v>0</v>
      </c>
      <c r="K87" s="817">
        <v>0</v>
      </c>
      <c r="L87" s="818">
        <v>0</v>
      </c>
      <c r="M87" s="818">
        <v>0</v>
      </c>
      <c r="N87" s="779">
        <v>0</v>
      </c>
      <c r="O87" s="779">
        <v>0</v>
      </c>
      <c r="P87" s="779">
        <v>0</v>
      </c>
      <c r="Q87" s="779">
        <v>0</v>
      </c>
      <c r="R87" s="779">
        <v>0</v>
      </c>
      <c r="S87" s="779">
        <v>0</v>
      </c>
      <c r="T87" s="779">
        <v>0</v>
      </c>
      <c r="U87" s="779">
        <v>0</v>
      </c>
      <c r="V87" s="779">
        <v>0</v>
      </c>
      <c r="W87" s="779">
        <v>0</v>
      </c>
      <c r="X87" s="779">
        <v>0</v>
      </c>
      <c r="Y87" s="779">
        <v>0</v>
      </c>
      <c r="Z87" s="779">
        <v>0</v>
      </c>
      <c r="AA87" s="818">
        <v>0</v>
      </c>
      <c r="AB87" s="818">
        <v>0</v>
      </c>
      <c r="AC87" s="818">
        <v>0</v>
      </c>
      <c r="AD87" s="818">
        <v>0</v>
      </c>
      <c r="AE87" s="818">
        <v>0</v>
      </c>
      <c r="AF87" s="818">
        <v>0</v>
      </c>
      <c r="AG87" s="818">
        <v>0</v>
      </c>
      <c r="AH87" s="818">
        <v>0</v>
      </c>
      <c r="AI87" s="818">
        <v>0</v>
      </c>
      <c r="AJ87" s="818">
        <v>0</v>
      </c>
      <c r="AK87" s="818">
        <v>0</v>
      </c>
      <c r="AL87" s="818">
        <v>0</v>
      </c>
      <c r="AM87" s="818">
        <v>0</v>
      </c>
      <c r="AN87" s="818">
        <v>0</v>
      </c>
      <c r="AO87" s="818">
        <v>0</v>
      </c>
      <c r="AP87" s="818">
        <v>0</v>
      </c>
      <c r="AQ87" s="818">
        <v>0</v>
      </c>
      <c r="AR87" s="818">
        <v>0</v>
      </c>
      <c r="AS87" s="818">
        <v>0</v>
      </c>
      <c r="AT87" s="818">
        <v>0</v>
      </c>
      <c r="AU87" s="818">
        <v>0</v>
      </c>
      <c r="AV87" s="818">
        <v>0</v>
      </c>
      <c r="AW87" s="818">
        <v>0</v>
      </c>
      <c r="AX87" s="818">
        <v>0</v>
      </c>
      <c r="AY87" s="818">
        <v>0</v>
      </c>
      <c r="AZ87" s="818">
        <v>0</v>
      </c>
      <c r="BA87" s="818">
        <v>0</v>
      </c>
      <c r="BB87" s="818">
        <v>0</v>
      </c>
      <c r="BC87" s="818">
        <v>0</v>
      </c>
      <c r="BD87" s="818">
        <v>0</v>
      </c>
      <c r="BE87" s="818">
        <v>0</v>
      </c>
      <c r="BF87" s="818">
        <v>0</v>
      </c>
      <c r="BG87" s="818">
        <v>0</v>
      </c>
      <c r="BH87" s="818">
        <v>0</v>
      </c>
      <c r="BI87" s="818">
        <v>0</v>
      </c>
      <c r="BJ87" s="818">
        <v>0</v>
      </c>
      <c r="BK87" s="818">
        <v>0</v>
      </c>
      <c r="BL87" s="818">
        <v>0</v>
      </c>
      <c r="BM87" s="818">
        <v>0</v>
      </c>
      <c r="BN87" s="818">
        <v>0</v>
      </c>
      <c r="BO87" s="818">
        <v>0</v>
      </c>
      <c r="BP87" s="818">
        <v>0</v>
      </c>
      <c r="BQ87" s="818">
        <v>0</v>
      </c>
      <c r="BR87" s="818">
        <v>0</v>
      </c>
      <c r="BS87" s="818">
        <v>0</v>
      </c>
      <c r="BT87" s="818">
        <v>0</v>
      </c>
      <c r="BU87" s="818">
        <v>0</v>
      </c>
      <c r="BV87" s="818">
        <v>0</v>
      </c>
      <c r="BW87" s="818">
        <v>0</v>
      </c>
      <c r="BX87" s="818">
        <v>0</v>
      </c>
      <c r="BY87" s="818">
        <v>0</v>
      </c>
      <c r="BZ87" s="818">
        <v>0</v>
      </c>
      <c r="CA87" s="818">
        <v>0</v>
      </c>
      <c r="CB87" s="818">
        <v>0</v>
      </c>
    </row>
    <row r="88" spans="1:80" s="373" customFormat="1" x14ac:dyDescent="0.25">
      <c r="A88" s="787">
        <v>321</v>
      </c>
      <c r="B88" s="782">
        <v>321</v>
      </c>
      <c r="C88" s="781" t="s">
        <v>1181</v>
      </c>
      <c r="D88" s="805" t="s">
        <v>472</v>
      </c>
      <c r="E88" s="780">
        <v>0</v>
      </c>
      <c r="F88" s="819">
        <v>0</v>
      </c>
      <c r="G88" s="819">
        <v>0</v>
      </c>
      <c r="H88" s="819">
        <v>0</v>
      </c>
      <c r="I88" s="819">
        <v>0</v>
      </c>
      <c r="J88" s="819">
        <v>0</v>
      </c>
      <c r="K88" s="817">
        <v>0</v>
      </c>
      <c r="L88" s="818">
        <v>0</v>
      </c>
      <c r="M88" s="818">
        <v>0</v>
      </c>
      <c r="N88" s="779">
        <v>0</v>
      </c>
      <c r="O88" s="779">
        <v>0</v>
      </c>
      <c r="P88" s="779">
        <v>0</v>
      </c>
      <c r="Q88" s="779">
        <v>0</v>
      </c>
      <c r="R88" s="779">
        <v>0</v>
      </c>
      <c r="S88" s="779">
        <v>0</v>
      </c>
      <c r="T88" s="779">
        <v>0</v>
      </c>
      <c r="U88" s="779">
        <v>0</v>
      </c>
      <c r="V88" s="779">
        <v>0</v>
      </c>
      <c r="W88" s="779">
        <v>0</v>
      </c>
      <c r="X88" s="779">
        <v>0</v>
      </c>
      <c r="Y88" s="779">
        <v>0</v>
      </c>
      <c r="Z88" s="779">
        <v>0</v>
      </c>
      <c r="AA88" s="818">
        <v>0</v>
      </c>
      <c r="AB88" s="818">
        <v>0</v>
      </c>
      <c r="AC88" s="818">
        <v>0</v>
      </c>
      <c r="AD88" s="818">
        <v>0</v>
      </c>
      <c r="AE88" s="818">
        <v>0</v>
      </c>
      <c r="AF88" s="818">
        <v>0</v>
      </c>
      <c r="AG88" s="818">
        <v>0</v>
      </c>
      <c r="AH88" s="818">
        <v>0</v>
      </c>
      <c r="AI88" s="818">
        <v>0</v>
      </c>
      <c r="AJ88" s="818">
        <v>0</v>
      </c>
      <c r="AK88" s="818">
        <v>0</v>
      </c>
      <c r="AL88" s="818">
        <v>0</v>
      </c>
      <c r="AM88" s="818">
        <v>0</v>
      </c>
      <c r="AN88" s="818">
        <v>0</v>
      </c>
      <c r="AO88" s="818">
        <v>0</v>
      </c>
      <c r="AP88" s="818">
        <v>0</v>
      </c>
      <c r="AQ88" s="818">
        <v>0</v>
      </c>
      <c r="AR88" s="818">
        <v>0</v>
      </c>
      <c r="AS88" s="818">
        <v>0</v>
      </c>
      <c r="AT88" s="818">
        <v>0</v>
      </c>
      <c r="AU88" s="818">
        <v>0</v>
      </c>
      <c r="AV88" s="818">
        <v>0</v>
      </c>
      <c r="AW88" s="818">
        <v>0</v>
      </c>
      <c r="AX88" s="818">
        <v>0</v>
      </c>
      <c r="AY88" s="818">
        <v>0</v>
      </c>
      <c r="AZ88" s="818">
        <v>0</v>
      </c>
      <c r="BA88" s="818">
        <v>0</v>
      </c>
      <c r="BB88" s="818">
        <v>0</v>
      </c>
      <c r="BC88" s="818">
        <v>0</v>
      </c>
      <c r="BD88" s="818">
        <v>0</v>
      </c>
      <c r="BE88" s="818">
        <v>0</v>
      </c>
      <c r="BF88" s="818">
        <v>0</v>
      </c>
      <c r="BG88" s="818">
        <v>0</v>
      </c>
      <c r="BH88" s="818">
        <v>0</v>
      </c>
      <c r="BI88" s="818">
        <v>0</v>
      </c>
      <c r="BJ88" s="818">
        <v>0</v>
      </c>
      <c r="BK88" s="818">
        <v>0</v>
      </c>
      <c r="BL88" s="818">
        <v>0</v>
      </c>
      <c r="BM88" s="818">
        <v>0</v>
      </c>
      <c r="BN88" s="818">
        <v>0</v>
      </c>
      <c r="BO88" s="818">
        <v>0</v>
      </c>
      <c r="BP88" s="818">
        <v>0</v>
      </c>
      <c r="BQ88" s="818">
        <v>0</v>
      </c>
      <c r="BR88" s="818">
        <v>0</v>
      </c>
      <c r="BS88" s="818">
        <v>0</v>
      </c>
      <c r="BT88" s="818">
        <v>0</v>
      </c>
      <c r="BU88" s="818">
        <v>0</v>
      </c>
      <c r="BV88" s="818">
        <v>0</v>
      </c>
      <c r="BW88" s="818">
        <v>0</v>
      </c>
      <c r="BX88" s="818">
        <v>0</v>
      </c>
      <c r="BY88" s="818">
        <v>0</v>
      </c>
      <c r="BZ88" s="818">
        <v>0</v>
      </c>
      <c r="CA88" s="818">
        <v>0</v>
      </c>
      <c r="CB88" s="818">
        <v>0</v>
      </c>
    </row>
    <row r="89" spans="1:80" s="373" customFormat="1" x14ac:dyDescent="0.25">
      <c r="A89" s="787">
        <v>322</v>
      </c>
      <c r="B89" s="782">
        <v>322</v>
      </c>
      <c r="C89" s="781" t="s">
        <v>327</v>
      </c>
      <c r="D89" s="805" t="s">
        <v>473</v>
      </c>
      <c r="E89" s="780">
        <v>0</v>
      </c>
      <c r="F89" s="819">
        <v>0</v>
      </c>
      <c r="G89" s="819">
        <v>0</v>
      </c>
      <c r="H89" s="819">
        <v>0</v>
      </c>
      <c r="I89" s="819">
        <v>0</v>
      </c>
      <c r="J89" s="819">
        <v>0</v>
      </c>
      <c r="K89" s="817">
        <v>0</v>
      </c>
      <c r="L89" s="818">
        <v>0</v>
      </c>
      <c r="M89" s="818">
        <v>0</v>
      </c>
      <c r="N89" s="779">
        <v>0</v>
      </c>
      <c r="O89" s="779">
        <v>0</v>
      </c>
      <c r="P89" s="779">
        <v>0</v>
      </c>
      <c r="Q89" s="779">
        <v>0</v>
      </c>
      <c r="R89" s="779">
        <v>0</v>
      </c>
      <c r="S89" s="779">
        <v>0</v>
      </c>
      <c r="T89" s="779">
        <v>0</v>
      </c>
      <c r="U89" s="779">
        <v>0</v>
      </c>
      <c r="V89" s="779">
        <v>0</v>
      </c>
      <c r="W89" s="779">
        <v>0</v>
      </c>
      <c r="X89" s="779">
        <v>0</v>
      </c>
      <c r="Y89" s="779">
        <v>0</v>
      </c>
      <c r="Z89" s="779">
        <v>0</v>
      </c>
      <c r="AA89" s="818">
        <v>0</v>
      </c>
      <c r="AB89" s="818">
        <v>0</v>
      </c>
      <c r="AC89" s="818">
        <v>0</v>
      </c>
      <c r="AD89" s="818">
        <v>0</v>
      </c>
      <c r="AE89" s="818">
        <v>0</v>
      </c>
      <c r="AF89" s="818">
        <v>0</v>
      </c>
      <c r="AG89" s="818">
        <v>0</v>
      </c>
      <c r="AH89" s="818">
        <v>0</v>
      </c>
      <c r="AI89" s="818">
        <v>0</v>
      </c>
      <c r="AJ89" s="818">
        <v>0</v>
      </c>
      <c r="AK89" s="818">
        <v>0</v>
      </c>
      <c r="AL89" s="818">
        <v>0</v>
      </c>
      <c r="AM89" s="818">
        <v>0</v>
      </c>
      <c r="AN89" s="818">
        <v>0</v>
      </c>
      <c r="AO89" s="818">
        <v>0</v>
      </c>
      <c r="AP89" s="818">
        <v>0</v>
      </c>
      <c r="AQ89" s="818">
        <v>0</v>
      </c>
      <c r="AR89" s="818">
        <v>0</v>
      </c>
      <c r="AS89" s="818">
        <v>0</v>
      </c>
      <c r="AT89" s="818">
        <v>0</v>
      </c>
      <c r="AU89" s="818">
        <v>0</v>
      </c>
      <c r="AV89" s="818">
        <v>0</v>
      </c>
      <c r="AW89" s="818">
        <v>0</v>
      </c>
      <c r="AX89" s="818">
        <v>0</v>
      </c>
      <c r="AY89" s="818">
        <v>0</v>
      </c>
      <c r="AZ89" s="818">
        <v>0</v>
      </c>
      <c r="BA89" s="818">
        <v>0</v>
      </c>
      <c r="BB89" s="818">
        <v>0</v>
      </c>
      <c r="BC89" s="818">
        <v>0</v>
      </c>
      <c r="BD89" s="818">
        <v>0</v>
      </c>
      <c r="BE89" s="818">
        <v>0</v>
      </c>
      <c r="BF89" s="818">
        <v>0</v>
      </c>
      <c r="BG89" s="818">
        <v>0</v>
      </c>
      <c r="BH89" s="818">
        <v>0</v>
      </c>
      <c r="BI89" s="818">
        <v>0</v>
      </c>
      <c r="BJ89" s="818">
        <v>0</v>
      </c>
      <c r="BK89" s="818">
        <v>0</v>
      </c>
      <c r="BL89" s="818">
        <v>0</v>
      </c>
      <c r="BM89" s="818">
        <v>0</v>
      </c>
      <c r="BN89" s="818">
        <v>0</v>
      </c>
      <c r="BO89" s="818">
        <v>0</v>
      </c>
      <c r="BP89" s="818">
        <v>0</v>
      </c>
      <c r="BQ89" s="818">
        <v>0</v>
      </c>
      <c r="BR89" s="818">
        <v>0</v>
      </c>
      <c r="BS89" s="818">
        <v>0</v>
      </c>
      <c r="BT89" s="818">
        <v>0</v>
      </c>
      <c r="BU89" s="818">
        <v>0</v>
      </c>
      <c r="BV89" s="818">
        <v>0</v>
      </c>
      <c r="BW89" s="818">
        <v>0</v>
      </c>
      <c r="BX89" s="818">
        <v>0</v>
      </c>
      <c r="BY89" s="818">
        <v>0</v>
      </c>
      <c r="BZ89" s="818">
        <v>0</v>
      </c>
      <c r="CA89" s="818">
        <v>0</v>
      </c>
      <c r="CB89" s="818">
        <v>0</v>
      </c>
    </row>
    <row r="90" spans="1:80" s="373" customFormat="1" x14ac:dyDescent="0.25">
      <c r="A90" s="787">
        <v>323</v>
      </c>
      <c r="B90" s="782">
        <v>323</v>
      </c>
      <c r="C90" s="781" t="s">
        <v>326</v>
      </c>
      <c r="D90" s="805" t="s">
        <v>474</v>
      </c>
      <c r="E90" s="780">
        <v>0</v>
      </c>
      <c r="F90" s="819">
        <v>0</v>
      </c>
      <c r="G90" s="819">
        <v>0</v>
      </c>
      <c r="H90" s="819">
        <v>0</v>
      </c>
      <c r="I90" s="819">
        <v>0</v>
      </c>
      <c r="J90" s="819">
        <v>0</v>
      </c>
      <c r="K90" s="817">
        <v>0</v>
      </c>
      <c r="L90" s="818">
        <v>0</v>
      </c>
      <c r="M90" s="818">
        <v>0</v>
      </c>
      <c r="N90" s="779">
        <v>0</v>
      </c>
      <c r="O90" s="779">
        <v>0</v>
      </c>
      <c r="P90" s="779">
        <v>0</v>
      </c>
      <c r="Q90" s="779">
        <v>0</v>
      </c>
      <c r="R90" s="779">
        <v>0</v>
      </c>
      <c r="S90" s="779">
        <v>0</v>
      </c>
      <c r="T90" s="779">
        <v>0</v>
      </c>
      <c r="U90" s="779">
        <v>0</v>
      </c>
      <c r="V90" s="779">
        <v>0</v>
      </c>
      <c r="W90" s="779">
        <v>0</v>
      </c>
      <c r="X90" s="779">
        <v>0</v>
      </c>
      <c r="Y90" s="779">
        <v>0</v>
      </c>
      <c r="Z90" s="779">
        <v>0</v>
      </c>
      <c r="AA90" s="818">
        <v>0</v>
      </c>
      <c r="AB90" s="818">
        <v>0</v>
      </c>
      <c r="AC90" s="818">
        <v>0</v>
      </c>
      <c r="AD90" s="818">
        <v>0</v>
      </c>
      <c r="AE90" s="818">
        <v>0</v>
      </c>
      <c r="AF90" s="818">
        <v>0</v>
      </c>
      <c r="AG90" s="818">
        <v>0</v>
      </c>
      <c r="AH90" s="818">
        <v>0</v>
      </c>
      <c r="AI90" s="818">
        <v>0</v>
      </c>
      <c r="AJ90" s="818">
        <v>0</v>
      </c>
      <c r="AK90" s="818">
        <v>0</v>
      </c>
      <c r="AL90" s="818">
        <v>0</v>
      </c>
      <c r="AM90" s="818">
        <v>0</v>
      </c>
      <c r="AN90" s="818">
        <v>0</v>
      </c>
      <c r="AO90" s="818">
        <v>0</v>
      </c>
      <c r="AP90" s="818">
        <v>0</v>
      </c>
      <c r="AQ90" s="818">
        <v>0</v>
      </c>
      <c r="AR90" s="818">
        <v>0</v>
      </c>
      <c r="AS90" s="818">
        <v>0</v>
      </c>
      <c r="AT90" s="818">
        <v>0</v>
      </c>
      <c r="AU90" s="818">
        <v>0</v>
      </c>
      <c r="AV90" s="818">
        <v>0</v>
      </c>
      <c r="AW90" s="818">
        <v>0</v>
      </c>
      <c r="AX90" s="818">
        <v>0</v>
      </c>
      <c r="AY90" s="818">
        <v>0</v>
      </c>
      <c r="AZ90" s="818">
        <v>0</v>
      </c>
      <c r="BA90" s="818">
        <v>0</v>
      </c>
      <c r="BB90" s="818">
        <v>0</v>
      </c>
      <c r="BC90" s="818">
        <v>0</v>
      </c>
      <c r="BD90" s="818">
        <v>0</v>
      </c>
      <c r="BE90" s="818">
        <v>0</v>
      </c>
      <c r="BF90" s="818">
        <v>0</v>
      </c>
      <c r="BG90" s="818">
        <v>0</v>
      </c>
      <c r="BH90" s="818">
        <v>0</v>
      </c>
      <c r="BI90" s="818">
        <v>0</v>
      </c>
      <c r="BJ90" s="818">
        <v>0</v>
      </c>
      <c r="BK90" s="818">
        <v>0</v>
      </c>
      <c r="BL90" s="818">
        <v>0</v>
      </c>
      <c r="BM90" s="818">
        <v>0</v>
      </c>
      <c r="BN90" s="818">
        <v>0</v>
      </c>
      <c r="BO90" s="818">
        <v>0</v>
      </c>
      <c r="BP90" s="818">
        <v>0</v>
      </c>
      <c r="BQ90" s="818">
        <v>0</v>
      </c>
      <c r="BR90" s="818">
        <v>0</v>
      </c>
      <c r="BS90" s="818">
        <v>0</v>
      </c>
      <c r="BT90" s="818">
        <v>0</v>
      </c>
      <c r="BU90" s="818">
        <v>0</v>
      </c>
      <c r="BV90" s="818">
        <v>0</v>
      </c>
      <c r="BW90" s="818">
        <v>0</v>
      </c>
      <c r="BX90" s="818">
        <v>0</v>
      </c>
      <c r="BY90" s="818">
        <v>0</v>
      </c>
      <c r="BZ90" s="818">
        <v>0</v>
      </c>
      <c r="CA90" s="818">
        <v>0</v>
      </c>
      <c r="CB90" s="818">
        <v>0</v>
      </c>
    </row>
    <row r="91" spans="1:80" s="373" customFormat="1" x14ac:dyDescent="0.25">
      <c r="A91" s="787">
        <v>324</v>
      </c>
      <c r="B91" s="782">
        <v>324</v>
      </c>
      <c r="C91" s="781" t="s">
        <v>324</v>
      </c>
      <c r="D91" s="805" t="s">
        <v>475</v>
      </c>
      <c r="E91" s="780">
        <v>0</v>
      </c>
      <c r="F91" s="819">
        <v>0</v>
      </c>
      <c r="G91" s="819">
        <v>0</v>
      </c>
      <c r="H91" s="819">
        <v>0</v>
      </c>
      <c r="I91" s="819">
        <v>0</v>
      </c>
      <c r="J91" s="819">
        <v>0</v>
      </c>
      <c r="K91" s="817">
        <v>0</v>
      </c>
      <c r="L91" s="818">
        <v>0</v>
      </c>
      <c r="M91" s="818">
        <v>0</v>
      </c>
      <c r="N91" s="779">
        <v>0</v>
      </c>
      <c r="O91" s="779">
        <v>0</v>
      </c>
      <c r="P91" s="779">
        <v>0</v>
      </c>
      <c r="Q91" s="779">
        <v>0</v>
      </c>
      <c r="R91" s="779">
        <v>0</v>
      </c>
      <c r="S91" s="779">
        <v>0</v>
      </c>
      <c r="T91" s="779">
        <v>0</v>
      </c>
      <c r="U91" s="779">
        <v>0</v>
      </c>
      <c r="V91" s="779">
        <v>0</v>
      </c>
      <c r="W91" s="779">
        <v>0</v>
      </c>
      <c r="X91" s="779">
        <v>0</v>
      </c>
      <c r="Y91" s="779">
        <v>0</v>
      </c>
      <c r="Z91" s="779">
        <v>0</v>
      </c>
      <c r="AA91" s="818">
        <v>0</v>
      </c>
      <c r="AB91" s="818">
        <v>0</v>
      </c>
      <c r="AC91" s="818">
        <v>0</v>
      </c>
      <c r="AD91" s="818">
        <v>0</v>
      </c>
      <c r="AE91" s="818">
        <v>0</v>
      </c>
      <c r="AF91" s="818">
        <v>0</v>
      </c>
      <c r="AG91" s="818">
        <v>0</v>
      </c>
      <c r="AH91" s="818">
        <v>0</v>
      </c>
      <c r="AI91" s="818">
        <v>0</v>
      </c>
      <c r="AJ91" s="818">
        <v>0</v>
      </c>
      <c r="AK91" s="818">
        <v>0</v>
      </c>
      <c r="AL91" s="818">
        <v>0</v>
      </c>
      <c r="AM91" s="818">
        <v>0</v>
      </c>
      <c r="AN91" s="818">
        <v>0</v>
      </c>
      <c r="AO91" s="818">
        <v>0</v>
      </c>
      <c r="AP91" s="818">
        <v>0</v>
      </c>
      <c r="AQ91" s="818">
        <v>0</v>
      </c>
      <c r="AR91" s="818">
        <v>0</v>
      </c>
      <c r="AS91" s="818">
        <v>0</v>
      </c>
      <c r="AT91" s="818">
        <v>0</v>
      </c>
      <c r="AU91" s="818">
        <v>0</v>
      </c>
      <c r="AV91" s="818">
        <v>0</v>
      </c>
      <c r="AW91" s="818">
        <v>0</v>
      </c>
      <c r="AX91" s="818">
        <v>0</v>
      </c>
      <c r="AY91" s="818">
        <v>0</v>
      </c>
      <c r="AZ91" s="818">
        <v>0</v>
      </c>
      <c r="BA91" s="818">
        <v>0</v>
      </c>
      <c r="BB91" s="818">
        <v>0</v>
      </c>
      <c r="BC91" s="818">
        <v>0</v>
      </c>
      <c r="BD91" s="818">
        <v>0</v>
      </c>
      <c r="BE91" s="818">
        <v>0</v>
      </c>
      <c r="BF91" s="818">
        <v>0</v>
      </c>
      <c r="BG91" s="818">
        <v>0</v>
      </c>
      <c r="BH91" s="818">
        <v>0</v>
      </c>
      <c r="BI91" s="818">
        <v>0</v>
      </c>
      <c r="BJ91" s="818">
        <v>0</v>
      </c>
      <c r="BK91" s="818">
        <v>0</v>
      </c>
      <c r="BL91" s="818">
        <v>0</v>
      </c>
      <c r="BM91" s="818">
        <v>0</v>
      </c>
      <c r="BN91" s="818">
        <v>0</v>
      </c>
      <c r="BO91" s="818">
        <v>0</v>
      </c>
      <c r="BP91" s="818">
        <v>0</v>
      </c>
      <c r="BQ91" s="818">
        <v>0</v>
      </c>
      <c r="BR91" s="818">
        <v>0</v>
      </c>
      <c r="BS91" s="818">
        <v>0</v>
      </c>
      <c r="BT91" s="818">
        <v>0</v>
      </c>
      <c r="BU91" s="818">
        <v>0</v>
      </c>
      <c r="BV91" s="818">
        <v>0</v>
      </c>
      <c r="BW91" s="818">
        <v>0</v>
      </c>
      <c r="BX91" s="818">
        <v>0</v>
      </c>
      <c r="BY91" s="818">
        <v>0</v>
      </c>
      <c r="BZ91" s="818">
        <v>0</v>
      </c>
      <c r="CA91" s="818">
        <v>0</v>
      </c>
      <c r="CB91" s="818">
        <v>0</v>
      </c>
    </row>
    <row r="92" spans="1:80" s="373" customFormat="1" x14ac:dyDescent="0.25">
      <c r="A92" s="787">
        <v>325</v>
      </c>
      <c r="B92" s="782">
        <v>325</v>
      </c>
      <c r="C92" s="781" t="s">
        <v>328</v>
      </c>
      <c r="D92" s="805" t="s">
        <v>476</v>
      </c>
      <c r="E92" s="778">
        <v>0</v>
      </c>
      <c r="F92" s="777">
        <v>0</v>
      </c>
      <c r="G92" s="777">
        <v>0</v>
      </c>
      <c r="H92" s="777">
        <v>0</v>
      </c>
      <c r="I92" s="777">
        <v>0</v>
      </c>
      <c r="J92" s="777">
        <v>0</v>
      </c>
      <c r="K92" s="776">
        <v>0</v>
      </c>
      <c r="L92" s="775">
        <v>0</v>
      </c>
      <c r="M92" s="775">
        <v>0</v>
      </c>
      <c r="N92" s="820">
        <v>0</v>
      </c>
      <c r="O92" s="820">
        <v>0</v>
      </c>
      <c r="P92" s="820">
        <v>0</v>
      </c>
      <c r="Q92" s="820">
        <v>0</v>
      </c>
      <c r="R92" s="820">
        <v>0</v>
      </c>
      <c r="S92" s="820">
        <v>0</v>
      </c>
      <c r="T92" s="820">
        <v>0</v>
      </c>
      <c r="U92" s="820">
        <v>0</v>
      </c>
      <c r="V92" s="820">
        <v>0</v>
      </c>
      <c r="W92" s="820">
        <v>0</v>
      </c>
      <c r="X92" s="820">
        <v>0</v>
      </c>
      <c r="Y92" s="820">
        <v>0</v>
      </c>
      <c r="Z92" s="820">
        <v>0</v>
      </c>
      <c r="AA92" s="775">
        <v>0</v>
      </c>
      <c r="AB92" s="775">
        <v>0</v>
      </c>
      <c r="AC92" s="775">
        <v>0</v>
      </c>
      <c r="AD92" s="775">
        <v>0</v>
      </c>
      <c r="AE92" s="775">
        <v>0</v>
      </c>
      <c r="AF92" s="775">
        <v>0</v>
      </c>
      <c r="AG92" s="775">
        <v>0</v>
      </c>
      <c r="AH92" s="775">
        <v>0</v>
      </c>
      <c r="AI92" s="775">
        <v>0</v>
      </c>
      <c r="AJ92" s="775">
        <v>0</v>
      </c>
      <c r="AK92" s="775">
        <v>0</v>
      </c>
      <c r="AL92" s="775">
        <v>0</v>
      </c>
      <c r="AM92" s="775">
        <v>0</v>
      </c>
      <c r="AN92" s="775">
        <v>0</v>
      </c>
      <c r="AO92" s="775">
        <v>0</v>
      </c>
      <c r="AP92" s="775">
        <v>0</v>
      </c>
      <c r="AQ92" s="775">
        <v>0</v>
      </c>
      <c r="AR92" s="775">
        <v>0</v>
      </c>
      <c r="AS92" s="775">
        <v>0</v>
      </c>
      <c r="AT92" s="775">
        <v>0</v>
      </c>
      <c r="AU92" s="775">
        <v>0</v>
      </c>
      <c r="AV92" s="775">
        <v>0</v>
      </c>
      <c r="AW92" s="775">
        <v>0</v>
      </c>
      <c r="AX92" s="775">
        <v>0</v>
      </c>
      <c r="AY92" s="775">
        <v>0</v>
      </c>
      <c r="AZ92" s="775">
        <v>0</v>
      </c>
      <c r="BA92" s="775">
        <v>0</v>
      </c>
      <c r="BB92" s="775">
        <v>0</v>
      </c>
      <c r="BC92" s="775">
        <v>0</v>
      </c>
      <c r="BD92" s="775">
        <v>0</v>
      </c>
      <c r="BE92" s="775">
        <v>0</v>
      </c>
      <c r="BF92" s="775">
        <v>0</v>
      </c>
      <c r="BG92" s="775">
        <v>0</v>
      </c>
      <c r="BH92" s="775">
        <v>0</v>
      </c>
      <c r="BI92" s="775">
        <v>0</v>
      </c>
      <c r="BJ92" s="775">
        <v>0</v>
      </c>
      <c r="BK92" s="775">
        <v>0</v>
      </c>
      <c r="BL92" s="775">
        <v>0</v>
      </c>
      <c r="BM92" s="775">
        <v>0</v>
      </c>
      <c r="BN92" s="775">
        <v>0</v>
      </c>
      <c r="BO92" s="775">
        <v>0</v>
      </c>
      <c r="BP92" s="775">
        <v>0</v>
      </c>
      <c r="BQ92" s="775">
        <v>0</v>
      </c>
      <c r="BR92" s="775">
        <v>0</v>
      </c>
      <c r="BS92" s="775">
        <v>0</v>
      </c>
      <c r="BT92" s="775">
        <v>0</v>
      </c>
      <c r="BU92" s="775">
        <v>0</v>
      </c>
      <c r="BV92" s="775">
        <v>0</v>
      </c>
      <c r="BW92" s="775">
        <v>0</v>
      </c>
      <c r="BX92" s="775">
        <v>0</v>
      </c>
      <c r="BY92" s="775">
        <v>0</v>
      </c>
      <c r="BZ92" s="775">
        <v>0</v>
      </c>
      <c r="CA92" s="775">
        <v>0</v>
      </c>
      <c r="CB92" s="775">
        <v>0</v>
      </c>
    </row>
    <row r="93" spans="1:80" x14ac:dyDescent="0.25">
      <c r="A93" s="860"/>
      <c r="B93" s="846">
        <v>326</v>
      </c>
      <c r="C93" s="832" t="s">
        <v>810</v>
      </c>
      <c r="D93" s="860" t="s">
        <v>477</v>
      </c>
      <c r="E93" s="829"/>
      <c r="F93" s="798"/>
      <c r="G93" s="798"/>
      <c r="H93" s="798"/>
      <c r="I93" s="798"/>
      <c r="J93" s="798"/>
      <c r="K93" s="800"/>
      <c r="L93" s="835"/>
      <c r="M93" s="835"/>
      <c r="N93" s="830"/>
      <c r="O93" s="830"/>
      <c r="P93" s="830"/>
      <c r="Q93" s="830"/>
      <c r="R93" s="830"/>
      <c r="S93" s="830"/>
      <c r="T93" s="830"/>
      <c r="U93" s="830"/>
      <c r="V93" s="830"/>
      <c r="W93" s="830"/>
      <c r="X93" s="830"/>
      <c r="Y93" s="830"/>
      <c r="Z93" s="830"/>
      <c r="AA93" s="835"/>
      <c r="AB93" s="835"/>
      <c r="AC93" s="835"/>
      <c r="AD93" s="835"/>
      <c r="AE93" s="835"/>
      <c r="AF93" s="835"/>
      <c r="AG93" s="835"/>
      <c r="AH93" s="835"/>
      <c r="AI93" s="835"/>
      <c r="AJ93" s="835"/>
      <c r="AK93" s="835"/>
      <c r="AL93" s="835"/>
      <c r="AM93" s="835"/>
      <c r="AN93" s="835"/>
      <c r="AO93" s="835"/>
      <c r="AP93" s="835"/>
      <c r="AQ93" s="835"/>
      <c r="AR93" s="835"/>
      <c r="AS93" s="835"/>
      <c r="AT93" s="835"/>
      <c r="AU93" s="835"/>
      <c r="AV93" s="835"/>
      <c r="AW93" s="835"/>
      <c r="AX93" s="835"/>
      <c r="AY93" s="835"/>
      <c r="AZ93" s="835"/>
      <c r="BA93" s="835"/>
      <c r="BB93" s="835"/>
      <c r="BC93" s="835"/>
      <c r="BD93" s="835"/>
      <c r="BE93" s="835"/>
      <c r="BF93" s="835"/>
      <c r="BG93" s="835"/>
      <c r="BH93" s="835"/>
      <c r="BI93" s="835"/>
      <c r="BJ93" s="835"/>
      <c r="BK93" s="835"/>
      <c r="BL93" s="835"/>
      <c r="BM93" s="835"/>
      <c r="BN93" s="835"/>
      <c r="BO93" s="835"/>
      <c r="BP93" s="835"/>
      <c r="BQ93" s="835"/>
      <c r="BR93" s="835"/>
      <c r="BS93" s="835"/>
      <c r="BT93" s="835"/>
      <c r="BU93" s="835"/>
      <c r="BV93" s="835"/>
      <c r="BW93" s="835"/>
      <c r="BX93" s="835"/>
      <c r="BY93" s="835"/>
      <c r="BZ93" s="835"/>
      <c r="CA93" s="835"/>
      <c r="CB93" s="835"/>
    </row>
    <row r="94" spans="1:80" x14ac:dyDescent="0.25">
      <c r="A94" s="787">
        <v>327</v>
      </c>
      <c r="B94" s="846">
        <v>327</v>
      </c>
      <c r="C94" s="832" t="s">
        <v>734</v>
      </c>
      <c r="D94" s="860" t="s">
        <v>478</v>
      </c>
      <c r="E94" s="829">
        <v>0</v>
      </c>
      <c r="F94" s="798">
        <v>0</v>
      </c>
      <c r="G94" s="798">
        <v>8865</v>
      </c>
      <c r="H94" s="798">
        <v>5287537</v>
      </c>
      <c r="I94" s="798">
        <v>0</v>
      </c>
      <c r="J94" s="798">
        <v>16104</v>
      </c>
      <c r="K94" s="800">
        <v>215245</v>
      </c>
      <c r="L94" s="835">
        <v>72530</v>
      </c>
      <c r="M94" s="835">
        <v>839066</v>
      </c>
      <c r="N94" s="830">
        <v>0</v>
      </c>
      <c r="O94" s="830">
        <v>6500</v>
      </c>
      <c r="P94" s="830">
        <v>28000</v>
      </c>
      <c r="Q94" s="830">
        <v>0</v>
      </c>
      <c r="R94" s="830">
        <v>1299762</v>
      </c>
      <c r="S94" s="830">
        <v>628152</v>
      </c>
      <c r="T94" s="830">
        <v>7174055</v>
      </c>
      <c r="U94" s="830">
        <v>97947</v>
      </c>
      <c r="V94" s="830">
        <v>1020263</v>
      </c>
      <c r="W94" s="830">
        <v>0</v>
      </c>
      <c r="X94" s="830">
        <v>0</v>
      </c>
      <c r="Y94" s="830">
        <v>0</v>
      </c>
      <c r="Z94" s="830">
        <v>20697</v>
      </c>
      <c r="AA94" s="835">
        <v>412760</v>
      </c>
      <c r="AB94" s="835">
        <v>32300</v>
      </c>
      <c r="AC94" s="835">
        <v>0</v>
      </c>
      <c r="AD94" s="835">
        <v>0</v>
      </c>
      <c r="AE94" s="835">
        <v>152665</v>
      </c>
      <c r="AF94" s="835">
        <v>38510</v>
      </c>
      <c r="AG94" s="835">
        <v>10300</v>
      </c>
      <c r="AH94" s="835">
        <v>0</v>
      </c>
      <c r="AI94" s="835">
        <v>0</v>
      </c>
      <c r="AJ94" s="835">
        <v>46201</v>
      </c>
      <c r="AK94" s="835">
        <v>291931</v>
      </c>
      <c r="AL94" s="835">
        <v>63549</v>
      </c>
      <c r="AM94" s="835">
        <v>0</v>
      </c>
      <c r="AN94" s="835">
        <v>0</v>
      </c>
      <c r="AO94" s="835">
        <v>251714</v>
      </c>
      <c r="AP94" s="835">
        <v>2951</v>
      </c>
      <c r="AQ94" s="835">
        <v>0</v>
      </c>
      <c r="AR94" s="835">
        <v>849390</v>
      </c>
      <c r="AS94" s="835">
        <v>39677</v>
      </c>
      <c r="AT94" s="835">
        <v>14900</v>
      </c>
      <c r="AU94" s="835">
        <v>149857</v>
      </c>
      <c r="AV94" s="835">
        <v>95600</v>
      </c>
      <c r="AW94" s="835">
        <v>0</v>
      </c>
      <c r="AX94" s="835">
        <v>1500</v>
      </c>
      <c r="AY94" s="835">
        <v>0</v>
      </c>
      <c r="AZ94" s="835">
        <v>0</v>
      </c>
      <c r="BA94" s="835">
        <v>15485</v>
      </c>
      <c r="BB94" s="835">
        <v>0</v>
      </c>
      <c r="BC94" s="835">
        <v>15000</v>
      </c>
      <c r="BD94" s="835">
        <v>215633</v>
      </c>
      <c r="BE94" s="835">
        <v>0</v>
      </c>
      <c r="BF94" s="835">
        <v>737964</v>
      </c>
      <c r="BG94" s="835">
        <v>140000</v>
      </c>
      <c r="BH94" s="835">
        <v>0</v>
      </c>
      <c r="BI94" s="835">
        <v>43326</v>
      </c>
      <c r="BJ94" s="835">
        <v>125250</v>
      </c>
      <c r="BK94" s="835">
        <v>13600</v>
      </c>
      <c r="BL94" s="835">
        <v>186016</v>
      </c>
      <c r="BM94" s="835">
        <v>229735</v>
      </c>
      <c r="BN94" s="835">
        <v>0</v>
      </c>
      <c r="BO94" s="835">
        <v>101245</v>
      </c>
      <c r="BP94" s="835">
        <v>82273</v>
      </c>
      <c r="BQ94" s="835">
        <v>62472</v>
      </c>
      <c r="BR94" s="835">
        <v>25109</v>
      </c>
      <c r="BS94" s="835">
        <v>0</v>
      </c>
      <c r="BT94" s="835">
        <v>0</v>
      </c>
      <c r="BU94" s="835">
        <v>131166</v>
      </c>
      <c r="BV94" s="835">
        <v>111061</v>
      </c>
      <c r="BW94" s="835">
        <v>21500</v>
      </c>
      <c r="BX94" s="835">
        <v>0</v>
      </c>
      <c r="BY94" s="835">
        <v>0</v>
      </c>
      <c r="BZ94" s="835">
        <v>0</v>
      </c>
      <c r="CA94" s="835">
        <v>178250</v>
      </c>
      <c r="CB94" s="835">
        <v>0</v>
      </c>
    </row>
    <row r="95" spans="1:80" x14ac:dyDescent="0.25">
      <c r="A95" s="787">
        <v>328</v>
      </c>
      <c r="B95" s="846">
        <v>328</v>
      </c>
      <c r="C95" s="832" t="s">
        <v>645</v>
      </c>
      <c r="D95" s="860" t="s">
        <v>479</v>
      </c>
      <c r="E95" s="829">
        <v>0</v>
      </c>
      <c r="F95" s="798">
        <v>0</v>
      </c>
      <c r="G95" s="798">
        <v>0</v>
      </c>
      <c r="H95" s="798">
        <v>4909052</v>
      </c>
      <c r="I95" s="798">
        <v>966742</v>
      </c>
      <c r="J95" s="798">
        <v>0</v>
      </c>
      <c r="K95" s="800">
        <v>0</v>
      </c>
      <c r="L95" s="835">
        <v>0</v>
      </c>
      <c r="M95" s="835">
        <v>29862960</v>
      </c>
      <c r="N95" s="830">
        <v>0</v>
      </c>
      <c r="O95" s="830">
        <v>0</v>
      </c>
      <c r="P95" s="830">
        <v>0</v>
      </c>
      <c r="Q95" s="830">
        <v>0</v>
      </c>
      <c r="R95" s="830">
        <v>260283</v>
      </c>
      <c r="S95" s="830">
        <v>732333</v>
      </c>
      <c r="T95" s="830">
        <v>549192</v>
      </c>
      <c r="U95" s="830">
        <v>0</v>
      </c>
      <c r="V95" s="830">
        <v>12882768</v>
      </c>
      <c r="W95" s="830">
        <v>0</v>
      </c>
      <c r="X95" s="830">
        <v>0</v>
      </c>
      <c r="Y95" s="830">
        <v>0</v>
      </c>
      <c r="Z95" s="830">
        <v>600000</v>
      </c>
      <c r="AA95" s="835">
        <v>36755</v>
      </c>
      <c r="AB95" s="835">
        <v>1075487</v>
      </c>
      <c r="AC95" s="835">
        <v>0</v>
      </c>
      <c r="AD95" s="835">
        <v>0</v>
      </c>
      <c r="AE95" s="835">
        <v>4500</v>
      </c>
      <c r="AF95" s="835">
        <v>0</v>
      </c>
      <c r="AG95" s="835">
        <v>0</v>
      </c>
      <c r="AH95" s="835">
        <v>0</v>
      </c>
      <c r="AI95" s="835">
        <v>0</v>
      </c>
      <c r="AJ95" s="835">
        <v>0</v>
      </c>
      <c r="AK95" s="835">
        <v>957611</v>
      </c>
      <c r="AL95" s="835">
        <v>0</v>
      </c>
      <c r="AM95" s="835">
        <v>0</v>
      </c>
      <c r="AN95" s="835">
        <v>1279869</v>
      </c>
      <c r="AO95" s="835">
        <v>6546850</v>
      </c>
      <c r="AP95" s="835">
        <v>0</v>
      </c>
      <c r="AQ95" s="835">
        <v>0</v>
      </c>
      <c r="AR95" s="835">
        <v>130009</v>
      </c>
      <c r="AS95" s="835">
        <v>0</v>
      </c>
      <c r="AT95" s="835">
        <v>0</v>
      </c>
      <c r="AU95" s="835">
        <v>27500</v>
      </c>
      <c r="AV95" s="835">
        <v>0</v>
      </c>
      <c r="AW95" s="835">
        <v>0</v>
      </c>
      <c r="AX95" s="835">
        <v>0</v>
      </c>
      <c r="AY95" s="835">
        <v>58171</v>
      </c>
      <c r="AZ95" s="835">
        <v>830761</v>
      </c>
      <c r="BA95" s="835">
        <v>704640</v>
      </c>
      <c r="BB95" s="835">
        <v>0</v>
      </c>
      <c r="BC95" s="835">
        <v>0</v>
      </c>
      <c r="BD95" s="835">
        <v>0</v>
      </c>
      <c r="BE95" s="835">
        <v>0</v>
      </c>
      <c r="BF95" s="835">
        <v>2053832</v>
      </c>
      <c r="BG95" s="835">
        <v>0</v>
      </c>
      <c r="BH95" s="835">
        <v>0</v>
      </c>
      <c r="BI95" s="835">
        <v>0</v>
      </c>
      <c r="BJ95" s="835">
        <v>0</v>
      </c>
      <c r="BK95" s="835">
        <v>2359626</v>
      </c>
      <c r="BL95" s="835">
        <v>583098</v>
      </c>
      <c r="BM95" s="835">
        <v>0</v>
      </c>
      <c r="BN95" s="835">
        <v>0</v>
      </c>
      <c r="BO95" s="835">
        <v>3220</v>
      </c>
      <c r="BP95" s="835">
        <v>0</v>
      </c>
      <c r="BQ95" s="835">
        <v>1309630</v>
      </c>
      <c r="BR95" s="835">
        <v>802033</v>
      </c>
      <c r="BS95" s="835">
        <v>0</v>
      </c>
      <c r="BT95" s="835">
        <v>0</v>
      </c>
      <c r="BU95" s="835">
        <v>1824484</v>
      </c>
      <c r="BV95" s="835">
        <v>0</v>
      </c>
      <c r="BW95" s="835">
        <v>0</v>
      </c>
      <c r="BX95" s="835">
        <v>0</v>
      </c>
      <c r="BY95" s="835">
        <v>0</v>
      </c>
      <c r="BZ95" s="835">
        <v>0</v>
      </c>
      <c r="CA95" s="835">
        <v>102844</v>
      </c>
      <c r="CB95" s="835">
        <v>0</v>
      </c>
    </row>
    <row r="96" spans="1:80" x14ac:dyDescent="0.25">
      <c r="A96" s="860"/>
      <c r="B96" s="846">
        <v>330</v>
      </c>
      <c r="C96" s="832" t="s">
        <v>735</v>
      </c>
      <c r="D96" s="860" t="s">
        <v>480</v>
      </c>
      <c r="E96" s="829">
        <v>0</v>
      </c>
      <c r="F96" s="798">
        <v>0</v>
      </c>
      <c r="G96" s="798">
        <v>0</v>
      </c>
      <c r="H96" s="798">
        <v>0</v>
      </c>
      <c r="I96" s="798">
        <v>0</v>
      </c>
      <c r="J96" s="798">
        <v>0</v>
      </c>
      <c r="K96" s="800">
        <v>0</v>
      </c>
      <c r="L96" s="835">
        <v>0</v>
      </c>
      <c r="M96" s="835">
        <v>0</v>
      </c>
      <c r="N96" s="830">
        <v>0</v>
      </c>
      <c r="O96" s="830">
        <v>0</v>
      </c>
      <c r="P96" s="830">
        <v>0</v>
      </c>
      <c r="Q96" s="830">
        <v>0</v>
      </c>
      <c r="R96" s="830">
        <v>0</v>
      </c>
      <c r="S96" s="830">
        <v>0</v>
      </c>
      <c r="T96" s="830">
        <v>0</v>
      </c>
      <c r="U96" s="830">
        <v>0</v>
      </c>
      <c r="V96" s="830">
        <v>0</v>
      </c>
      <c r="W96" s="830">
        <v>0</v>
      </c>
      <c r="X96" s="830">
        <v>0</v>
      </c>
      <c r="Y96" s="830">
        <v>0</v>
      </c>
      <c r="Z96" s="830">
        <v>0</v>
      </c>
      <c r="AA96" s="835">
        <v>0</v>
      </c>
      <c r="AB96" s="835">
        <v>0</v>
      </c>
      <c r="AC96" s="835">
        <v>0</v>
      </c>
      <c r="AD96" s="835">
        <v>0</v>
      </c>
      <c r="AE96" s="835">
        <v>0</v>
      </c>
      <c r="AF96" s="835">
        <v>0</v>
      </c>
      <c r="AG96" s="835">
        <v>0</v>
      </c>
      <c r="AH96" s="835">
        <v>0</v>
      </c>
      <c r="AI96" s="835">
        <v>0</v>
      </c>
      <c r="AJ96" s="835">
        <v>0</v>
      </c>
      <c r="AK96" s="835">
        <v>0</v>
      </c>
      <c r="AL96" s="835">
        <v>0</v>
      </c>
      <c r="AM96" s="835">
        <v>0</v>
      </c>
      <c r="AN96" s="835">
        <v>0</v>
      </c>
      <c r="AO96" s="835">
        <v>0</v>
      </c>
      <c r="AP96" s="835">
        <v>0</v>
      </c>
      <c r="AQ96" s="835">
        <v>0</v>
      </c>
      <c r="AR96" s="835">
        <v>0</v>
      </c>
      <c r="AS96" s="835">
        <v>0</v>
      </c>
      <c r="AT96" s="835">
        <v>0</v>
      </c>
      <c r="AU96" s="835">
        <v>0</v>
      </c>
      <c r="AV96" s="835">
        <v>0</v>
      </c>
      <c r="AW96" s="835">
        <v>0</v>
      </c>
      <c r="AX96" s="835">
        <v>0</v>
      </c>
      <c r="AY96" s="835">
        <v>0</v>
      </c>
      <c r="AZ96" s="835">
        <v>0</v>
      </c>
      <c r="BA96" s="835">
        <v>0</v>
      </c>
      <c r="BB96" s="835">
        <v>0</v>
      </c>
      <c r="BC96" s="835">
        <v>0</v>
      </c>
      <c r="BD96" s="835">
        <v>0</v>
      </c>
      <c r="BE96" s="835">
        <v>0</v>
      </c>
      <c r="BF96" s="835">
        <v>0</v>
      </c>
      <c r="BG96" s="835">
        <v>0</v>
      </c>
      <c r="BH96" s="835">
        <v>0</v>
      </c>
      <c r="BI96" s="835">
        <v>0</v>
      </c>
      <c r="BJ96" s="835">
        <v>0</v>
      </c>
      <c r="BK96" s="835">
        <v>0</v>
      </c>
      <c r="BL96" s="835">
        <v>0</v>
      </c>
      <c r="BM96" s="835">
        <v>0</v>
      </c>
      <c r="BN96" s="835">
        <v>0</v>
      </c>
      <c r="BO96" s="835">
        <v>0</v>
      </c>
      <c r="BP96" s="835">
        <v>0</v>
      </c>
      <c r="BQ96" s="835">
        <v>0</v>
      </c>
      <c r="BR96" s="835">
        <v>0</v>
      </c>
      <c r="BS96" s="835">
        <v>0</v>
      </c>
      <c r="BT96" s="835">
        <v>0</v>
      </c>
      <c r="BU96" s="835">
        <v>0</v>
      </c>
      <c r="BV96" s="835">
        <v>0</v>
      </c>
      <c r="BW96" s="835">
        <v>0</v>
      </c>
      <c r="BX96" s="835">
        <v>0</v>
      </c>
      <c r="BY96" s="835">
        <v>0</v>
      </c>
      <c r="BZ96" s="835">
        <v>0</v>
      </c>
      <c r="CA96" s="835">
        <v>0</v>
      </c>
      <c r="CB96" s="835">
        <v>0</v>
      </c>
    </row>
    <row r="97" spans="1:80" x14ac:dyDescent="0.25">
      <c r="A97" s="787">
        <v>331</v>
      </c>
      <c r="B97" s="846">
        <v>331</v>
      </c>
      <c r="C97" s="832" t="s">
        <v>314</v>
      </c>
      <c r="D97" s="860" t="s">
        <v>481</v>
      </c>
      <c r="E97" s="829">
        <v>0</v>
      </c>
      <c r="F97" s="798">
        <v>0</v>
      </c>
      <c r="G97" s="798">
        <v>7289</v>
      </c>
      <c r="H97" s="798">
        <v>5408338</v>
      </c>
      <c r="I97" s="798">
        <v>206363</v>
      </c>
      <c r="J97" s="798">
        <v>1965</v>
      </c>
      <c r="K97" s="800">
        <v>105000</v>
      </c>
      <c r="L97" s="835">
        <v>46500</v>
      </c>
      <c r="M97" s="835">
        <v>2467715</v>
      </c>
      <c r="N97" s="830">
        <v>0</v>
      </c>
      <c r="O97" s="830">
        <v>15822</v>
      </c>
      <c r="P97" s="830">
        <v>87338</v>
      </c>
      <c r="Q97" s="830">
        <v>0</v>
      </c>
      <c r="R97" s="830">
        <v>2813</v>
      </c>
      <c r="S97" s="830">
        <v>797265</v>
      </c>
      <c r="T97" s="830">
        <v>2066165</v>
      </c>
      <c r="U97" s="830">
        <v>15064</v>
      </c>
      <c r="V97" s="830">
        <v>1576753</v>
      </c>
      <c r="W97" s="830">
        <v>0</v>
      </c>
      <c r="X97" s="830">
        <v>0</v>
      </c>
      <c r="Y97" s="830">
        <v>1564000</v>
      </c>
      <c r="Z97" s="830">
        <v>188675</v>
      </c>
      <c r="AA97" s="835">
        <v>6495</v>
      </c>
      <c r="AB97" s="835">
        <v>119944</v>
      </c>
      <c r="AC97" s="835">
        <v>0</v>
      </c>
      <c r="AD97" s="835">
        <v>13280</v>
      </c>
      <c r="AE97" s="835">
        <v>90214</v>
      </c>
      <c r="AF97" s="835">
        <v>206635</v>
      </c>
      <c r="AG97" s="835">
        <v>0</v>
      </c>
      <c r="AH97" s="835">
        <v>0</v>
      </c>
      <c r="AI97" s="835">
        <v>0</v>
      </c>
      <c r="AJ97" s="835">
        <v>0</v>
      </c>
      <c r="AK97" s="835">
        <v>771887</v>
      </c>
      <c r="AL97" s="835">
        <v>5948</v>
      </c>
      <c r="AM97" s="835">
        <v>0</v>
      </c>
      <c r="AN97" s="835">
        <v>819528</v>
      </c>
      <c r="AO97" s="835">
        <v>1128047</v>
      </c>
      <c r="AP97" s="835">
        <v>0</v>
      </c>
      <c r="AQ97" s="835">
        <v>0</v>
      </c>
      <c r="AR97" s="835">
        <v>820082</v>
      </c>
      <c r="AS97" s="835">
        <v>6064</v>
      </c>
      <c r="AT97" s="835">
        <v>0</v>
      </c>
      <c r="AU97" s="835">
        <v>350944</v>
      </c>
      <c r="AV97" s="835">
        <v>2264000</v>
      </c>
      <c r="AW97" s="835">
        <v>17878</v>
      </c>
      <c r="AX97" s="835">
        <v>31612</v>
      </c>
      <c r="AY97" s="835">
        <v>203397</v>
      </c>
      <c r="AZ97" s="835">
        <v>29063</v>
      </c>
      <c r="BA97" s="835">
        <v>146797</v>
      </c>
      <c r="BB97" s="835">
        <v>0</v>
      </c>
      <c r="BC97" s="835">
        <v>63537</v>
      </c>
      <c r="BD97" s="835">
        <v>14000</v>
      </c>
      <c r="BE97" s="835">
        <v>0</v>
      </c>
      <c r="BF97" s="835">
        <v>1340391</v>
      </c>
      <c r="BG97" s="835">
        <v>0</v>
      </c>
      <c r="BH97" s="835">
        <v>0</v>
      </c>
      <c r="BI97" s="835">
        <v>260321</v>
      </c>
      <c r="BJ97" s="835">
        <v>183645</v>
      </c>
      <c r="BK97" s="835">
        <v>0</v>
      </c>
      <c r="BL97" s="835">
        <v>94652</v>
      </c>
      <c r="BM97" s="835">
        <v>70664</v>
      </c>
      <c r="BN97" s="835">
        <v>0</v>
      </c>
      <c r="BO97" s="835">
        <v>269278</v>
      </c>
      <c r="BP97" s="835">
        <v>84719</v>
      </c>
      <c r="BQ97" s="835">
        <v>42354</v>
      </c>
      <c r="BR97" s="835">
        <v>11950</v>
      </c>
      <c r="BS97" s="835">
        <v>0</v>
      </c>
      <c r="BT97" s="835">
        <v>0</v>
      </c>
      <c r="BU97" s="835">
        <v>59641</v>
      </c>
      <c r="BV97" s="835">
        <v>300598</v>
      </c>
      <c r="BW97" s="835">
        <v>8875</v>
      </c>
      <c r="BX97" s="835">
        <v>0</v>
      </c>
      <c r="BY97" s="835">
        <v>0</v>
      </c>
      <c r="BZ97" s="835">
        <v>0</v>
      </c>
      <c r="CA97" s="835">
        <v>832542</v>
      </c>
      <c r="CB97" s="835">
        <v>0</v>
      </c>
    </row>
    <row r="98" spans="1:80" x14ac:dyDescent="0.25">
      <c r="A98" s="787">
        <v>332</v>
      </c>
      <c r="B98" s="846">
        <v>332</v>
      </c>
      <c r="C98" s="832" t="s">
        <v>315</v>
      </c>
      <c r="D98" s="860" t="s">
        <v>482</v>
      </c>
      <c r="E98" s="829">
        <v>0</v>
      </c>
      <c r="F98" s="798">
        <v>0</v>
      </c>
      <c r="G98" s="798">
        <v>0</v>
      </c>
      <c r="H98" s="798">
        <v>3576241</v>
      </c>
      <c r="I98" s="798">
        <v>369753</v>
      </c>
      <c r="J98" s="798">
        <v>0</v>
      </c>
      <c r="K98" s="800">
        <v>34868</v>
      </c>
      <c r="L98" s="835">
        <v>29359</v>
      </c>
      <c r="M98" s="835">
        <v>10572989</v>
      </c>
      <c r="N98" s="830">
        <v>0</v>
      </c>
      <c r="O98" s="830">
        <v>176494</v>
      </c>
      <c r="P98" s="830">
        <v>243253</v>
      </c>
      <c r="Q98" s="830">
        <v>0</v>
      </c>
      <c r="R98" s="830">
        <v>616233</v>
      </c>
      <c r="S98" s="830">
        <v>1070542</v>
      </c>
      <c r="T98" s="830">
        <v>4181293</v>
      </c>
      <c r="U98" s="830">
        <v>0</v>
      </c>
      <c r="V98" s="830">
        <v>6431857</v>
      </c>
      <c r="W98" s="830">
        <v>0</v>
      </c>
      <c r="X98" s="830">
        <v>0</v>
      </c>
      <c r="Y98" s="830">
        <v>0</v>
      </c>
      <c r="Z98" s="830">
        <v>1336576</v>
      </c>
      <c r="AA98" s="835">
        <v>128024</v>
      </c>
      <c r="AB98" s="835">
        <v>421612</v>
      </c>
      <c r="AC98" s="835">
        <v>0</v>
      </c>
      <c r="AD98" s="835">
        <v>7985</v>
      </c>
      <c r="AE98" s="835">
        <v>14490</v>
      </c>
      <c r="AF98" s="835">
        <v>549197</v>
      </c>
      <c r="AG98" s="835">
        <v>0</v>
      </c>
      <c r="AH98" s="835">
        <v>0</v>
      </c>
      <c r="AI98" s="835">
        <v>0</v>
      </c>
      <c r="AJ98" s="835">
        <v>2082</v>
      </c>
      <c r="AK98" s="835">
        <v>1209545</v>
      </c>
      <c r="AL98" s="835">
        <v>0</v>
      </c>
      <c r="AM98" s="835">
        <v>0</v>
      </c>
      <c r="AN98" s="835">
        <v>1019542</v>
      </c>
      <c r="AO98" s="835">
        <v>6253118</v>
      </c>
      <c r="AP98" s="835">
        <v>0</v>
      </c>
      <c r="AQ98" s="835">
        <v>0</v>
      </c>
      <c r="AR98" s="835">
        <v>180863</v>
      </c>
      <c r="AS98" s="835">
        <v>85801</v>
      </c>
      <c r="AT98" s="835">
        <v>118729</v>
      </c>
      <c r="AU98" s="835">
        <v>87059</v>
      </c>
      <c r="AV98" s="835">
        <v>238652</v>
      </c>
      <c r="AW98" s="835">
        <v>0</v>
      </c>
      <c r="AX98" s="835">
        <v>14235</v>
      </c>
      <c r="AY98" s="835">
        <v>65884</v>
      </c>
      <c r="AZ98" s="835">
        <v>335231</v>
      </c>
      <c r="BA98" s="835">
        <v>68354</v>
      </c>
      <c r="BB98" s="835">
        <v>0</v>
      </c>
      <c r="BC98" s="835">
        <v>0</v>
      </c>
      <c r="BD98" s="835">
        <v>0</v>
      </c>
      <c r="BE98" s="835">
        <v>0</v>
      </c>
      <c r="BF98" s="835">
        <v>1780406</v>
      </c>
      <c r="BG98" s="835">
        <v>0</v>
      </c>
      <c r="BH98" s="835">
        <v>0</v>
      </c>
      <c r="BI98" s="835">
        <v>120843</v>
      </c>
      <c r="BJ98" s="835">
        <v>13720</v>
      </c>
      <c r="BK98" s="835">
        <v>2115778</v>
      </c>
      <c r="BL98" s="835">
        <v>1039596</v>
      </c>
      <c r="BM98" s="835">
        <v>284672</v>
      </c>
      <c r="BN98" s="835">
        <v>0</v>
      </c>
      <c r="BO98" s="835">
        <v>187905</v>
      </c>
      <c r="BP98" s="835">
        <v>47391</v>
      </c>
      <c r="BQ98" s="835">
        <v>1218146</v>
      </c>
      <c r="BR98" s="835">
        <v>535119</v>
      </c>
      <c r="BS98" s="835">
        <v>0</v>
      </c>
      <c r="BT98" s="835">
        <v>0</v>
      </c>
      <c r="BU98" s="835">
        <v>999460</v>
      </c>
      <c r="BV98" s="835">
        <v>306721</v>
      </c>
      <c r="BW98" s="835">
        <v>15245</v>
      </c>
      <c r="BX98" s="835">
        <v>0</v>
      </c>
      <c r="BY98" s="835">
        <v>0</v>
      </c>
      <c r="BZ98" s="835">
        <v>0</v>
      </c>
      <c r="CA98" s="835">
        <v>102116</v>
      </c>
      <c r="CB98" s="835">
        <v>0</v>
      </c>
    </row>
    <row r="99" spans="1:80" x14ac:dyDescent="0.25">
      <c r="A99" s="787">
        <v>333</v>
      </c>
      <c r="B99" s="846">
        <v>333</v>
      </c>
      <c r="C99" s="832" t="s">
        <v>251</v>
      </c>
      <c r="D99" s="860" t="s">
        <v>483</v>
      </c>
      <c r="E99" s="829">
        <v>406932</v>
      </c>
      <c r="F99" s="798">
        <v>18846385</v>
      </c>
      <c r="G99" s="798">
        <v>511950</v>
      </c>
      <c r="H99" s="798">
        <v>31767429</v>
      </c>
      <c r="I99" s="798">
        <v>3244155</v>
      </c>
      <c r="J99" s="798">
        <v>379817</v>
      </c>
      <c r="K99" s="800">
        <v>2697562</v>
      </c>
      <c r="L99" s="835">
        <v>683244</v>
      </c>
      <c r="M99" s="835">
        <v>16480445</v>
      </c>
      <c r="N99" s="830">
        <v>191701</v>
      </c>
      <c r="O99" s="830">
        <v>454969</v>
      </c>
      <c r="P99" s="830">
        <v>312289</v>
      </c>
      <c r="Q99" s="830">
        <v>12060638</v>
      </c>
      <c r="R99" s="830">
        <v>13861660</v>
      </c>
      <c r="S99" s="830">
        <v>2957273</v>
      </c>
      <c r="T99" s="830">
        <v>7565586</v>
      </c>
      <c r="U99" s="830">
        <v>18102</v>
      </c>
      <c r="V99" s="830">
        <v>12294811</v>
      </c>
      <c r="W99" s="830">
        <v>165639</v>
      </c>
      <c r="X99" s="830">
        <v>6932435</v>
      </c>
      <c r="Y99" s="830">
        <v>10526502</v>
      </c>
      <c r="Z99" s="830">
        <v>3814657</v>
      </c>
      <c r="AA99" s="835">
        <v>1248408</v>
      </c>
      <c r="AB99" s="835">
        <v>2829409</v>
      </c>
      <c r="AC99" s="835">
        <v>1036311</v>
      </c>
      <c r="AD99" s="835">
        <v>218867</v>
      </c>
      <c r="AE99" s="835">
        <v>845089</v>
      </c>
      <c r="AF99" s="835">
        <v>414200</v>
      </c>
      <c r="AG99" s="835">
        <v>112293</v>
      </c>
      <c r="AH99" s="835">
        <v>55059</v>
      </c>
      <c r="AI99" s="835">
        <v>145232</v>
      </c>
      <c r="AJ99" s="835">
        <v>1686460</v>
      </c>
      <c r="AK99" s="835">
        <v>3785347</v>
      </c>
      <c r="AL99" s="835">
        <v>252852</v>
      </c>
      <c r="AM99" s="835">
        <v>111748</v>
      </c>
      <c r="AN99" s="835">
        <v>11648826</v>
      </c>
      <c r="AO99" s="835">
        <v>9946654</v>
      </c>
      <c r="AP99" s="835">
        <v>452915</v>
      </c>
      <c r="AQ99" s="835">
        <v>8920596</v>
      </c>
      <c r="AR99" s="835">
        <v>19682286</v>
      </c>
      <c r="AS99" s="835">
        <v>2289450</v>
      </c>
      <c r="AT99" s="835">
        <v>279669</v>
      </c>
      <c r="AU99" s="835">
        <v>3908262</v>
      </c>
      <c r="AV99" s="835">
        <v>4586802</v>
      </c>
      <c r="AW99" s="835">
        <v>131297</v>
      </c>
      <c r="AX99" s="835">
        <v>412634</v>
      </c>
      <c r="AY99" s="835">
        <v>2240429</v>
      </c>
      <c r="AZ99" s="835">
        <v>1344139</v>
      </c>
      <c r="BA99" s="835">
        <v>1024537</v>
      </c>
      <c r="BB99" s="835">
        <v>83480</v>
      </c>
      <c r="BC99" s="835">
        <v>829059</v>
      </c>
      <c r="BD99" s="835">
        <v>1547421</v>
      </c>
      <c r="BE99" s="835">
        <v>352716</v>
      </c>
      <c r="BF99" s="835">
        <v>6938129</v>
      </c>
      <c r="BG99" s="835">
        <v>342208</v>
      </c>
      <c r="BH99" s="835">
        <v>118272</v>
      </c>
      <c r="BI99" s="835">
        <v>2599846</v>
      </c>
      <c r="BJ99" s="835">
        <v>2755800</v>
      </c>
      <c r="BK99" s="835">
        <v>344042</v>
      </c>
      <c r="BL99" s="835">
        <v>3150295</v>
      </c>
      <c r="BM99" s="835">
        <v>4920906</v>
      </c>
      <c r="BN99" s="835">
        <v>118476</v>
      </c>
      <c r="BO99" s="835">
        <v>2855894</v>
      </c>
      <c r="BP99" s="835">
        <v>2879926</v>
      </c>
      <c r="BQ99" s="835">
        <v>1467052</v>
      </c>
      <c r="BR99" s="835">
        <v>1133484</v>
      </c>
      <c r="BS99" s="835">
        <v>2672639</v>
      </c>
      <c r="BT99" s="835">
        <v>13448996</v>
      </c>
      <c r="BU99" s="835">
        <v>1508156</v>
      </c>
      <c r="BV99" s="835">
        <v>1447548</v>
      </c>
      <c r="BW99" s="835">
        <v>107904</v>
      </c>
      <c r="BX99" s="835">
        <v>1374158</v>
      </c>
      <c r="BY99" s="835">
        <v>145957</v>
      </c>
      <c r="BZ99" s="835">
        <v>178596</v>
      </c>
      <c r="CA99" s="835">
        <v>12848235</v>
      </c>
      <c r="CB99" s="835">
        <v>71300</v>
      </c>
    </row>
    <row r="100" spans="1:80" x14ac:dyDescent="0.25">
      <c r="A100" s="787">
        <v>334</v>
      </c>
      <c r="B100" s="846">
        <v>334</v>
      </c>
      <c r="C100" s="832" t="s">
        <v>343</v>
      </c>
      <c r="D100" s="860" t="s">
        <v>484</v>
      </c>
      <c r="E100" s="829">
        <v>3055475</v>
      </c>
      <c r="F100" s="798">
        <v>55593997</v>
      </c>
      <c r="G100" s="798">
        <v>298231</v>
      </c>
      <c r="H100" s="798">
        <v>156761081</v>
      </c>
      <c r="I100" s="798">
        <v>10791222</v>
      </c>
      <c r="J100" s="798">
        <v>141191</v>
      </c>
      <c r="K100" s="800">
        <v>1266450</v>
      </c>
      <c r="L100" s="835">
        <v>3311329</v>
      </c>
      <c r="M100" s="835">
        <v>249274203</v>
      </c>
      <c r="N100" s="830">
        <v>142339</v>
      </c>
      <c r="O100" s="830">
        <v>2155569</v>
      </c>
      <c r="P100" s="830">
        <v>4256646</v>
      </c>
      <c r="Q100" s="830">
        <v>141978374</v>
      </c>
      <c r="R100" s="830">
        <v>42942734</v>
      </c>
      <c r="S100" s="830">
        <v>9480114</v>
      </c>
      <c r="T100" s="830">
        <v>26214009</v>
      </c>
      <c r="U100" s="830">
        <v>625790</v>
      </c>
      <c r="V100" s="830">
        <v>39523313</v>
      </c>
      <c r="W100" s="830">
        <v>9065</v>
      </c>
      <c r="X100" s="830">
        <v>31594089</v>
      </c>
      <c r="Y100" s="830">
        <v>82790190</v>
      </c>
      <c r="Z100" s="830">
        <v>7739590</v>
      </c>
      <c r="AA100" s="835">
        <v>17301593</v>
      </c>
      <c r="AB100" s="835">
        <v>8344977</v>
      </c>
      <c r="AC100" s="835">
        <v>737204</v>
      </c>
      <c r="AD100" s="835">
        <v>892076</v>
      </c>
      <c r="AE100" s="835">
        <v>2658900</v>
      </c>
      <c r="AF100" s="835">
        <v>4913430</v>
      </c>
      <c r="AG100" s="835">
        <v>661128</v>
      </c>
      <c r="AH100" s="835">
        <v>145137</v>
      </c>
      <c r="AI100" s="835">
        <v>1865637</v>
      </c>
      <c r="AJ100" s="835">
        <v>1832257</v>
      </c>
      <c r="AK100" s="835">
        <v>9344382</v>
      </c>
      <c r="AL100" s="835">
        <v>1342240</v>
      </c>
      <c r="AM100" s="835">
        <v>37458</v>
      </c>
      <c r="AN100" s="835">
        <v>82176536</v>
      </c>
      <c r="AO100" s="835">
        <v>75697808</v>
      </c>
      <c r="AP100" s="835">
        <v>359738</v>
      </c>
      <c r="AQ100" s="835">
        <v>8734876</v>
      </c>
      <c r="AR100" s="835">
        <v>89356037</v>
      </c>
      <c r="AS100" s="835">
        <v>3805483</v>
      </c>
      <c r="AT100" s="835">
        <v>3037754</v>
      </c>
      <c r="AU100" s="835">
        <v>8202890</v>
      </c>
      <c r="AV100" s="835">
        <v>32947510</v>
      </c>
      <c r="AW100" s="835">
        <v>499184</v>
      </c>
      <c r="AX100" s="835">
        <v>1158161</v>
      </c>
      <c r="AY100" s="835">
        <v>14951852</v>
      </c>
      <c r="AZ100" s="835">
        <v>7556925</v>
      </c>
      <c r="BA100" s="835">
        <v>8238029</v>
      </c>
      <c r="BB100" s="835">
        <v>25799</v>
      </c>
      <c r="BC100" s="835">
        <v>4848833</v>
      </c>
      <c r="BD100" s="835">
        <v>1984142</v>
      </c>
      <c r="BE100" s="835">
        <v>103316</v>
      </c>
      <c r="BF100" s="835">
        <v>42441615</v>
      </c>
      <c r="BG100" s="835">
        <v>268788</v>
      </c>
      <c r="BH100" s="835">
        <v>118635</v>
      </c>
      <c r="BI100" s="835">
        <v>6218693</v>
      </c>
      <c r="BJ100" s="835">
        <v>8564070</v>
      </c>
      <c r="BK100" s="835">
        <v>997232</v>
      </c>
      <c r="BL100" s="835">
        <v>15894901</v>
      </c>
      <c r="BM100" s="835">
        <v>8826691</v>
      </c>
      <c r="BN100" s="835">
        <v>144290</v>
      </c>
      <c r="BO100" s="835">
        <v>16719488</v>
      </c>
      <c r="BP100" s="835">
        <v>8784435</v>
      </c>
      <c r="BQ100" s="835">
        <v>1179082</v>
      </c>
      <c r="BR100" s="835">
        <v>2891900</v>
      </c>
      <c r="BS100" s="835">
        <v>1190853</v>
      </c>
      <c r="BT100" s="835">
        <v>139058460</v>
      </c>
      <c r="BU100" s="835">
        <v>4898567</v>
      </c>
      <c r="BV100" s="835">
        <v>5677414</v>
      </c>
      <c r="BW100" s="835">
        <v>1627333</v>
      </c>
      <c r="BX100" s="835">
        <v>1436675</v>
      </c>
      <c r="BY100" s="835">
        <v>43270</v>
      </c>
      <c r="BZ100" s="835">
        <v>67343</v>
      </c>
      <c r="CA100" s="835">
        <v>49584580</v>
      </c>
      <c r="CB100" s="835">
        <v>224016</v>
      </c>
    </row>
    <row r="101" spans="1:80" ht="30" x14ac:dyDescent="0.25">
      <c r="A101" s="787">
        <v>335</v>
      </c>
      <c r="B101" s="846">
        <v>335</v>
      </c>
      <c r="C101" s="832" t="s">
        <v>124</v>
      </c>
      <c r="D101" s="860" t="s">
        <v>485</v>
      </c>
      <c r="E101" s="829">
        <v>0</v>
      </c>
      <c r="F101" s="798">
        <v>0</v>
      </c>
      <c r="G101" s="798">
        <v>0</v>
      </c>
      <c r="H101" s="798">
        <v>0</v>
      </c>
      <c r="I101" s="798">
        <v>0</v>
      </c>
      <c r="J101" s="798">
        <v>0</v>
      </c>
      <c r="K101" s="800">
        <v>0</v>
      </c>
      <c r="L101" s="835">
        <v>0</v>
      </c>
      <c r="M101" s="835">
        <v>0</v>
      </c>
      <c r="N101" s="830">
        <v>0</v>
      </c>
      <c r="O101" s="830">
        <v>0</v>
      </c>
      <c r="P101" s="830">
        <v>0</v>
      </c>
      <c r="Q101" s="830">
        <v>47424</v>
      </c>
      <c r="R101" s="830">
        <v>29132</v>
      </c>
      <c r="S101" s="830">
        <v>0</v>
      </c>
      <c r="T101" s="830">
        <v>0</v>
      </c>
      <c r="U101" s="830">
        <v>0</v>
      </c>
      <c r="V101" s="830">
        <v>34028</v>
      </c>
      <c r="W101" s="830">
        <v>0</v>
      </c>
      <c r="X101" s="830">
        <v>0</v>
      </c>
      <c r="Y101" s="830">
        <v>0</v>
      </c>
      <c r="Z101" s="830">
        <v>0</v>
      </c>
      <c r="AA101" s="835">
        <v>0</v>
      </c>
      <c r="AB101" s="835">
        <v>0</v>
      </c>
      <c r="AC101" s="835">
        <v>0</v>
      </c>
      <c r="AD101" s="835">
        <v>0</v>
      </c>
      <c r="AE101" s="835">
        <v>0</v>
      </c>
      <c r="AF101" s="835">
        <v>0</v>
      </c>
      <c r="AG101" s="835">
        <v>0</v>
      </c>
      <c r="AH101" s="835">
        <v>0</v>
      </c>
      <c r="AI101" s="835">
        <v>0</v>
      </c>
      <c r="AJ101" s="835">
        <v>0</v>
      </c>
      <c r="AK101" s="835">
        <v>0</v>
      </c>
      <c r="AL101" s="835">
        <v>0</v>
      </c>
      <c r="AM101" s="835">
        <v>0</v>
      </c>
      <c r="AN101" s="835">
        <v>0</v>
      </c>
      <c r="AO101" s="835">
        <v>0</v>
      </c>
      <c r="AP101" s="835">
        <v>0</v>
      </c>
      <c r="AQ101" s="835">
        <v>0</v>
      </c>
      <c r="AR101" s="835">
        <v>0</v>
      </c>
      <c r="AS101" s="835">
        <v>13658</v>
      </c>
      <c r="AT101" s="835">
        <v>0</v>
      </c>
      <c r="AU101" s="835">
        <v>76967</v>
      </c>
      <c r="AV101" s="835">
        <v>10</v>
      </c>
      <c r="AW101" s="835">
        <v>0</v>
      </c>
      <c r="AX101" s="835">
        <v>0</v>
      </c>
      <c r="AY101" s="835">
        <v>0</v>
      </c>
      <c r="AZ101" s="835">
        <v>0</v>
      </c>
      <c r="BA101" s="835">
        <v>0</v>
      </c>
      <c r="BB101" s="835">
        <v>0</v>
      </c>
      <c r="BC101" s="835">
        <v>0</v>
      </c>
      <c r="BD101" s="835">
        <v>0</v>
      </c>
      <c r="BE101" s="835">
        <v>0</v>
      </c>
      <c r="BF101" s="835">
        <v>395373</v>
      </c>
      <c r="BG101" s="835">
        <v>0</v>
      </c>
      <c r="BH101" s="835">
        <v>0</v>
      </c>
      <c r="BI101" s="835">
        <v>0</v>
      </c>
      <c r="BJ101" s="835">
        <v>0</v>
      </c>
      <c r="BK101" s="835">
        <v>0</v>
      </c>
      <c r="BL101" s="835">
        <v>1380</v>
      </c>
      <c r="BM101" s="835">
        <v>0</v>
      </c>
      <c r="BN101" s="835">
        <v>0</v>
      </c>
      <c r="BO101" s="835">
        <v>0</v>
      </c>
      <c r="BP101" s="835">
        <v>0</v>
      </c>
      <c r="BQ101" s="835">
        <v>0</v>
      </c>
      <c r="BR101" s="835">
        <v>0</v>
      </c>
      <c r="BS101" s="835">
        <v>0</v>
      </c>
      <c r="BT101" s="835">
        <v>0</v>
      </c>
      <c r="BU101" s="835">
        <v>0</v>
      </c>
      <c r="BV101" s="835">
        <v>0</v>
      </c>
      <c r="BW101" s="835">
        <v>0</v>
      </c>
      <c r="BX101" s="835">
        <v>0</v>
      </c>
      <c r="BY101" s="835">
        <v>0</v>
      </c>
      <c r="BZ101" s="835">
        <v>0</v>
      </c>
      <c r="CA101" s="835">
        <v>0</v>
      </c>
      <c r="CB101" s="835">
        <v>0</v>
      </c>
    </row>
    <row r="102" spans="1:80" x14ac:dyDescent="0.25">
      <c r="A102" s="787">
        <v>336</v>
      </c>
      <c r="B102" s="846">
        <v>336</v>
      </c>
      <c r="C102" s="832" t="s">
        <v>736</v>
      </c>
      <c r="D102" s="860" t="s">
        <v>486</v>
      </c>
      <c r="E102" s="829">
        <v>103644</v>
      </c>
      <c r="F102" s="798">
        <v>2103392</v>
      </c>
      <c r="G102" s="798">
        <v>117296</v>
      </c>
      <c r="H102" s="798">
        <v>8442140</v>
      </c>
      <c r="I102" s="798">
        <v>393040</v>
      </c>
      <c r="J102" s="798">
        <v>14129</v>
      </c>
      <c r="K102" s="800">
        <v>27050</v>
      </c>
      <c r="L102" s="835">
        <v>48577</v>
      </c>
      <c r="M102" s="835">
        <v>12095738</v>
      </c>
      <c r="N102" s="830">
        <v>12748</v>
      </c>
      <c r="O102" s="830">
        <v>71301</v>
      </c>
      <c r="P102" s="830">
        <v>43198</v>
      </c>
      <c r="Q102" s="830">
        <v>5261904</v>
      </c>
      <c r="R102" s="830">
        <v>3303686</v>
      </c>
      <c r="S102" s="830">
        <v>365497</v>
      </c>
      <c r="T102" s="830">
        <v>1481250</v>
      </c>
      <c r="U102" s="830">
        <v>6298</v>
      </c>
      <c r="V102" s="830">
        <v>5076420</v>
      </c>
      <c r="W102" s="830">
        <v>362</v>
      </c>
      <c r="X102" s="830">
        <v>2336541</v>
      </c>
      <c r="Y102" s="830">
        <v>1880807</v>
      </c>
      <c r="Z102" s="830">
        <v>1286227</v>
      </c>
      <c r="AA102" s="835">
        <v>163654</v>
      </c>
      <c r="AB102" s="835">
        <v>415261</v>
      </c>
      <c r="AC102" s="835">
        <v>25724</v>
      </c>
      <c r="AD102" s="835">
        <v>49811</v>
      </c>
      <c r="AE102" s="835">
        <v>99162</v>
      </c>
      <c r="AF102" s="835">
        <v>392355</v>
      </c>
      <c r="AG102" s="835">
        <v>7967</v>
      </c>
      <c r="AH102" s="835">
        <v>732</v>
      </c>
      <c r="AI102" s="835">
        <v>441</v>
      </c>
      <c r="AJ102" s="835">
        <v>107716</v>
      </c>
      <c r="AK102" s="835">
        <v>1215262</v>
      </c>
      <c r="AL102" s="835">
        <v>32364</v>
      </c>
      <c r="AM102" s="835">
        <v>5720</v>
      </c>
      <c r="AN102" s="835">
        <v>2327845</v>
      </c>
      <c r="AO102" s="835">
        <v>1299034</v>
      </c>
      <c r="AP102" s="835">
        <v>5457</v>
      </c>
      <c r="AQ102" s="835">
        <v>448878</v>
      </c>
      <c r="AR102" s="835">
        <v>5503922</v>
      </c>
      <c r="AS102" s="835">
        <v>82888</v>
      </c>
      <c r="AT102" s="835">
        <v>96159</v>
      </c>
      <c r="AU102" s="835">
        <v>2971599</v>
      </c>
      <c r="AV102" s="835">
        <v>1737466</v>
      </c>
      <c r="AW102" s="835">
        <v>39946</v>
      </c>
      <c r="AX102" s="835">
        <v>95036</v>
      </c>
      <c r="AY102" s="835">
        <v>1457182</v>
      </c>
      <c r="AZ102" s="835">
        <v>143546</v>
      </c>
      <c r="BA102" s="835">
        <v>137660</v>
      </c>
      <c r="BB102" s="835">
        <v>30300</v>
      </c>
      <c r="BC102" s="835">
        <v>78183</v>
      </c>
      <c r="BD102" s="835">
        <v>28108</v>
      </c>
      <c r="BE102" s="835">
        <v>3642</v>
      </c>
      <c r="BF102" s="835">
        <v>2616687</v>
      </c>
      <c r="BG102" s="835">
        <v>12732</v>
      </c>
      <c r="BH102" s="835">
        <v>2365</v>
      </c>
      <c r="BI102" s="835">
        <v>89340</v>
      </c>
      <c r="BJ102" s="835">
        <v>301854</v>
      </c>
      <c r="BK102" s="835">
        <v>44999</v>
      </c>
      <c r="BL102" s="835">
        <v>362882</v>
      </c>
      <c r="BM102" s="835">
        <v>163400</v>
      </c>
      <c r="BN102" s="835">
        <v>0</v>
      </c>
      <c r="BO102" s="835">
        <v>405677</v>
      </c>
      <c r="BP102" s="835">
        <v>130837</v>
      </c>
      <c r="BQ102" s="835">
        <v>19895</v>
      </c>
      <c r="BR102" s="835">
        <v>44141</v>
      </c>
      <c r="BS102" s="835">
        <v>49717</v>
      </c>
      <c r="BT102" s="835">
        <v>2149421</v>
      </c>
      <c r="BU102" s="835">
        <v>188900</v>
      </c>
      <c r="BV102" s="835">
        <v>158169</v>
      </c>
      <c r="BW102" s="835">
        <v>106718</v>
      </c>
      <c r="BX102" s="835">
        <v>160527</v>
      </c>
      <c r="BY102" s="835">
        <v>0</v>
      </c>
      <c r="BZ102" s="835">
        <v>0</v>
      </c>
      <c r="CA102" s="835">
        <v>2997722</v>
      </c>
      <c r="CB102" s="835">
        <v>4882</v>
      </c>
    </row>
    <row r="103" spans="1:80" x14ac:dyDescent="0.25">
      <c r="A103" s="787">
        <v>337</v>
      </c>
      <c r="B103" s="846">
        <v>337</v>
      </c>
      <c r="C103" s="832" t="s">
        <v>321</v>
      </c>
      <c r="D103" s="860" t="s">
        <v>487</v>
      </c>
      <c r="E103" s="829">
        <v>181992</v>
      </c>
      <c r="F103" s="798">
        <v>14453316</v>
      </c>
      <c r="G103" s="798">
        <v>36800</v>
      </c>
      <c r="H103" s="798">
        <v>25487428</v>
      </c>
      <c r="I103" s="798">
        <v>1033930</v>
      </c>
      <c r="J103" s="798">
        <v>0</v>
      </c>
      <c r="K103" s="800">
        <v>0</v>
      </c>
      <c r="L103" s="835">
        <v>1259384</v>
      </c>
      <c r="M103" s="835">
        <v>70037324</v>
      </c>
      <c r="N103" s="830">
        <v>0</v>
      </c>
      <c r="O103" s="830">
        <v>29023</v>
      </c>
      <c r="P103" s="830">
        <v>448426</v>
      </c>
      <c r="Q103" s="830">
        <v>26757884</v>
      </c>
      <c r="R103" s="830">
        <v>9483063</v>
      </c>
      <c r="S103" s="830">
        <v>1176186</v>
      </c>
      <c r="T103" s="830">
        <v>2307823</v>
      </c>
      <c r="U103" s="830">
        <v>4212</v>
      </c>
      <c r="V103" s="830">
        <v>8495636</v>
      </c>
      <c r="W103" s="830">
        <v>0</v>
      </c>
      <c r="X103" s="830">
        <v>7999200</v>
      </c>
      <c r="Y103" s="830">
        <v>7353985</v>
      </c>
      <c r="Z103" s="830">
        <v>6068660</v>
      </c>
      <c r="AA103" s="835">
        <v>217692</v>
      </c>
      <c r="AB103" s="835">
        <v>1350534</v>
      </c>
      <c r="AC103" s="835">
        <v>0</v>
      </c>
      <c r="AD103" s="835">
        <v>4894</v>
      </c>
      <c r="AE103" s="835">
        <v>150224</v>
      </c>
      <c r="AF103" s="835">
        <v>2227614</v>
      </c>
      <c r="AG103" s="835">
        <v>10708</v>
      </c>
      <c r="AH103" s="835">
        <v>0</v>
      </c>
      <c r="AI103" s="835">
        <v>0</v>
      </c>
      <c r="AJ103" s="835">
        <v>0</v>
      </c>
      <c r="AK103" s="835">
        <v>6273751</v>
      </c>
      <c r="AL103" s="835">
        <v>0</v>
      </c>
      <c r="AM103" s="835">
        <v>0</v>
      </c>
      <c r="AN103" s="835">
        <v>12263661</v>
      </c>
      <c r="AO103" s="835">
        <v>1138974</v>
      </c>
      <c r="AP103" s="835">
        <v>0</v>
      </c>
      <c r="AQ103" s="835">
        <v>840004</v>
      </c>
      <c r="AR103" s="835">
        <v>5827490</v>
      </c>
      <c r="AS103" s="835">
        <v>405865</v>
      </c>
      <c r="AT103" s="835">
        <v>474401</v>
      </c>
      <c r="AU103" s="835">
        <v>4069052</v>
      </c>
      <c r="AV103" s="835">
        <v>1136755</v>
      </c>
      <c r="AW103" s="835">
        <v>0</v>
      </c>
      <c r="AX103" s="835">
        <v>34868</v>
      </c>
      <c r="AY103" s="835">
        <v>1973773</v>
      </c>
      <c r="AZ103" s="835">
        <v>210901</v>
      </c>
      <c r="BA103" s="835">
        <v>510727</v>
      </c>
      <c r="BB103" s="835">
        <v>0</v>
      </c>
      <c r="BC103" s="835">
        <v>61549</v>
      </c>
      <c r="BD103" s="835">
        <v>0</v>
      </c>
      <c r="BE103" s="835">
        <v>0</v>
      </c>
      <c r="BF103" s="835">
        <v>13997364</v>
      </c>
      <c r="BG103" s="835">
        <v>0</v>
      </c>
      <c r="BH103" s="835">
        <v>0</v>
      </c>
      <c r="BI103" s="835">
        <v>160588</v>
      </c>
      <c r="BJ103" s="835">
        <v>249533</v>
      </c>
      <c r="BK103" s="835">
        <v>142789</v>
      </c>
      <c r="BL103" s="835">
        <v>2173334</v>
      </c>
      <c r="BM103" s="835">
        <v>0</v>
      </c>
      <c r="BN103" s="835">
        <v>0</v>
      </c>
      <c r="BO103" s="835">
        <v>1298797</v>
      </c>
      <c r="BP103" s="835">
        <v>0</v>
      </c>
      <c r="BQ103" s="835">
        <v>23772</v>
      </c>
      <c r="BR103" s="835">
        <v>0</v>
      </c>
      <c r="BS103" s="835">
        <v>0</v>
      </c>
      <c r="BT103" s="835">
        <v>7963314</v>
      </c>
      <c r="BU103" s="835">
        <v>491090</v>
      </c>
      <c r="BV103" s="835">
        <v>419827</v>
      </c>
      <c r="BW103" s="835">
        <v>395264</v>
      </c>
      <c r="BX103" s="835">
        <v>0</v>
      </c>
      <c r="BY103" s="835">
        <v>0</v>
      </c>
      <c r="BZ103" s="835">
        <v>0</v>
      </c>
      <c r="CA103" s="835">
        <v>10257277</v>
      </c>
      <c r="CB103" s="835">
        <v>57105</v>
      </c>
    </row>
    <row r="104" spans="1:80" x14ac:dyDescent="0.25">
      <c r="A104" s="787">
        <v>338</v>
      </c>
      <c r="B104" s="846">
        <v>338</v>
      </c>
      <c r="C104" s="832" t="s">
        <v>123</v>
      </c>
      <c r="D104" s="860" t="s">
        <v>488</v>
      </c>
      <c r="E104" s="829">
        <v>672562</v>
      </c>
      <c r="F104" s="798">
        <v>16288934</v>
      </c>
      <c r="G104" s="798">
        <v>168844</v>
      </c>
      <c r="H104" s="798">
        <v>43390809</v>
      </c>
      <c r="I104" s="798">
        <v>1801865</v>
      </c>
      <c r="J104" s="798">
        <v>319819</v>
      </c>
      <c r="K104" s="800">
        <v>335633</v>
      </c>
      <c r="L104" s="835">
        <v>2003667</v>
      </c>
      <c r="M104" s="835">
        <v>129912268</v>
      </c>
      <c r="N104" s="830">
        <v>12748</v>
      </c>
      <c r="O104" s="830">
        <v>924735</v>
      </c>
      <c r="P104" s="830">
        <v>709001</v>
      </c>
      <c r="Q104" s="830">
        <v>47202408</v>
      </c>
      <c r="R104" s="830">
        <v>20321252</v>
      </c>
      <c r="S104" s="830">
        <v>2972687</v>
      </c>
      <c r="T104" s="830">
        <v>13414624</v>
      </c>
      <c r="U104" s="830">
        <v>8124</v>
      </c>
      <c r="V104" s="830">
        <v>24791646</v>
      </c>
      <c r="W104" s="830">
        <v>426</v>
      </c>
      <c r="X104" s="830">
        <v>11714980</v>
      </c>
      <c r="Y104" s="830">
        <v>18858528</v>
      </c>
      <c r="Z104" s="830">
        <v>9262236</v>
      </c>
      <c r="AA104" s="835">
        <v>431184</v>
      </c>
      <c r="AB104" s="835">
        <v>6734469</v>
      </c>
      <c r="AC104" s="835">
        <v>25724</v>
      </c>
      <c r="AD104" s="835">
        <v>49811</v>
      </c>
      <c r="AE104" s="835">
        <v>358054</v>
      </c>
      <c r="AF104" s="835">
        <v>2720590</v>
      </c>
      <c r="AG104" s="835">
        <v>13623</v>
      </c>
      <c r="AH104" s="835">
        <v>6587</v>
      </c>
      <c r="AI104" s="835">
        <v>10685</v>
      </c>
      <c r="AJ104" s="835">
        <v>451979</v>
      </c>
      <c r="AK104" s="835">
        <v>10848265</v>
      </c>
      <c r="AL104" s="835">
        <v>51882</v>
      </c>
      <c r="AM104" s="835">
        <v>5720</v>
      </c>
      <c r="AN104" s="835">
        <v>14987548</v>
      </c>
      <c r="AO104" s="835">
        <v>7891162</v>
      </c>
      <c r="AP104" s="835">
        <v>13172</v>
      </c>
      <c r="AQ104" s="835">
        <v>1261929</v>
      </c>
      <c r="AR104" s="835">
        <v>29827918</v>
      </c>
      <c r="AS104" s="835">
        <v>1018061</v>
      </c>
      <c r="AT104" s="835">
        <v>770920</v>
      </c>
      <c r="AU104" s="835">
        <v>6030297</v>
      </c>
      <c r="AV104" s="835">
        <v>14258318</v>
      </c>
      <c r="AW104" s="835">
        <v>40387</v>
      </c>
      <c r="AX104" s="835">
        <v>203285</v>
      </c>
      <c r="AY104" s="835">
        <v>5352228</v>
      </c>
      <c r="AZ104" s="835">
        <v>1177724</v>
      </c>
      <c r="BA104" s="835">
        <v>2301426</v>
      </c>
      <c r="BB104" s="835">
        <v>30300</v>
      </c>
      <c r="BC104" s="835">
        <v>844239</v>
      </c>
      <c r="BD104" s="835">
        <v>38944</v>
      </c>
      <c r="BE104" s="835">
        <v>3642</v>
      </c>
      <c r="BF104" s="835">
        <v>52917266</v>
      </c>
      <c r="BG104" s="835">
        <v>22890</v>
      </c>
      <c r="BH104" s="835">
        <v>2365</v>
      </c>
      <c r="BI104" s="835">
        <v>3484400</v>
      </c>
      <c r="BJ104" s="835">
        <v>1299752</v>
      </c>
      <c r="BK104" s="835">
        <v>212467</v>
      </c>
      <c r="BL104" s="835">
        <v>3558704</v>
      </c>
      <c r="BM104" s="835">
        <v>2691222</v>
      </c>
      <c r="BN104" s="835">
        <v>0</v>
      </c>
      <c r="BO104" s="835">
        <v>3301566</v>
      </c>
      <c r="BP104" s="835">
        <v>422050</v>
      </c>
      <c r="BQ104" s="835">
        <v>164203</v>
      </c>
      <c r="BR104" s="835">
        <v>549940</v>
      </c>
      <c r="BS104" s="835">
        <v>190221</v>
      </c>
      <c r="BT104" s="835">
        <v>13943188</v>
      </c>
      <c r="BU104" s="835">
        <v>1109484</v>
      </c>
      <c r="BV104" s="835">
        <v>4258201</v>
      </c>
      <c r="BW104" s="835">
        <v>510462</v>
      </c>
      <c r="BX104" s="835">
        <v>179914</v>
      </c>
      <c r="BY104" s="835">
        <v>0</v>
      </c>
      <c r="BZ104" s="835">
        <v>0</v>
      </c>
      <c r="CA104" s="835">
        <v>20841192</v>
      </c>
      <c r="CB104" s="835">
        <v>59551</v>
      </c>
    </row>
    <row r="105" spans="1:80" x14ac:dyDescent="0.25">
      <c r="A105" s="787">
        <v>339</v>
      </c>
      <c r="B105" s="846">
        <v>339</v>
      </c>
      <c r="C105" s="832" t="s">
        <v>257</v>
      </c>
      <c r="D105" s="860" t="s">
        <v>489</v>
      </c>
      <c r="E105" s="829">
        <v>51385</v>
      </c>
      <c r="F105" s="798">
        <v>376231</v>
      </c>
      <c r="G105" s="798">
        <v>4419</v>
      </c>
      <c r="H105" s="798">
        <v>2049935</v>
      </c>
      <c r="I105" s="798">
        <v>997627</v>
      </c>
      <c r="J105" s="798">
        <v>5002</v>
      </c>
      <c r="K105" s="800">
        <v>3454</v>
      </c>
      <c r="L105" s="835">
        <v>167074</v>
      </c>
      <c r="M105" s="835">
        <v>983092</v>
      </c>
      <c r="N105" s="830">
        <v>0</v>
      </c>
      <c r="O105" s="830">
        <v>114223</v>
      </c>
      <c r="P105" s="830">
        <v>169864</v>
      </c>
      <c r="Q105" s="830">
        <v>2805927</v>
      </c>
      <c r="R105" s="830">
        <v>527412</v>
      </c>
      <c r="S105" s="830">
        <v>191135</v>
      </c>
      <c r="T105" s="830">
        <v>2151600</v>
      </c>
      <c r="U105" s="830">
        <v>0</v>
      </c>
      <c r="V105" s="830">
        <v>1755679</v>
      </c>
      <c r="W105" s="830">
        <v>0</v>
      </c>
      <c r="X105" s="830">
        <v>166525</v>
      </c>
      <c r="Y105" s="830">
        <v>2296529</v>
      </c>
      <c r="Z105" s="830">
        <v>1171029</v>
      </c>
      <c r="AA105" s="835">
        <v>422322</v>
      </c>
      <c r="AB105" s="835">
        <v>800723</v>
      </c>
      <c r="AC105" s="835">
        <v>82158</v>
      </c>
      <c r="AD105" s="835">
        <v>0</v>
      </c>
      <c r="AE105" s="835">
        <v>38537</v>
      </c>
      <c r="AF105" s="835">
        <v>368870</v>
      </c>
      <c r="AG105" s="835">
        <v>0</v>
      </c>
      <c r="AH105" s="835">
        <v>0</v>
      </c>
      <c r="AI105" s="835">
        <v>0</v>
      </c>
      <c r="AJ105" s="835">
        <v>1582</v>
      </c>
      <c r="AK105" s="835">
        <v>194330</v>
      </c>
      <c r="AL105" s="835">
        <v>0</v>
      </c>
      <c r="AM105" s="835">
        <v>0</v>
      </c>
      <c r="AN105" s="835">
        <v>3947235</v>
      </c>
      <c r="AO105" s="835">
        <v>1598004</v>
      </c>
      <c r="AP105" s="835">
        <v>2900</v>
      </c>
      <c r="AQ105" s="835">
        <v>15355</v>
      </c>
      <c r="AR105" s="835">
        <v>2117133</v>
      </c>
      <c r="AS105" s="835">
        <v>268448</v>
      </c>
      <c r="AT105" s="835">
        <v>20030</v>
      </c>
      <c r="AU105" s="835">
        <v>773541</v>
      </c>
      <c r="AV105" s="835">
        <v>232657</v>
      </c>
      <c r="AW105" s="835">
        <v>11556</v>
      </c>
      <c r="AX105" s="835">
        <v>16583</v>
      </c>
      <c r="AY105" s="835">
        <v>69624</v>
      </c>
      <c r="AZ105" s="835">
        <v>354176</v>
      </c>
      <c r="BA105" s="835">
        <v>453896</v>
      </c>
      <c r="BB105" s="835">
        <v>11292</v>
      </c>
      <c r="BC105" s="835">
        <v>137606</v>
      </c>
      <c r="BD105" s="835">
        <v>90346</v>
      </c>
      <c r="BE105" s="835">
        <v>0</v>
      </c>
      <c r="BF105" s="835">
        <v>7985107</v>
      </c>
      <c r="BG105" s="835">
        <v>83151</v>
      </c>
      <c r="BH105" s="835">
        <v>5476</v>
      </c>
      <c r="BI105" s="835">
        <v>214415</v>
      </c>
      <c r="BJ105" s="835">
        <v>155341</v>
      </c>
      <c r="BK105" s="835">
        <v>116547</v>
      </c>
      <c r="BL105" s="835">
        <v>243523</v>
      </c>
      <c r="BM105" s="835">
        <v>316940</v>
      </c>
      <c r="BN105" s="835">
        <v>0</v>
      </c>
      <c r="BO105" s="835">
        <v>1067450</v>
      </c>
      <c r="BP105" s="835">
        <v>37641</v>
      </c>
      <c r="BQ105" s="835">
        <v>7633</v>
      </c>
      <c r="BR105" s="835">
        <v>270277</v>
      </c>
      <c r="BS105" s="835">
        <v>79710</v>
      </c>
      <c r="BT105" s="835">
        <v>2170019</v>
      </c>
      <c r="BU105" s="835">
        <v>259929</v>
      </c>
      <c r="BV105" s="835">
        <v>311908</v>
      </c>
      <c r="BW105" s="835">
        <v>91874</v>
      </c>
      <c r="BX105" s="835">
        <v>2275</v>
      </c>
      <c r="BY105" s="835">
        <v>0</v>
      </c>
      <c r="BZ105" s="835">
        <v>0</v>
      </c>
      <c r="CA105" s="835">
        <v>981135</v>
      </c>
      <c r="CB105" s="835">
        <v>768</v>
      </c>
    </row>
    <row r="106" spans="1:80" x14ac:dyDescent="0.25">
      <c r="A106" s="860"/>
      <c r="B106" s="846">
        <v>340</v>
      </c>
      <c r="C106" s="832" t="s">
        <v>737</v>
      </c>
      <c r="D106" s="860" t="s">
        <v>490</v>
      </c>
      <c r="E106" s="829"/>
      <c r="F106" s="798"/>
      <c r="G106" s="798"/>
      <c r="H106" s="798"/>
      <c r="I106" s="798"/>
      <c r="J106" s="798"/>
      <c r="K106" s="800"/>
      <c r="L106" s="835"/>
      <c r="M106" s="835"/>
      <c r="N106" s="830"/>
      <c r="O106" s="830"/>
      <c r="P106" s="830"/>
      <c r="Q106" s="830"/>
      <c r="R106" s="830"/>
      <c r="S106" s="830"/>
      <c r="T106" s="830"/>
      <c r="U106" s="830"/>
      <c r="V106" s="830"/>
      <c r="W106" s="830"/>
      <c r="X106" s="830"/>
      <c r="Y106" s="830"/>
      <c r="Z106" s="830"/>
      <c r="AA106" s="835"/>
      <c r="AB106" s="835"/>
      <c r="AC106" s="835"/>
      <c r="AD106" s="835"/>
      <c r="AE106" s="835"/>
      <c r="AF106" s="835"/>
      <c r="AG106" s="835"/>
      <c r="AH106" s="835"/>
      <c r="AI106" s="835"/>
      <c r="AJ106" s="835"/>
      <c r="AK106" s="835"/>
      <c r="AL106" s="835"/>
      <c r="AM106" s="835"/>
      <c r="AN106" s="835"/>
      <c r="AO106" s="835"/>
      <c r="AP106" s="835"/>
      <c r="AQ106" s="835"/>
      <c r="AR106" s="835"/>
      <c r="AS106" s="835"/>
      <c r="AT106" s="835"/>
      <c r="AU106" s="835"/>
      <c r="AV106" s="835"/>
      <c r="AW106" s="835"/>
      <c r="AX106" s="835"/>
      <c r="AY106" s="835"/>
      <c r="AZ106" s="835"/>
      <c r="BA106" s="835"/>
      <c r="BB106" s="835"/>
      <c r="BC106" s="835"/>
      <c r="BD106" s="835"/>
      <c r="BE106" s="835"/>
      <c r="BF106" s="835"/>
      <c r="BG106" s="835"/>
      <c r="BH106" s="835"/>
      <c r="BI106" s="835"/>
      <c r="BJ106" s="835"/>
      <c r="BK106" s="835"/>
      <c r="BL106" s="835"/>
      <c r="BM106" s="835"/>
      <c r="BN106" s="835"/>
      <c r="BO106" s="835"/>
      <c r="BP106" s="835"/>
      <c r="BQ106" s="835"/>
      <c r="BR106" s="835"/>
      <c r="BS106" s="835"/>
      <c r="BT106" s="835"/>
      <c r="BU106" s="835"/>
      <c r="BV106" s="835"/>
      <c r="BW106" s="835"/>
      <c r="BX106" s="835"/>
      <c r="BY106" s="835"/>
      <c r="BZ106" s="835"/>
      <c r="CA106" s="835"/>
      <c r="CB106" s="835"/>
    </row>
    <row r="107" spans="1:80" x14ac:dyDescent="0.25">
      <c r="A107" s="787">
        <v>341</v>
      </c>
      <c r="B107" s="846">
        <v>341</v>
      </c>
      <c r="C107" s="832" t="s">
        <v>260</v>
      </c>
      <c r="D107" s="860" t="s">
        <v>491</v>
      </c>
      <c r="E107" s="829">
        <v>1605733</v>
      </c>
      <c r="F107" s="798">
        <v>12046404</v>
      </c>
      <c r="G107" s="798">
        <v>366041</v>
      </c>
      <c r="H107" s="798">
        <v>41258606</v>
      </c>
      <c r="I107" s="798">
        <v>3137975</v>
      </c>
      <c r="J107" s="798">
        <v>238869</v>
      </c>
      <c r="K107" s="800">
        <v>1246907</v>
      </c>
      <c r="L107" s="835">
        <v>1570124</v>
      </c>
      <c r="M107" s="835">
        <v>38904340</v>
      </c>
      <c r="N107" s="830">
        <v>90181</v>
      </c>
      <c r="O107" s="830">
        <v>722239</v>
      </c>
      <c r="P107" s="830">
        <v>1277426</v>
      </c>
      <c r="Q107" s="830">
        <v>26861020</v>
      </c>
      <c r="R107" s="830">
        <v>19126364</v>
      </c>
      <c r="S107" s="830">
        <v>4656301</v>
      </c>
      <c r="T107" s="830">
        <v>9986006</v>
      </c>
      <c r="U107" s="830">
        <v>115804</v>
      </c>
      <c r="V107" s="830">
        <v>19074654</v>
      </c>
      <c r="W107" s="830">
        <v>24327</v>
      </c>
      <c r="X107" s="830">
        <v>8703398</v>
      </c>
      <c r="Y107" s="830">
        <v>11599304</v>
      </c>
      <c r="Z107" s="830">
        <v>3696808</v>
      </c>
      <c r="AA107" s="835">
        <v>1177461</v>
      </c>
      <c r="AB107" s="835">
        <v>3675753</v>
      </c>
      <c r="AC107" s="835">
        <v>1035157</v>
      </c>
      <c r="AD107" s="835">
        <v>275832</v>
      </c>
      <c r="AE107" s="835">
        <v>1041596</v>
      </c>
      <c r="AF107" s="835">
        <v>2527154</v>
      </c>
      <c r="AG107" s="835">
        <v>87834</v>
      </c>
      <c r="AH107" s="835">
        <v>42517</v>
      </c>
      <c r="AI107" s="835">
        <v>69512</v>
      </c>
      <c r="AJ107" s="835">
        <v>2571515</v>
      </c>
      <c r="AK107" s="835">
        <v>6384456</v>
      </c>
      <c r="AL107" s="835">
        <v>133865</v>
      </c>
      <c r="AM107" s="835">
        <v>25078</v>
      </c>
      <c r="AN107" s="835">
        <v>11966567</v>
      </c>
      <c r="AO107" s="835">
        <v>15562518</v>
      </c>
      <c r="AP107" s="835">
        <v>280822</v>
      </c>
      <c r="AQ107" s="835">
        <v>4269491</v>
      </c>
      <c r="AR107" s="835">
        <v>17683887</v>
      </c>
      <c r="AS107" s="835">
        <v>2354642</v>
      </c>
      <c r="AT107" s="835">
        <v>529768</v>
      </c>
      <c r="AU107" s="835">
        <v>3227396</v>
      </c>
      <c r="AV107" s="835">
        <v>9262218</v>
      </c>
      <c r="AW107" s="835">
        <v>71306</v>
      </c>
      <c r="AX107" s="835">
        <v>454921</v>
      </c>
      <c r="AY107" s="835">
        <v>2817500</v>
      </c>
      <c r="AZ107" s="835">
        <v>3054434</v>
      </c>
      <c r="BA107" s="835">
        <v>2241458</v>
      </c>
      <c r="BB107" s="835">
        <v>62585</v>
      </c>
      <c r="BC107" s="835">
        <v>1952600</v>
      </c>
      <c r="BD107" s="835">
        <v>304490</v>
      </c>
      <c r="BE107" s="835">
        <v>78425</v>
      </c>
      <c r="BF107" s="835">
        <v>20201601</v>
      </c>
      <c r="BG107" s="835">
        <v>183202</v>
      </c>
      <c r="BH107" s="835">
        <v>51288</v>
      </c>
      <c r="BI107" s="835">
        <v>2755315</v>
      </c>
      <c r="BJ107" s="835">
        <v>2406296</v>
      </c>
      <c r="BK107" s="835">
        <v>463529</v>
      </c>
      <c r="BL107" s="835">
        <v>7706138</v>
      </c>
      <c r="BM107" s="835">
        <v>4172812</v>
      </c>
      <c r="BN107" s="835">
        <v>45991</v>
      </c>
      <c r="BO107" s="835">
        <v>4600520</v>
      </c>
      <c r="BP107" s="835">
        <v>1884821</v>
      </c>
      <c r="BQ107" s="835">
        <v>837554</v>
      </c>
      <c r="BR107" s="835">
        <v>1447957</v>
      </c>
      <c r="BS107" s="835">
        <v>1273946</v>
      </c>
      <c r="BT107" s="835">
        <v>19883600</v>
      </c>
      <c r="BU107" s="835">
        <v>1625869</v>
      </c>
      <c r="BV107" s="835">
        <v>2302586</v>
      </c>
      <c r="BW107" s="835">
        <v>475329</v>
      </c>
      <c r="BX107" s="835">
        <v>834680</v>
      </c>
      <c r="BY107" s="835">
        <v>32580</v>
      </c>
      <c r="BZ107" s="835">
        <v>38463</v>
      </c>
      <c r="CA107" s="835">
        <v>15139632</v>
      </c>
      <c r="CB107" s="835">
        <v>63238</v>
      </c>
    </row>
    <row r="108" spans="1:80" x14ac:dyDescent="0.25">
      <c r="A108" s="860"/>
      <c r="B108" s="846">
        <v>342</v>
      </c>
      <c r="C108" s="832" t="s">
        <v>738</v>
      </c>
      <c r="D108" s="860" t="s">
        <v>492</v>
      </c>
      <c r="E108" s="829"/>
      <c r="F108" s="798"/>
      <c r="G108" s="798"/>
      <c r="H108" s="798"/>
      <c r="I108" s="798"/>
      <c r="J108" s="798"/>
      <c r="K108" s="800"/>
      <c r="L108" s="835"/>
      <c r="M108" s="835"/>
      <c r="N108" s="830"/>
      <c r="O108" s="830"/>
      <c r="P108" s="830"/>
      <c r="Q108" s="830"/>
      <c r="R108" s="830"/>
      <c r="S108" s="830"/>
      <c r="T108" s="830"/>
      <c r="U108" s="830"/>
      <c r="V108" s="830"/>
      <c r="W108" s="830"/>
      <c r="X108" s="830"/>
      <c r="Y108" s="830"/>
      <c r="Z108" s="830"/>
      <c r="AA108" s="835"/>
      <c r="AB108" s="835"/>
      <c r="AC108" s="835"/>
      <c r="AD108" s="835"/>
      <c r="AE108" s="835"/>
      <c r="AF108" s="835"/>
      <c r="AG108" s="835"/>
      <c r="AH108" s="835"/>
      <c r="AI108" s="835"/>
      <c r="AJ108" s="835"/>
      <c r="AK108" s="835"/>
      <c r="AL108" s="835"/>
      <c r="AM108" s="835"/>
      <c r="AN108" s="835"/>
      <c r="AO108" s="835"/>
      <c r="AP108" s="835"/>
      <c r="AQ108" s="835"/>
      <c r="AR108" s="835"/>
      <c r="AS108" s="835"/>
      <c r="AT108" s="835"/>
      <c r="AU108" s="835"/>
      <c r="AV108" s="835"/>
      <c r="AW108" s="835"/>
      <c r="AX108" s="835"/>
      <c r="AY108" s="835"/>
      <c r="AZ108" s="835"/>
      <c r="BA108" s="835"/>
      <c r="BB108" s="835"/>
      <c r="BC108" s="835"/>
      <c r="BD108" s="835"/>
      <c r="BE108" s="835"/>
      <c r="BF108" s="835"/>
      <c r="BG108" s="835"/>
      <c r="BH108" s="835"/>
      <c r="BI108" s="835"/>
      <c r="BJ108" s="835"/>
      <c r="BK108" s="835"/>
      <c r="BL108" s="835"/>
      <c r="BM108" s="835"/>
      <c r="BN108" s="835"/>
      <c r="BO108" s="835"/>
      <c r="BP108" s="835"/>
      <c r="BQ108" s="835"/>
      <c r="BR108" s="835"/>
      <c r="BS108" s="835"/>
      <c r="BT108" s="835"/>
      <c r="BU108" s="835"/>
      <c r="BV108" s="835"/>
      <c r="BW108" s="835"/>
      <c r="BX108" s="835"/>
      <c r="BY108" s="835"/>
      <c r="BZ108" s="835"/>
      <c r="CA108" s="835"/>
      <c r="CB108" s="835"/>
    </row>
    <row r="109" spans="1:80" x14ac:dyDescent="0.25">
      <c r="A109" s="787">
        <v>343</v>
      </c>
      <c r="B109" s="846">
        <v>343</v>
      </c>
      <c r="C109" s="832" t="s">
        <v>322</v>
      </c>
      <c r="D109" s="860" t="s">
        <v>493</v>
      </c>
      <c r="E109" s="829">
        <v>23292</v>
      </c>
      <c r="F109" s="798">
        <v>1153320</v>
      </c>
      <c r="G109" s="798">
        <v>3750</v>
      </c>
      <c r="H109" s="798">
        <v>7002113</v>
      </c>
      <c r="I109" s="798">
        <v>114634</v>
      </c>
      <c r="J109" s="798">
        <v>0</v>
      </c>
      <c r="K109" s="800">
        <v>0</v>
      </c>
      <c r="L109" s="835">
        <v>19148</v>
      </c>
      <c r="M109" s="835">
        <v>4495320</v>
      </c>
      <c r="N109" s="830">
        <v>0</v>
      </c>
      <c r="O109" s="830">
        <v>6263</v>
      </c>
      <c r="P109" s="830">
        <v>23490</v>
      </c>
      <c r="Q109" s="830">
        <v>3145321</v>
      </c>
      <c r="R109" s="830">
        <v>2650038</v>
      </c>
      <c r="S109" s="830">
        <v>377586</v>
      </c>
      <c r="T109" s="830">
        <v>490501</v>
      </c>
      <c r="U109" s="830">
        <v>2919</v>
      </c>
      <c r="V109" s="830">
        <v>751541</v>
      </c>
      <c r="W109" s="830">
        <v>0</v>
      </c>
      <c r="X109" s="830">
        <v>3284150</v>
      </c>
      <c r="Y109" s="830">
        <v>2172344</v>
      </c>
      <c r="Z109" s="830">
        <v>535918</v>
      </c>
      <c r="AA109" s="835">
        <v>124276</v>
      </c>
      <c r="AB109" s="835">
        <v>229331</v>
      </c>
      <c r="AC109" s="835">
        <v>0</v>
      </c>
      <c r="AD109" s="835">
        <v>4216</v>
      </c>
      <c r="AE109" s="835">
        <v>65689</v>
      </c>
      <c r="AF109" s="835">
        <v>136697</v>
      </c>
      <c r="AG109" s="835">
        <v>4631</v>
      </c>
      <c r="AH109" s="835">
        <v>0</v>
      </c>
      <c r="AI109" s="835">
        <v>0</v>
      </c>
      <c r="AJ109" s="835">
        <v>0</v>
      </c>
      <c r="AK109" s="835">
        <v>38774</v>
      </c>
      <c r="AL109" s="835">
        <v>0</v>
      </c>
      <c r="AM109" s="835">
        <v>0</v>
      </c>
      <c r="AN109" s="835">
        <v>936689</v>
      </c>
      <c r="AO109" s="835">
        <v>878088</v>
      </c>
      <c r="AP109" s="835">
        <v>0</v>
      </c>
      <c r="AQ109" s="835">
        <v>186666</v>
      </c>
      <c r="AR109" s="835">
        <v>871723</v>
      </c>
      <c r="AS109" s="835">
        <v>25860</v>
      </c>
      <c r="AT109" s="835">
        <v>260137</v>
      </c>
      <c r="AU109" s="835">
        <v>58176</v>
      </c>
      <c r="AV109" s="835">
        <v>435016</v>
      </c>
      <c r="AW109" s="835">
        <v>0</v>
      </c>
      <c r="AX109" s="835">
        <v>2487</v>
      </c>
      <c r="AY109" s="835">
        <v>206139</v>
      </c>
      <c r="AZ109" s="835">
        <v>52228</v>
      </c>
      <c r="BA109" s="835">
        <v>122976</v>
      </c>
      <c r="BB109" s="835">
        <v>0</v>
      </c>
      <c r="BC109" s="835">
        <v>60770</v>
      </c>
      <c r="BD109" s="835">
        <v>28861</v>
      </c>
      <c r="BE109" s="835">
        <v>0</v>
      </c>
      <c r="BF109" s="835">
        <v>840155</v>
      </c>
      <c r="BG109" s="835">
        <v>0</v>
      </c>
      <c r="BH109" s="835">
        <v>0</v>
      </c>
      <c r="BI109" s="835">
        <v>92348</v>
      </c>
      <c r="BJ109" s="835">
        <v>365865</v>
      </c>
      <c r="BK109" s="835">
        <v>20000</v>
      </c>
      <c r="BL109" s="835">
        <v>218333</v>
      </c>
      <c r="BM109" s="835">
        <v>0</v>
      </c>
      <c r="BN109" s="835">
        <v>0</v>
      </c>
      <c r="BO109" s="835">
        <v>157157</v>
      </c>
      <c r="BP109" s="835">
        <v>42207</v>
      </c>
      <c r="BQ109" s="835">
        <v>11549</v>
      </c>
      <c r="BR109" s="835">
        <v>0</v>
      </c>
      <c r="BS109" s="835">
        <v>71428</v>
      </c>
      <c r="BT109" s="835">
        <v>1110142</v>
      </c>
      <c r="BU109" s="835">
        <v>31813</v>
      </c>
      <c r="BV109" s="835">
        <v>83450</v>
      </c>
      <c r="BW109" s="835">
        <v>108073</v>
      </c>
      <c r="BX109" s="835">
        <v>0</v>
      </c>
      <c r="BY109" s="835">
        <v>0</v>
      </c>
      <c r="BZ109" s="835">
        <v>0</v>
      </c>
      <c r="CA109" s="835">
        <v>1316279</v>
      </c>
      <c r="CB109" s="835">
        <v>2329</v>
      </c>
    </row>
    <row r="110" spans="1:80" x14ac:dyDescent="0.25">
      <c r="A110" s="787">
        <v>344</v>
      </c>
      <c r="B110" s="846">
        <v>344</v>
      </c>
      <c r="C110" s="832" t="s">
        <v>255</v>
      </c>
      <c r="D110" s="860" t="s">
        <v>494</v>
      </c>
      <c r="E110" s="829">
        <v>5306</v>
      </c>
      <c r="F110" s="798">
        <v>340365</v>
      </c>
      <c r="G110" s="798">
        <v>42</v>
      </c>
      <c r="H110" s="798">
        <v>327949</v>
      </c>
      <c r="I110" s="798">
        <v>22706</v>
      </c>
      <c r="J110" s="798">
        <v>0</v>
      </c>
      <c r="K110" s="800">
        <v>0</v>
      </c>
      <c r="L110" s="835">
        <v>53048</v>
      </c>
      <c r="M110" s="835">
        <v>3328118</v>
      </c>
      <c r="N110" s="830">
        <v>0</v>
      </c>
      <c r="O110" s="830">
        <v>272</v>
      </c>
      <c r="P110" s="830">
        <v>19614</v>
      </c>
      <c r="Q110" s="830">
        <v>497994</v>
      </c>
      <c r="R110" s="830">
        <v>190857</v>
      </c>
      <c r="S110" s="830">
        <v>27108</v>
      </c>
      <c r="T110" s="830">
        <v>38984</v>
      </c>
      <c r="U110" s="830">
        <v>36</v>
      </c>
      <c r="V110" s="830">
        <v>338245</v>
      </c>
      <c r="W110" s="830">
        <v>0</v>
      </c>
      <c r="X110" s="830">
        <v>205521</v>
      </c>
      <c r="Y110" s="830">
        <v>173366</v>
      </c>
      <c r="Z110" s="830">
        <v>128442</v>
      </c>
      <c r="AA110" s="835">
        <v>8635</v>
      </c>
      <c r="AB110" s="835">
        <v>37686</v>
      </c>
      <c r="AC110" s="835">
        <v>0</v>
      </c>
      <c r="AD110" s="835">
        <v>407</v>
      </c>
      <c r="AE110" s="835">
        <v>5050</v>
      </c>
      <c r="AF110" s="835">
        <v>79113</v>
      </c>
      <c r="AG110" s="835">
        <v>0</v>
      </c>
      <c r="AH110" s="835">
        <v>0</v>
      </c>
      <c r="AI110" s="835">
        <v>0</v>
      </c>
      <c r="AJ110" s="835">
        <v>560</v>
      </c>
      <c r="AK110" s="835">
        <v>4415</v>
      </c>
      <c r="AL110" s="835">
        <v>0</v>
      </c>
      <c r="AM110" s="835">
        <v>0</v>
      </c>
      <c r="AN110" s="835">
        <v>266609</v>
      </c>
      <c r="AO110" s="835">
        <v>27893</v>
      </c>
      <c r="AP110" s="835">
        <v>0</v>
      </c>
      <c r="AQ110" s="835">
        <v>24891</v>
      </c>
      <c r="AR110" s="835">
        <v>186736</v>
      </c>
      <c r="AS110" s="835">
        <v>10636</v>
      </c>
      <c r="AT110" s="835">
        <v>12650</v>
      </c>
      <c r="AU110" s="835">
        <v>98899</v>
      </c>
      <c r="AV110" s="835">
        <v>37729</v>
      </c>
      <c r="AW110" s="835">
        <v>0</v>
      </c>
      <c r="AX110" s="835">
        <v>1027</v>
      </c>
      <c r="AY110" s="835">
        <v>71238</v>
      </c>
      <c r="AZ110" s="835">
        <v>3126</v>
      </c>
      <c r="BA110" s="835">
        <v>14045</v>
      </c>
      <c r="BB110" s="835">
        <v>0</v>
      </c>
      <c r="BC110" s="835">
        <v>2337</v>
      </c>
      <c r="BD110" s="835">
        <v>0</v>
      </c>
      <c r="BE110" s="835">
        <v>0</v>
      </c>
      <c r="BF110" s="835">
        <v>577049</v>
      </c>
      <c r="BG110" s="835">
        <v>0</v>
      </c>
      <c r="BH110" s="835">
        <v>0</v>
      </c>
      <c r="BI110" s="835">
        <v>4888</v>
      </c>
      <c r="BJ110" s="835">
        <v>11288</v>
      </c>
      <c r="BK110" s="835">
        <v>7500</v>
      </c>
      <c r="BL110" s="835">
        <v>64147</v>
      </c>
      <c r="BM110" s="835">
        <v>0</v>
      </c>
      <c r="BN110" s="835">
        <v>0</v>
      </c>
      <c r="BO110" s="835">
        <v>38347</v>
      </c>
      <c r="BP110" s="835">
        <v>654</v>
      </c>
      <c r="BQ110" s="835">
        <v>756</v>
      </c>
      <c r="BR110" s="835">
        <v>0</v>
      </c>
      <c r="BS110" s="835">
        <v>725</v>
      </c>
      <c r="BT110" s="835">
        <v>204153</v>
      </c>
      <c r="BU110" s="835">
        <v>13470</v>
      </c>
      <c r="BV110" s="835">
        <v>11239</v>
      </c>
      <c r="BW110" s="835">
        <v>1480</v>
      </c>
      <c r="BX110" s="835">
        <v>0</v>
      </c>
      <c r="BY110" s="835">
        <v>0</v>
      </c>
      <c r="BZ110" s="835">
        <v>0</v>
      </c>
      <c r="CA110" s="835">
        <v>300632</v>
      </c>
      <c r="CB110" s="835">
        <v>2627</v>
      </c>
    </row>
    <row r="111" spans="1:80" x14ac:dyDescent="0.25">
      <c r="A111" s="860"/>
      <c r="B111" s="846">
        <v>346</v>
      </c>
      <c r="C111" s="832" t="s">
        <v>739</v>
      </c>
      <c r="D111" s="860" t="s">
        <v>495</v>
      </c>
      <c r="E111" s="829">
        <v>0</v>
      </c>
      <c r="F111" s="798">
        <v>0</v>
      </c>
      <c r="G111" s="798">
        <v>0</v>
      </c>
      <c r="H111" s="798">
        <v>0</v>
      </c>
      <c r="I111" s="798">
        <v>0</v>
      </c>
      <c r="J111" s="798">
        <v>0</v>
      </c>
      <c r="K111" s="800">
        <v>0</v>
      </c>
      <c r="L111" s="835">
        <v>0</v>
      </c>
      <c r="M111" s="835">
        <v>0</v>
      </c>
      <c r="N111" s="830">
        <v>0</v>
      </c>
      <c r="O111" s="830">
        <v>0</v>
      </c>
      <c r="P111" s="830">
        <v>0</v>
      </c>
      <c r="Q111" s="830">
        <v>0</v>
      </c>
      <c r="R111" s="830">
        <v>0</v>
      </c>
      <c r="S111" s="830">
        <v>0</v>
      </c>
      <c r="T111" s="830">
        <v>0</v>
      </c>
      <c r="U111" s="830">
        <v>0</v>
      </c>
      <c r="V111" s="830">
        <v>0</v>
      </c>
      <c r="W111" s="830">
        <v>0</v>
      </c>
      <c r="X111" s="830">
        <v>0</v>
      </c>
      <c r="Y111" s="830">
        <v>0</v>
      </c>
      <c r="Z111" s="830">
        <v>0</v>
      </c>
      <c r="AA111" s="835">
        <v>0</v>
      </c>
      <c r="AB111" s="835">
        <v>0</v>
      </c>
      <c r="AC111" s="835">
        <v>0</v>
      </c>
      <c r="AD111" s="835">
        <v>0</v>
      </c>
      <c r="AE111" s="835">
        <v>0</v>
      </c>
      <c r="AF111" s="835">
        <v>0</v>
      </c>
      <c r="AG111" s="835">
        <v>0</v>
      </c>
      <c r="AH111" s="835">
        <v>0</v>
      </c>
      <c r="AI111" s="835">
        <v>0</v>
      </c>
      <c r="AJ111" s="835">
        <v>0</v>
      </c>
      <c r="AK111" s="835">
        <v>0</v>
      </c>
      <c r="AL111" s="835">
        <v>0</v>
      </c>
      <c r="AM111" s="835">
        <v>0</v>
      </c>
      <c r="AN111" s="835">
        <v>0</v>
      </c>
      <c r="AO111" s="835">
        <v>0</v>
      </c>
      <c r="AP111" s="835">
        <v>0</v>
      </c>
      <c r="AQ111" s="835">
        <v>0</v>
      </c>
      <c r="AR111" s="835">
        <v>0</v>
      </c>
      <c r="AS111" s="835">
        <v>0</v>
      </c>
      <c r="AT111" s="835">
        <v>0</v>
      </c>
      <c r="AU111" s="835">
        <v>0</v>
      </c>
      <c r="AV111" s="835">
        <v>0</v>
      </c>
      <c r="AW111" s="835">
        <v>0</v>
      </c>
      <c r="AX111" s="835">
        <v>0</v>
      </c>
      <c r="AY111" s="835">
        <v>0</v>
      </c>
      <c r="AZ111" s="835">
        <v>0</v>
      </c>
      <c r="BA111" s="835">
        <v>0</v>
      </c>
      <c r="BB111" s="835">
        <v>0</v>
      </c>
      <c r="BC111" s="835">
        <v>0</v>
      </c>
      <c r="BD111" s="835">
        <v>0</v>
      </c>
      <c r="BE111" s="835">
        <v>0</v>
      </c>
      <c r="BF111" s="835">
        <v>0</v>
      </c>
      <c r="BG111" s="835">
        <v>0</v>
      </c>
      <c r="BH111" s="835">
        <v>0</v>
      </c>
      <c r="BI111" s="835">
        <v>0</v>
      </c>
      <c r="BJ111" s="835">
        <v>0</v>
      </c>
      <c r="BK111" s="835">
        <v>0</v>
      </c>
      <c r="BL111" s="835">
        <v>0</v>
      </c>
      <c r="BM111" s="835">
        <v>0</v>
      </c>
      <c r="BN111" s="835">
        <v>0</v>
      </c>
      <c r="BO111" s="835">
        <v>0</v>
      </c>
      <c r="BP111" s="835">
        <v>0</v>
      </c>
      <c r="BQ111" s="835">
        <v>0</v>
      </c>
      <c r="BR111" s="835">
        <v>0</v>
      </c>
      <c r="BS111" s="835">
        <v>0</v>
      </c>
      <c r="BT111" s="835">
        <v>0</v>
      </c>
      <c r="BU111" s="835">
        <v>0</v>
      </c>
      <c r="BV111" s="835">
        <v>0</v>
      </c>
      <c r="BW111" s="835">
        <v>0</v>
      </c>
      <c r="BX111" s="835">
        <v>0</v>
      </c>
      <c r="BY111" s="835">
        <v>0</v>
      </c>
      <c r="BZ111" s="835">
        <v>0</v>
      </c>
      <c r="CA111" s="835">
        <v>0</v>
      </c>
      <c r="CB111" s="835">
        <v>0</v>
      </c>
    </row>
    <row r="112" spans="1:80" x14ac:dyDescent="0.25">
      <c r="A112" s="860"/>
      <c r="B112" s="846">
        <v>347</v>
      </c>
      <c r="C112" s="832" t="s">
        <v>740</v>
      </c>
      <c r="D112" s="860" t="s">
        <v>496</v>
      </c>
      <c r="E112" s="829">
        <v>0</v>
      </c>
      <c r="F112" s="798">
        <v>0</v>
      </c>
      <c r="G112" s="798">
        <v>0</v>
      </c>
      <c r="H112" s="798">
        <v>0</v>
      </c>
      <c r="I112" s="798">
        <v>0</v>
      </c>
      <c r="J112" s="798">
        <v>0</v>
      </c>
      <c r="K112" s="800">
        <v>0</v>
      </c>
      <c r="L112" s="835">
        <v>0</v>
      </c>
      <c r="M112" s="835">
        <v>0</v>
      </c>
      <c r="N112" s="830">
        <v>0</v>
      </c>
      <c r="O112" s="830">
        <v>0</v>
      </c>
      <c r="P112" s="830">
        <v>0</v>
      </c>
      <c r="Q112" s="830">
        <v>0</v>
      </c>
      <c r="R112" s="830">
        <v>0</v>
      </c>
      <c r="S112" s="830">
        <v>0</v>
      </c>
      <c r="T112" s="830">
        <v>0</v>
      </c>
      <c r="U112" s="830">
        <v>0</v>
      </c>
      <c r="V112" s="830">
        <v>0</v>
      </c>
      <c r="W112" s="830">
        <v>0</v>
      </c>
      <c r="X112" s="830">
        <v>0</v>
      </c>
      <c r="Y112" s="830">
        <v>0</v>
      </c>
      <c r="Z112" s="830">
        <v>0</v>
      </c>
      <c r="AA112" s="835">
        <v>0</v>
      </c>
      <c r="AB112" s="835">
        <v>0</v>
      </c>
      <c r="AC112" s="835">
        <v>0</v>
      </c>
      <c r="AD112" s="835">
        <v>0</v>
      </c>
      <c r="AE112" s="835">
        <v>0</v>
      </c>
      <c r="AF112" s="835">
        <v>0</v>
      </c>
      <c r="AG112" s="835">
        <v>0</v>
      </c>
      <c r="AH112" s="835">
        <v>0</v>
      </c>
      <c r="AI112" s="835">
        <v>0</v>
      </c>
      <c r="AJ112" s="835">
        <v>0</v>
      </c>
      <c r="AK112" s="835">
        <v>0</v>
      </c>
      <c r="AL112" s="835">
        <v>0</v>
      </c>
      <c r="AM112" s="835">
        <v>0</v>
      </c>
      <c r="AN112" s="835">
        <v>0</v>
      </c>
      <c r="AO112" s="835">
        <v>0</v>
      </c>
      <c r="AP112" s="835">
        <v>0</v>
      </c>
      <c r="AQ112" s="835">
        <v>0</v>
      </c>
      <c r="AR112" s="835">
        <v>0</v>
      </c>
      <c r="AS112" s="835">
        <v>0</v>
      </c>
      <c r="AT112" s="835">
        <v>0</v>
      </c>
      <c r="AU112" s="835">
        <v>0</v>
      </c>
      <c r="AV112" s="835">
        <v>0</v>
      </c>
      <c r="AW112" s="835">
        <v>0</v>
      </c>
      <c r="AX112" s="835">
        <v>0</v>
      </c>
      <c r="AY112" s="835">
        <v>0</v>
      </c>
      <c r="AZ112" s="835">
        <v>0</v>
      </c>
      <c r="BA112" s="835">
        <v>0</v>
      </c>
      <c r="BB112" s="835">
        <v>0</v>
      </c>
      <c r="BC112" s="835">
        <v>0</v>
      </c>
      <c r="BD112" s="835">
        <v>0</v>
      </c>
      <c r="BE112" s="835">
        <v>0</v>
      </c>
      <c r="BF112" s="835">
        <v>0</v>
      </c>
      <c r="BG112" s="835">
        <v>0</v>
      </c>
      <c r="BH112" s="835">
        <v>0</v>
      </c>
      <c r="BI112" s="835">
        <v>0</v>
      </c>
      <c r="BJ112" s="835">
        <v>0</v>
      </c>
      <c r="BK112" s="835">
        <v>0</v>
      </c>
      <c r="BL112" s="835">
        <v>0</v>
      </c>
      <c r="BM112" s="835">
        <v>0</v>
      </c>
      <c r="BN112" s="835">
        <v>0</v>
      </c>
      <c r="BO112" s="835">
        <v>0</v>
      </c>
      <c r="BP112" s="835">
        <v>0</v>
      </c>
      <c r="BQ112" s="835">
        <v>0</v>
      </c>
      <c r="BR112" s="835">
        <v>0</v>
      </c>
      <c r="BS112" s="835">
        <v>0</v>
      </c>
      <c r="BT112" s="835">
        <v>0</v>
      </c>
      <c r="BU112" s="835">
        <v>0</v>
      </c>
      <c r="BV112" s="835">
        <v>0</v>
      </c>
      <c r="BW112" s="835">
        <v>0</v>
      </c>
      <c r="BX112" s="835">
        <v>0</v>
      </c>
      <c r="BY112" s="835">
        <v>0</v>
      </c>
      <c r="BZ112" s="835">
        <v>0</v>
      </c>
      <c r="CA112" s="835">
        <v>0</v>
      </c>
      <c r="CB112" s="835">
        <v>0</v>
      </c>
    </row>
    <row r="113" spans="1:80" x14ac:dyDescent="0.25">
      <c r="A113" s="787">
        <v>349</v>
      </c>
      <c r="B113" s="846">
        <v>349</v>
      </c>
      <c r="C113" s="832" t="s">
        <v>129</v>
      </c>
      <c r="D113" s="860" t="s">
        <v>497</v>
      </c>
      <c r="E113" s="829">
        <v>0</v>
      </c>
      <c r="F113" s="798">
        <v>0</v>
      </c>
      <c r="G113" s="798">
        <v>78359</v>
      </c>
      <c r="H113" s="798">
        <v>73973125</v>
      </c>
      <c r="I113" s="798">
        <v>2444520</v>
      </c>
      <c r="J113" s="798">
        <v>281575</v>
      </c>
      <c r="K113" s="800">
        <v>146049</v>
      </c>
      <c r="L113" s="835">
        <v>3247651</v>
      </c>
      <c r="M113" s="835">
        <v>63871825</v>
      </c>
      <c r="N113" s="830">
        <v>0</v>
      </c>
      <c r="O113" s="830">
        <v>753657</v>
      </c>
      <c r="P113" s="830">
        <v>216720</v>
      </c>
      <c r="Q113" s="830">
        <v>0</v>
      </c>
      <c r="R113" s="830">
        <v>2008940</v>
      </c>
      <c r="S113" s="830">
        <v>13554348</v>
      </c>
      <c r="T113" s="830">
        <v>29151297</v>
      </c>
      <c r="U113" s="830">
        <v>302500</v>
      </c>
      <c r="V113" s="830">
        <v>13885331</v>
      </c>
      <c r="W113" s="830">
        <v>0</v>
      </c>
      <c r="X113" s="830">
        <v>0</v>
      </c>
      <c r="Y113" s="830">
        <v>1100011</v>
      </c>
      <c r="Z113" s="830">
        <v>2304789</v>
      </c>
      <c r="AA113" s="835">
        <v>646034</v>
      </c>
      <c r="AB113" s="835">
        <v>1744272</v>
      </c>
      <c r="AC113" s="835">
        <v>0</v>
      </c>
      <c r="AD113" s="835">
        <v>37337</v>
      </c>
      <c r="AE113" s="835">
        <v>1464101</v>
      </c>
      <c r="AF113" s="835">
        <v>5602262</v>
      </c>
      <c r="AG113" s="835">
        <v>3204</v>
      </c>
      <c r="AH113" s="835">
        <v>0</v>
      </c>
      <c r="AI113" s="835">
        <v>0</v>
      </c>
      <c r="AJ113" s="835">
        <v>76062</v>
      </c>
      <c r="AK113" s="835">
        <v>7611842</v>
      </c>
      <c r="AL113" s="835">
        <v>35113</v>
      </c>
      <c r="AM113" s="835">
        <v>0</v>
      </c>
      <c r="AN113" s="835">
        <v>8310182</v>
      </c>
      <c r="AO113" s="835">
        <v>16749293</v>
      </c>
      <c r="AP113" s="835">
        <v>10650</v>
      </c>
      <c r="AQ113" s="835">
        <v>0</v>
      </c>
      <c r="AR113" s="835">
        <v>3519519</v>
      </c>
      <c r="AS113" s="835">
        <v>229844</v>
      </c>
      <c r="AT113" s="835">
        <v>421618</v>
      </c>
      <c r="AU113" s="835">
        <v>342860</v>
      </c>
      <c r="AV113" s="835">
        <v>11637448</v>
      </c>
      <c r="AW113" s="835">
        <v>262289</v>
      </c>
      <c r="AX113" s="835">
        <v>342976</v>
      </c>
      <c r="AY113" s="835">
        <v>1651731</v>
      </c>
      <c r="AZ113" s="835">
        <v>462294</v>
      </c>
      <c r="BA113" s="835">
        <v>4238365</v>
      </c>
      <c r="BB113" s="835">
        <v>0</v>
      </c>
      <c r="BC113" s="835">
        <v>382264</v>
      </c>
      <c r="BD113" s="835">
        <v>874049</v>
      </c>
      <c r="BE113" s="835">
        <v>0</v>
      </c>
      <c r="BF113" s="835">
        <v>12757114</v>
      </c>
      <c r="BG113" s="835">
        <v>95788</v>
      </c>
      <c r="BH113" s="835">
        <v>0</v>
      </c>
      <c r="BI113" s="835">
        <v>2674730</v>
      </c>
      <c r="BJ113" s="835">
        <v>1767390</v>
      </c>
      <c r="BK113" s="835">
        <v>227987</v>
      </c>
      <c r="BL113" s="835">
        <v>943636</v>
      </c>
      <c r="BM113" s="835">
        <v>1338116</v>
      </c>
      <c r="BN113" s="835">
        <v>0</v>
      </c>
      <c r="BO113" s="835">
        <v>2435141</v>
      </c>
      <c r="BP113" s="835">
        <v>1046491</v>
      </c>
      <c r="BQ113" s="835">
        <v>1581445</v>
      </c>
      <c r="BR113" s="835">
        <v>1511085</v>
      </c>
      <c r="BS113" s="835">
        <v>0</v>
      </c>
      <c r="BT113" s="835">
        <v>0</v>
      </c>
      <c r="BU113" s="835">
        <v>456356</v>
      </c>
      <c r="BV113" s="835">
        <v>5728580</v>
      </c>
      <c r="BW113" s="835">
        <v>243777</v>
      </c>
      <c r="BX113" s="835">
        <v>71489</v>
      </c>
      <c r="BY113" s="835">
        <v>0</v>
      </c>
      <c r="BZ113" s="835">
        <v>0</v>
      </c>
      <c r="CA113" s="835">
        <v>11413317</v>
      </c>
      <c r="CB113" s="835">
        <v>0</v>
      </c>
    </row>
    <row r="114" spans="1:80" x14ac:dyDescent="0.25">
      <c r="A114" s="787">
        <v>350</v>
      </c>
      <c r="B114" s="846">
        <v>350</v>
      </c>
      <c r="C114" s="832" t="s">
        <v>298</v>
      </c>
      <c r="D114" s="860" t="s">
        <v>498</v>
      </c>
      <c r="E114" s="829">
        <v>0</v>
      </c>
      <c r="F114" s="798">
        <v>0</v>
      </c>
      <c r="G114" s="798">
        <v>263</v>
      </c>
      <c r="H114" s="798">
        <v>1181628</v>
      </c>
      <c r="I114" s="798">
        <v>73799</v>
      </c>
      <c r="J114" s="798">
        <v>13673</v>
      </c>
      <c r="K114" s="800">
        <v>23580</v>
      </c>
      <c r="L114" s="835">
        <v>770</v>
      </c>
      <c r="M114" s="835">
        <v>224673</v>
      </c>
      <c r="N114" s="830">
        <v>0</v>
      </c>
      <c r="O114" s="830">
        <v>35464</v>
      </c>
      <c r="P114" s="830">
        <v>546</v>
      </c>
      <c r="Q114" s="830">
        <v>0</v>
      </c>
      <c r="R114" s="830">
        <v>30792</v>
      </c>
      <c r="S114" s="830">
        <v>27831</v>
      </c>
      <c r="T114" s="830">
        <v>28044</v>
      </c>
      <c r="U114" s="830">
        <v>10</v>
      </c>
      <c r="V114" s="830">
        <v>28398</v>
      </c>
      <c r="W114" s="830">
        <v>0</v>
      </c>
      <c r="X114" s="830">
        <v>0</v>
      </c>
      <c r="Y114" s="830">
        <v>18102</v>
      </c>
      <c r="Z114" s="830">
        <v>6685</v>
      </c>
      <c r="AA114" s="835">
        <v>61506</v>
      </c>
      <c r="AB114" s="835">
        <v>860</v>
      </c>
      <c r="AC114" s="835">
        <v>0</v>
      </c>
      <c r="AD114" s="835">
        <v>46</v>
      </c>
      <c r="AE114" s="835">
        <v>9010</v>
      </c>
      <c r="AF114" s="835">
        <v>86</v>
      </c>
      <c r="AG114" s="835">
        <v>0</v>
      </c>
      <c r="AH114" s="835">
        <v>0</v>
      </c>
      <c r="AI114" s="835">
        <v>0</v>
      </c>
      <c r="AJ114" s="835">
        <v>7556</v>
      </c>
      <c r="AK114" s="835">
        <v>3571</v>
      </c>
      <c r="AL114" s="835">
        <v>15450</v>
      </c>
      <c r="AM114" s="835">
        <v>0</v>
      </c>
      <c r="AN114" s="835">
        <v>52467</v>
      </c>
      <c r="AO114" s="835">
        <v>42195</v>
      </c>
      <c r="AP114" s="835">
        <v>5</v>
      </c>
      <c r="AQ114" s="835">
        <v>0</v>
      </c>
      <c r="AR114" s="835">
        <v>84239</v>
      </c>
      <c r="AS114" s="835">
        <v>3699</v>
      </c>
      <c r="AT114" s="835">
        <v>0</v>
      </c>
      <c r="AU114" s="835">
        <v>14890</v>
      </c>
      <c r="AV114" s="835">
        <v>104886</v>
      </c>
      <c r="AW114" s="835">
        <v>1993</v>
      </c>
      <c r="AX114" s="835">
        <v>4754</v>
      </c>
      <c r="AY114" s="835">
        <v>0</v>
      </c>
      <c r="AZ114" s="835">
        <v>6089</v>
      </c>
      <c r="BA114" s="835">
        <v>590</v>
      </c>
      <c r="BB114" s="835">
        <v>0</v>
      </c>
      <c r="BC114" s="835">
        <v>25</v>
      </c>
      <c r="BD114" s="835">
        <v>87</v>
      </c>
      <c r="BE114" s="835">
        <v>0</v>
      </c>
      <c r="BF114" s="835">
        <v>10527</v>
      </c>
      <c r="BG114" s="835">
        <v>3</v>
      </c>
      <c r="BH114" s="835">
        <v>0</v>
      </c>
      <c r="BI114" s="835">
        <v>1287</v>
      </c>
      <c r="BJ114" s="835">
        <v>18387</v>
      </c>
      <c r="BK114" s="835">
        <v>0</v>
      </c>
      <c r="BL114" s="835">
        <v>39990</v>
      </c>
      <c r="BM114" s="835">
        <v>27696</v>
      </c>
      <c r="BN114" s="835">
        <v>0</v>
      </c>
      <c r="BO114" s="835">
        <v>59197</v>
      </c>
      <c r="BP114" s="835">
        <v>27221</v>
      </c>
      <c r="BQ114" s="835">
        <v>758402</v>
      </c>
      <c r="BR114" s="835">
        <v>34447</v>
      </c>
      <c r="BS114" s="835">
        <v>0</v>
      </c>
      <c r="BT114" s="835">
        <v>0</v>
      </c>
      <c r="BU114" s="835">
        <v>1785</v>
      </c>
      <c r="BV114" s="835">
        <v>52016</v>
      </c>
      <c r="BW114" s="835">
        <v>0</v>
      </c>
      <c r="BX114" s="835">
        <v>2685</v>
      </c>
      <c r="BY114" s="835">
        <v>0</v>
      </c>
      <c r="BZ114" s="835">
        <v>0</v>
      </c>
      <c r="CA114" s="835">
        <v>221536</v>
      </c>
      <c r="CB114" s="835">
        <v>0</v>
      </c>
    </row>
    <row r="115" spans="1:80" x14ac:dyDescent="0.25">
      <c r="A115" s="787">
        <v>351</v>
      </c>
      <c r="B115" s="846">
        <v>351</v>
      </c>
      <c r="C115" s="832" t="s">
        <v>299</v>
      </c>
      <c r="D115" s="860" t="s">
        <v>499</v>
      </c>
      <c r="E115" s="829">
        <v>0</v>
      </c>
      <c r="F115" s="798">
        <v>0</v>
      </c>
      <c r="G115" s="798">
        <v>1503</v>
      </c>
      <c r="H115" s="798">
        <v>2095718</v>
      </c>
      <c r="I115" s="798">
        <v>86454</v>
      </c>
      <c r="J115" s="798">
        <v>10</v>
      </c>
      <c r="K115" s="800">
        <v>5364</v>
      </c>
      <c r="L115" s="835">
        <v>71273</v>
      </c>
      <c r="M115" s="835">
        <v>1606968</v>
      </c>
      <c r="N115" s="830">
        <v>0</v>
      </c>
      <c r="O115" s="830">
        <v>1063</v>
      </c>
      <c r="P115" s="830">
        <v>3924</v>
      </c>
      <c r="Q115" s="830">
        <v>0</v>
      </c>
      <c r="R115" s="830">
        <v>0</v>
      </c>
      <c r="S115" s="830">
        <v>47316</v>
      </c>
      <c r="T115" s="830">
        <v>28649</v>
      </c>
      <c r="U115" s="830">
        <v>2160</v>
      </c>
      <c r="V115" s="830">
        <v>279250</v>
      </c>
      <c r="W115" s="830">
        <v>0</v>
      </c>
      <c r="X115" s="830">
        <v>0</v>
      </c>
      <c r="Y115" s="830">
        <v>16656</v>
      </c>
      <c r="Z115" s="830">
        <v>34816</v>
      </c>
      <c r="AA115" s="835">
        <v>14331</v>
      </c>
      <c r="AB115" s="835">
        <v>11608</v>
      </c>
      <c r="AC115" s="835">
        <v>0</v>
      </c>
      <c r="AD115" s="835">
        <v>0</v>
      </c>
      <c r="AE115" s="835">
        <v>21154</v>
      </c>
      <c r="AF115" s="835">
        <v>167691</v>
      </c>
      <c r="AG115" s="835">
        <v>0</v>
      </c>
      <c r="AH115" s="835">
        <v>0</v>
      </c>
      <c r="AI115" s="835">
        <v>0</v>
      </c>
      <c r="AJ115" s="835">
        <v>0</v>
      </c>
      <c r="AK115" s="835">
        <v>1056181</v>
      </c>
      <c r="AL115" s="835">
        <v>249</v>
      </c>
      <c r="AM115" s="835">
        <v>0</v>
      </c>
      <c r="AN115" s="835">
        <v>139225</v>
      </c>
      <c r="AO115" s="835">
        <v>131421</v>
      </c>
      <c r="AP115" s="835">
        <v>0</v>
      </c>
      <c r="AQ115" s="835">
        <v>0</v>
      </c>
      <c r="AR115" s="835">
        <v>37361</v>
      </c>
      <c r="AS115" s="835">
        <v>0</v>
      </c>
      <c r="AT115" s="835">
        <v>6611</v>
      </c>
      <c r="AU115" s="835">
        <v>12807</v>
      </c>
      <c r="AV115" s="835">
        <v>200965</v>
      </c>
      <c r="AW115" s="835">
        <v>3720</v>
      </c>
      <c r="AX115" s="835">
        <v>11135</v>
      </c>
      <c r="AY115" s="835">
        <v>39817</v>
      </c>
      <c r="AZ115" s="835">
        <v>7708</v>
      </c>
      <c r="BA115" s="835">
        <v>111344</v>
      </c>
      <c r="BB115" s="835">
        <v>0</v>
      </c>
      <c r="BC115" s="835">
        <v>3322</v>
      </c>
      <c r="BD115" s="835">
        <v>29218</v>
      </c>
      <c r="BE115" s="835">
        <v>0</v>
      </c>
      <c r="BF115" s="835">
        <v>113341</v>
      </c>
      <c r="BG115" s="835">
        <v>0</v>
      </c>
      <c r="BH115" s="835">
        <v>0</v>
      </c>
      <c r="BI115" s="835">
        <v>67513</v>
      </c>
      <c r="BJ115" s="835">
        <v>37870</v>
      </c>
      <c r="BK115" s="835">
        <v>0</v>
      </c>
      <c r="BL115" s="835">
        <v>0</v>
      </c>
      <c r="BM115" s="835">
        <v>12435</v>
      </c>
      <c r="BN115" s="835">
        <v>0</v>
      </c>
      <c r="BO115" s="835">
        <v>30161</v>
      </c>
      <c r="BP115" s="835">
        <v>27672</v>
      </c>
      <c r="BQ115" s="835">
        <v>26034</v>
      </c>
      <c r="BR115" s="835">
        <v>0</v>
      </c>
      <c r="BS115" s="835">
        <v>0</v>
      </c>
      <c r="BT115" s="835">
        <v>0</v>
      </c>
      <c r="BU115" s="835">
        <v>10645</v>
      </c>
      <c r="BV115" s="835">
        <v>69348</v>
      </c>
      <c r="BW115" s="835">
        <v>0</v>
      </c>
      <c r="BX115" s="835">
        <v>0</v>
      </c>
      <c r="BY115" s="835">
        <v>0</v>
      </c>
      <c r="BZ115" s="835">
        <v>0</v>
      </c>
      <c r="CA115" s="835">
        <v>167390</v>
      </c>
      <c r="CB115" s="835">
        <v>0</v>
      </c>
    </row>
    <row r="116" spans="1:80" x14ac:dyDescent="0.25">
      <c r="A116" s="787">
        <v>352</v>
      </c>
      <c r="B116" s="846">
        <v>352</v>
      </c>
      <c r="C116" s="832" t="s">
        <v>301</v>
      </c>
      <c r="D116" s="860" t="s">
        <v>500</v>
      </c>
      <c r="E116" s="829">
        <v>0</v>
      </c>
      <c r="F116" s="798">
        <v>0</v>
      </c>
      <c r="G116" s="798">
        <v>0</v>
      </c>
      <c r="H116" s="798">
        <v>702342</v>
      </c>
      <c r="I116" s="798">
        <v>0</v>
      </c>
      <c r="J116" s="798">
        <v>0</v>
      </c>
      <c r="K116" s="800">
        <v>227628</v>
      </c>
      <c r="L116" s="835">
        <v>0</v>
      </c>
      <c r="M116" s="835">
        <v>0</v>
      </c>
      <c r="N116" s="830">
        <v>0</v>
      </c>
      <c r="O116" s="830">
        <v>0</v>
      </c>
      <c r="P116" s="830">
        <v>0</v>
      </c>
      <c r="Q116" s="830">
        <v>0</v>
      </c>
      <c r="R116" s="830">
        <v>0</v>
      </c>
      <c r="S116" s="830">
        <v>0</v>
      </c>
      <c r="T116" s="830">
        <v>0</v>
      </c>
      <c r="U116" s="830">
        <v>0</v>
      </c>
      <c r="V116" s="830">
        <v>128800</v>
      </c>
      <c r="W116" s="830">
        <v>0</v>
      </c>
      <c r="X116" s="830">
        <v>0</v>
      </c>
      <c r="Y116" s="830">
        <v>0</v>
      </c>
      <c r="Z116" s="830">
        <v>0</v>
      </c>
      <c r="AA116" s="835">
        <v>0</v>
      </c>
      <c r="AB116" s="835">
        <v>0</v>
      </c>
      <c r="AC116" s="835">
        <v>0</v>
      </c>
      <c r="AD116" s="835">
        <v>0</v>
      </c>
      <c r="AE116" s="835">
        <v>0</v>
      </c>
      <c r="AF116" s="835">
        <v>0</v>
      </c>
      <c r="AG116" s="835">
        <v>0</v>
      </c>
      <c r="AH116" s="835">
        <v>0</v>
      </c>
      <c r="AI116" s="835">
        <v>0</v>
      </c>
      <c r="AJ116" s="835">
        <v>1000</v>
      </c>
      <c r="AK116" s="835">
        <v>0</v>
      </c>
      <c r="AL116" s="835">
        <v>0</v>
      </c>
      <c r="AM116" s="835">
        <v>0</v>
      </c>
      <c r="AN116" s="835">
        <v>1142842</v>
      </c>
      <c r="AO116" s="835">
        <v>0</v>
      </c>
      <c r="AP116" s="835">
        <v>0</v>
      </c>
      <c r="AQ116" s="835">
        <v>0</v>
      </c>
      <c r="AR116" s="835">
        <v>111000</v>
      </c>
      <c r="AS116" s="835">
        <v>0</v>
      </c>
      <c r="AT116" s="835">
        <v>0</v>
      </c>
      <c r="AU116" s="835">
        <v>0</v>
      </c>
      <c r="AV116" s="835">
        <v>0</v>
      </c>
      <c r="AW116" s="835">
        <v>0</v>
      </c>
      <c r="AX116" s="835">
        <v>0</v>
      </c>
      <c r="AY116" s="835">
        <v>0</v>
      </c>
      <c r="AZ116" s="835">
        <v>0</v>
      </c>
      <c r="BA116" s="835">
        <v>0</v>
      </c>
      <c r="BB116" s="835">
        <v>0</v>
      </c>
      <c r="BC116" s="835">
        <v>0</v>
      </c>
      <c r="BD116" s="835">
        <v>20000</v>
      </c>
      <c r="BE116" s="835">
        <v>0</v>
      </c>
      <c r="BF116" s="835">
        <v>0</v>
      </c>
      <c r="BG116" s="835">
        <v>0</v>
      </c>
      <c r="BH116" s="835">
        <v>0</v>
      </c>
      <c r="BI116" s="835">
        <v>0</v>
      </c>
      <c r="BJ116" s="835">
        <v>0</v>
      </c>
      <c r="BK116" s="835">
        <v>0</v>
      </c>
      <c r="BL116" s="835">
        <v>145606</v>
      </c>
      <c r="BM116" s="835">
        <v>0</v>
      </c>
      <c r="BN116" s="835">
        <v>0</v>
      </c>
      <c r="BO116" s="835">
        <v>0</v>
      </c>
      <c r="BP116" s="835">
        <v>0</v>
      </c>
      <c r="BQ116" s="835">
        <v>0</v>
      </c>
      <c r="BR116" s="835">
        <v>0</v>
      </c>
      <c r="BS116" s="835">
        <v>0</v>
      </c>
      <c r="BT116" s="835">
        <v>0</v>
      </c>
      <c r="BU116" s="835">
        <v>0</v>
      </c>
      <c r="BV116" s="835">
        <v>16900</v>
      </c>
      <c r="BW116" s="835">
        <v>0</v>
      </c>
      <c r="BX116" s="835">
        <v>0</v>
      </c>
      <c r="BY116" s="835">
        <v>0</v>
      </c>
      <c r="BZ116" s="835">
        <v>0</v>
      </c>
      <c r="CA116" s="835">
        <v>2003</v>
      </c>
      <c r="CB116" s="835">
        <v>0</v>
      </c>
    </row>
    <row r="117" spans="1:80" x14ac:dyDescent="0.25">
      <c r="A117" s="787">
        <v>353</v>
      </c>
      <c r="B117" s="846">
        <v>353</v>
      </c>
      <c r="C117" s="832" t="s">
        <v>302</v>
      </c>
      <c r="D117" s="860" t="s">
        <v>501</v>
      </c>
      <c r="E117" s="829">
        <v>0</v>
      </c>
      <c r="F117" s="798">
        <v>0</v>
      </c>
      <c r="G117" s="798">
        <v>0</v>
      </c>
      <c r="H117" s="798">
        <v>25000</v>
      </c>
      <c r="I117" s="798">
        <v>0</v>
      </c>
      <c r="J117" s="798">
        <v>0</v>
      </c>
      <c r="K117" s="800">
        <v>0</v>
      </c>
      <c r="L117" s="835">
        <v>0</v>
      </c>
      <c r="M117" s="835">
        <v>114290</v>
      </c>
      <c r="N117" s="830">
        <v>0</v>
      </c>
      <c r="O117" s="830">
        <v>0</v>
      </c>
      <c r="P117" s="830">
        <v>0</v>
      </c>
      <c r="Q117" s="830">
        <v>0</v>
      </c>
      <c r="R117" s="830">
        <v>0</v>
      </c>
      <c r="S117" s="830">
        <v>0</v>
      </c>
      <c r="T117" s="830">
        <v>0</v>
      </c>
      <c r="U117" s="830">
        <v>0</v>
      </c>
      <c r="V117" s="830">
        <v>0</v>
      </c>
      <c r="W117" s="830">
        <v>0</v>
      </c>
      <c r="X117" s="830">
        <v>0</v>
      </c>
      <c r="Y117" s="830">
        <v>0</v>
      </c>
      <c r="Z117" s="830">
        <v>0</v>
      </c>
      <c r="AA117" s="835">
        <v>20000</v>
      </c>
      <c r="AB117" s="835">
        <v>0</v>
      </c>
      <c r="AC117" s="835">
        <v>0</v>
      </c>
      <c r="AD117" s="835">
        <v>0</v>
      </c>
      <c r="AE117" s="835">
        <v>0</v>
      </c>
      <c r="AF117" s="835">
        <v>0</v>
      </c>
      <c r="AG117" s="835">
        <v>0</v>
      </c>
      <c r="AH117" s="835">
        <v>0</v>
      </c>
      <c r="AI117" s="835">
        <v>0</v>
      </c>
      <c r="AJ117" s="835">
        <v>0</v>
      </c>
      <c r="AK117" s="835">
        <v>1527500</v>
      </c>
      <c r="AL117" s="835">
        <v>0</v>
      </c>
      <c r="AM117" s="835">
        <v>0</v>
      </c>
      <c r="AN117" s="835">
        <v>1142842</v>
      </c>
      <c r="AO117" s="835">
        <v>0</v>
      </c>
      <c r="AP117" s="835">
        <v>0</v>
      </c>
      <c r="AQ117" s="835">
        <v>0</v>
      </c>
      <c r="AR117" s="835">
        <v>432476</v>
      </c>
      <c r="AS117" s="835">
        <v>0</v>
      </c>
      <c r="AT117" s="835">
        <v>1053</v>
      </c>
      <c r="AU117" s="835">
        <v>0</v>
      </c>
      <c r="AV117" s="835">
        <v>379096</v>
      </c>
      <c r="AW117" s="835">
        <v>0</v>
      </c>
      <c r="AX117" s="835">
        <v>0</v>
      </c>
      <c r="AY117" s="835">
        <v>30000</v>
      </c>
      <c r="AZ117" s="835">
        <v>15000</v>
      </c>
      <c r="BA117" s="835">
        <v>0</v>
      </c>
      <c r="BB117" s="835">
        <v>0</v>
      </c>
      <c r="BC117" s="835">
        <v>0</v>
      </c>
      <c r="BD117" s="835">
        <v>0</v>
      </c>
      <c r="BE117" s="835">
        <v>0</v>
      </c>
      <c r="BF117" s="835">
        <v>607712</v>
      </c>
      <c r="BG117" s="835">
        <v>0</v>
      </c>
      <c r="BH117" s="835">
        <v>0</v>
      </c>
      <c r="BI117" s="835">
        <v>0</v>
      </c>
      <c r="BJ117" s="835">
        <v>0</v>
      </c>
      <c r="BK117" s="835">
        <v>0</v>
      </c>
      <c r="BL117" s="835">
        <v>0</v>
      </c>
      <c r="BM117" s="835">
        <v>0</v>
      </c>
      <c r="BN117" s="835">
        <v>0</v>
      </c>
      <c r="BO117" s="835">
        <v>102753</v>
      </c>
      <c r="BP117" s="835">
        <v>0</v>
      </c>
      <c r="BQ117" s="835">
        <v>0</v>
      </c>
      <c r="BR117" s="835">
        <v>0</v>
      </c>
      <c r="BS117" s="835">
        <v>0</v>
      </c>
      <c r="BT117" s="835">
        <v>0</v>
      </c>
      <c r="BU117" s="835">
        <v>3464</v>
      </c>
      <c r="BV117" s="835">
        <v>0</v>
      </c>
      <c r="BW117" s="835">
        <v>0</v>
      </c>
      <c r="BX117" s="835">
        <v>0</v>
      </c>
      <c r="BY117" s="835">
        <v>0</v>
      </c>
      <c r="BZ117" s="835">
        <v>0</v>
      </c>
      <c r="CA117" s="835">
        <v>0</v>
      </c>
      <c r="CB117" s="835">
        <v>0</v>
      </c>
    </row>
    <row r="118" spans="1:80" ht="30" x14ac:dyDescent="0.25">
      <c r="A118" s="787">
        <v>356</v>
      </c>
      <c r="B118" s="846">
        <v>356</v>
      </c>
      <c r="C118" s="832" t="s">
        <v>646</v>
      </c>
      <c r="D118" s="860" t="s">
        <v>502</v>
      </c>
      <c r="E118" s="829">
        <v>0</v>
      </c>
      <c r="F118" s="798">
        <v>0</v>
      </c>
      <c r="G118" s="798">
        <v>0</v>
      </c>
      <c r="H118" s="798">
        <v>0</v>
      </c>
      <c r="I118" s="798">
        <v>0</v>
      </c>
      <c r="J118" s="798">
        <v>0</v>
      </c>
      <c r="K118" s="800">
        <v>0</v>
      </c>
      <c r="L118" s="835">
        <v>0</v>
      </c>
      <c r="M118" s="835">
        <v>0</v>
      </c>
      <c r="N118" s="830">
        <v>0</v>
      </c>
      <c r="O118" s="830">
        <v>0</v>
      </c>
      <c r="P118" s="830">
        <v>0</v>
      </c>
      <c r="Q118" s="830">
        <v>0</v>
      </c>
      <c r="R118" s="830">
        <v>0</v>
      </c>
      <c r="S118" s="830">
        <v>0</v>
      </c>
      <c r="T118" s="830">
        <v>13339597</v>
      </c>
      <c r="U118" s="830">
        <v>0</v>
      </c>
      <c r="V118" s="830">
        <v>46800693</v>
      </c>
      <c r="W118" s="830">
        <v>0</v>
      </c>
      <c r="X118" s="830">
        <v>0</v>
      </c>
      <c r="Y118" s="830">
        <v>0</v>
      </c>
      <c r="Z118" s="830">
        <v>0</v>
      </c>
      <c r="AA118" s="835">
        <v>2222337</v>
      </c>
      <c r="AB118" s="835">
        <v>2241010</v>
      </c>
      <c r="AC118" s="835">
        <v>0</v>
      </c>
      <c r="AD118" s="835">
        <v>0</v>
      </c>
      <c r="AE118" s="835">
        <v>0</v>
      </c>
      <c r="AF118" s="835">
        <v>6225595</v>
      </c>
      <c r="AG118" s="835">
        <v>0</v>
      </c>
      <c r="AH118" s="835">
        <v>0</v>
      </c>
      <c r="AI118" s="835">
        <v>0</v>
      </c>
      <c r="AJ118" s="835">
        <v>0</v>
      </c>
      <c r="AK118" s="835">
        <v>16120748</v>
      </c>
      <c r="AL118" s="835">
        <v>0</v>
      </c>
      <c r="AM118" s="835">
        <v>0</v>
      </c>
      <c r="AN118" s="835">
        <v>0</v>
      </c>
      <c r="AO118" s="835">
        <v>0</v>
      </c>
      <c r="AP118" s="835">
        <v>0</v>
      </c>
      <c r="AQ118" s="835">
        <v>0</v>
      </c>
      <c r="AR118" s="835">
        <v>62385766</v>
      </c>
      <c r="AS118" s="835">
        <v>0</v>
      </c>
      <c r="AT118" s="835">
        <v>0</v>
      </c>
      <c r="AU118" s="835">
        <v>0</v>
      </c>
      <c r="AV118" s="835">
        <v>5440133</v>
      </c>
      <c r="AW118" s="835">
        <v>0</v>
      </c>
      <c r="AX118" s="835">
        <v>0</v>
      </c>
      <c r="AY118" s="835">
        <v>0</v>
      </c>
      <c r="AZ118" s="835">
        <v>0</v>
      </c>
      <c r="BA118" s="835">
        <v>10296316</v>
      </c>
      <c r="BB118" s="835">
        <v>0</v>
      </c>
      <c r="BC118" s="835">
        <v>0</v>
      </c>
      <c r="BD118" s="835">
        <v>1671785</v>
      </c>
      <c r="BE118" s="835">
        <v>0</v>
      </c>
      <c r="BF118" s="835">
        <v>31923433</v>
      </c>
      <c r="BG118" s="835">
        <v>268960</v>
      </c>
      <c r="BH118" s="835">
        <v>0</v>
      </c>
      <c r="BI118" s="835">
        <v>0</v>
      </c>
      <c r="BJ118" s="835">
        <v>0</v>
      </c>
      <c r="BK118" s="835">
        <v>0</v>
      </c>
      <c r="BL118" s="835">
        <v>6410708</v>
      </c>
      <c r="BM118" s="835">
        <v>0</v>
      </c>
      <c r="BN118" s="835">
        <v>0</v>
      </c>
      <c r="BO118" s="835">
        <v>0</v>
      </c>
      <c r="BP118" s="835">
        <v>0</v>
      </c>
      <c r="BQ118" s="835">
        <v>0</v>
      </c>
      <c r="BR118" s="835">
        <v>0</v>
      </c>
      <c r="BS118" s="835">
        <v>0</v>
      </c>
      <c r="BT118" s="835">
        <v>0</v>
      </c>
      <c r="BU118" s="835">
        <v>0</v>
      </c>
      <c r="BV118" s="835">
        <v>0</v>
      </c>
      <c r="BW118" s="835">
        <v>0</v>
      </c>
      <c r="BX118" s="835">
        <v>0</v>
      </c>
      <c r="BY118" s="835">
        <v>0</v>
      </c>
      <c r="BZ118" s="835">
        <v>0</v>
      </c>
      <c r="CA118" s="835">
        <v>0</v>
      </c>
      <c r="CB118" s="835">
        <v>0</v>
      </c>
    </row>
    <row r="119" spans="1:80" x14ac:dyDescent="0.25">
      <c r="A119" s="787">
        <v>357</v>
      </c>
      <c r="B119" s="846">
        <v>357</v>
      </c>
      <c r="C119" s="832" t="s">
        <v>647</v>
      </c>
      <c r="D119" s="860" t="s">
        <v>503</v>
      </c>
      <c r="E119" s="829">
        <v>0</v>
      </c>
      <c r="F119" s="798">
        <v>0</v>
      </c>
      <c r="G119" s="798">
        <v>0</v>
      </c>
      <c r="H119" s="798">
        <v>0</v>
      </c>
      <c r="I119" s="798">
        <v>0</v>
      </c>
      <c r="J119" s="798">
        <v>0</v>
      </c>
      <c r="K119" s="800">
        <v>0</v>
      </c>
      <c r="L119" s="835">
        <v>0</v>
      </c>
      <c r="M119" s="835">
        <v>0</v>
      </c>
      <c r="N119" s="830">
        <v>0</v>
      </c>
      <c r="O119" s="830">
        <v>0</v>
      </c>
      <c r="P119" s="830">
        <v>0</v>
      </c>
      <c r="Q119" s="830">
        <v>0</v>
      </c>
      <c r="R119" s="830">
        <v>0</v>
      </c>
      <c r="S119" s="830">
        <v>0</v>
      </c>
      <c r="T119" s="830">
        <v>7314554</v>
      </c>
      <c r="U119" s="830">
        <v>0</v>
      </c>
      <c r="V119" s="830">
        <v>27770115</v>
      </c>
      <c r="W119" s="830">
        <v>0</v>
      </c>
      <c r="X119" s="830">
        <v>0</v>
      </c>
      <c r="Y119" s="830">
        <v>0</v>
      </c>
      <c r="Z119" s="830">
        <v>0</v>
      </c>
      <c r="AA119" s="835">
        <v>1211498</v>
      </c>
      <c r="AB119" s="835">
        <v>1601422</v>
      </c>
      <c r="AC119" s="835">
        <v>0</v>
      </c>
      <c r="AD119" s="835">
        <v>0</v>
      </c>
      <c r="AE119" s="835">
        <v>0</v>
      </c>
      <c r="AF119" s="835">
        <v>3666089</v>
      </c>
      <c r="AG119" s="835">
        <v>0</v>
      </c>
      <c r="AH119" s="835">
        <v>0</v>
      </c>
      <c r="AI119" s="835">
        <v>0</v>
      </c>
      <c r="AJ119" s="835">
        <v>0</v>
      </c>
      <c r="AK119" s="835">
        <v>10232239</v>
      </c>
      <c r="AL119" s="835">
        <v>0</v>
      </c>
      <c r="AM119" s="835">
        <v>0</v>
      </c>
      <c r="AN119" s="835">
        <v>0</v>
      </c>
      <c r="AO119" s="835">
        <v>0</v>
      </c>
      <c r="AP119" s="835">
        <v>0</v>
      </c>
      <c r="AQ119" s="835">
        <v>0</v>
      </c>
      <c r="AR119" s="835">
        <v>30859896</v>
      </c>
      <c r="AS119" s="835">
        <v>0</v>
      </c>
      <c r="AT119" s="835">
        <v>0</v>
      </c>
      <c r="AU119" s="835">
        <v>0</v>
      </c>
      <c r="AV119" s="835">
        <v>4052824</v>
      </c>
      <c r="AW119" s="835">
        <v>0</v>
      </c>
      <c r="AX119" s="835">
        <v>0</v>
      </c>
      <c r="AY119" s="835">
        <v>0</v>
      </c>
      <c r="AZ119" s="835">
        <v>0</v>
      </c>
      <c r="BA119" s="835">
        <v>7408252</v>
      </c>
      <c r="BB119" s="835">
        <v>0</v>
      </c>
      <c r="BC119" s="835">
        <v>0</v>
      </c>
      <c r="BD119" s="835">
        <v>1413563</v>
      </c>
      <c r="BE119" s="835">
        <v>0</v>
      </c>
      <c r="BF119" s="835">
        <v>21472964</v>
      </c>
      <c r="BG119" s="835">
        <v>228901</v>
      </c>
      <c r="BH119" s="835">
        <v>0</v>
      </c>
      <c r="BI119" s="835">
        <v>0</v>
      </c>
      <c r="BJ119" s="835">
        <v>0</v>
      </c>
      <c r="BK119" s="835">
        <v>0</v>
      </c>
      <c r="BL119" s="835">
        <v>4142218</v>
      </c>
      <c r="BM119" s="835">
        <v>0</v>
      </c>
      <c r="BN119" s="835">
        <v>0</v>
      </c>
      <c r="BO119" s="835">
        <v>0</v>
      </c>
      <c r="BP119" s="835">
        <v>0</v>
      </c>
      <c r="BQ119" s="835">
        <v>0</v>
      </c>
      <c r="BR119" s="835">
        <v>0</v>
      </c>
      <c r="BS119" s="835">
        <v>0</v>
      </c>
      <c r="BT119" s="835">
        <v>0</v>
      </c>
      <c r="BU119" s="835">
        <v>0</v>
      </c>
      <c r="BV119" s="835">
        <v>0</v>
      </c>
      <c r="BW119" s="835">
        <v>0</v>
      </c>
      <c r="BX119" s="835">
        <v>0</v>
      </c>
      <c r="BY119" s="835">
        <v>0</v>
      </c>
      <c r="BZ119" s="835">
        <v>0</v>
      </c>
      <c r="CA119" s="835">
        <v>0</v>
      </c>
      <c r="CB119" s="835">
        <v>0</v>
      </c>
    </row>
    <row r="120" spans="1:80" x14ac:dyDescent="0.25">
      <c r="A120" s="787">
        <v>359</v>
      </c>
      <c r="B120" s="846">
        <v>359</v>
      </c>
      <c r="C120" s="832" t="s">
        <v>323</v>
      </c>
      <c r="D120" s="860" t="s">
        <v>504</v>
      </c>
      <c r="E120" s="829">
        <v>0</v>
      </c>
      <c r="F120" s="798">
        <v>0</v>
      </c>
      <c r="G120" s="798">
        <v>0</v>
      </c>
      <c r="H120" s="798">
        <v>0</v>
      </c>
      <c r="I120" s="798">
        <v>0</v>
      </c>
      <c r="J120" s="798">
        <v>0</v>
      </c>
      <c r="K120" s="800">
        <v>0</v>
      </c>
      <c r="L120" s="835">
        <v>0</v>
      </c>
      <c r="M120" s="835">
        <v>0</v>
      </c>
      <c r="N120" s="830">
        <v>0</v>
      </c>
      <c r="O120" s="830">
        <v>0</v>
      </c>
      <c r="P120" s="830">
        <v>0</v>
      </c>
      <c r="Q120" s="830">
        <v>0</v>
      </c>
      <c r="R120" s="830">
        <v>0</v>
      </c>
      <c r="S120" s="830">
        <v>0</v>
      </c>
      <c r="T120" s="830">
        <v>434748</v>
      </c>
      <c r="U120" s="830">
        <v>0</v>
      </c>
      <c r="V120" s="830">
        <v>2649606</v>
      </c>
      <c r="W120" s="830">
        <v>0</v>
      </c>
      <c r="X120" s="830">
        <v>0</v>
      </c>
      <c r="Y120" s="830">
        <v>0</v>
      </c>
      <c r="Z120" s="830">
        <v>0</v>
      </c>
      <c r="AA120" s="835">
        <v>255587</v>
      </c>
      <c r="AB120" s="835">
        <v>0</v>
      </c>
      <c r="AC120" s="835">
        <v>0</v>
      </c>
      <c r="AD120" s="835">
        <v>0</v>
      </c>
      <c r="AE120" s="835">
        <v>0</v>
      </c>
      <c r="AF120" s="835">
        <v>289003</v>
      </c>
      <c r="AG120" s="835">
        <v>0</v>
      </c>
      <c r="AH120" s="835">
        <v>0</v>
      </c>
      <c r="AI120" s="835">
        <v>0</v>
      </c>
      <c r="AJ120" s="835">
        <v>0</v>
      </c>
      <c r="AK120" s="835">
        <v>1876171</v>
      </c>
      <c r="AL120" s="835">
        <v>0</v>
      </c>
      <c r="AM120" s="835">
        <v>0</v>
      </c>
      <c r="AN120" s="835">
        <v>0</v>
      </c>
      <c r="AO120" s="835">
        <v>0</v>
      </c>
      <c r="AP120" s="835">
        <v>0</v>
      </c>
      <c r="AQ120" s="835">
        <v>0</v>
      </c>
      <c r="AR120" s="835">
        <v>5837336</v>
      </c>
      <c r="AS120" s="835">
        <v>0</v>
      </c>
      <c r="AT120" s="835">
        <v>0</v>
      </c>
      <c r="AU120" s="835">
        <v>0</v>
      </c>
      <c r="AV120" s="835">
        <v>0</v>
      </c>
      <c r="AW120" s="835">
        <v>0</v>
      </c>
      <c r="AX120" s="835">
        <v>0</v>
      </c>
      <c r="AY120" s="835">
        <v>0</v>
      </c>
      <c r="AZ120" s="835">
        <v>0</v>
      </c>
      <c r="BA120" s="835">
        <v>345564</v>
      </c>
      <c r="BB120" s="835">
        <v>0</v>
      </c>
      <c r="BC120" s="835">
        <v>0</v>
      </c>
      <c r="BD120" s="835">
        <v>0</v>
      </c>
      <c r="BE120" s="835">
        <v>0</v>
      </c>
      <c r="BF120" s="835">
        <v>383757</v>
      </c>
      <c r="BG120" s="835">
        <v>0</v>
      </c>
      <c r="BH120" s="835">
        <v>0</v>
      </c>
      <c r="BI120" s="835">
        <v>0</v>
      </c>
      <c r="BJ120" s="835">
        <v>0</v>
      </c>
      <c r="BK120" s="835">
        <v>0</v>
      </c>
      <c r="BL120" s="835">
        <v>0</v>
      </c>
      <c r="BM120" s="835">
        <v>0</v>
      </c>
      <c r="BN120" s="835">
        <v>0</v>
      </c>
      <c r="BO120" s="835">
        <v>0</v>
      </c>
      <c r="BP120" s="835">
        <v>0</v>
      </c>
      <c r="BQ120" s="835">
        <v>0</v>
      </c>
      <c r="BR120" s="835">
        <v>0</v>
      </c>
      <c r="BS120" s="835">
        <v>0</v>
      </c>
      <c r="BT120" s="835">
        <v>0</v>
      </c>
      <c r="BU120" s="835">
        <v>0</v>
      </c>
      <c r="BV120" s="835">
        <v>0</v>
      </c>
      <c r="BW120" s="835">
        <v>0</v>
      </c>
      <c r="BX120" s="835">
        <v>0</v>
      </c>
      <c r="BY120" s="835">
        <v>0</v>
      </c>
      <c r="BZ120" s="835">
        <v>0</v>
      </c>
      <c r="CA120" s="835">
        <v>0</v>
      </c>
      <c r="CB120" s="835">
        <v>0</v>
      </c>
    </row>
    <row r="121" spans="1:80" x14ac:dyDescent="0.25">
      <c r="A121" s="787">
        <v>360</v>
      </c>
      <c r="B121" s="846">
        <v>360</v>
      </c>
      <c r="C121" s="832" t="s">
        <v>132</v>
      </c>
      <c r="D121" s="860" t="s">
        <v>505</v>
      </c>
      <c r="E121" s="829">
        <v>0</v>
      </c>
      <c r="F121" s="798">
        <v>0</v>
      </c>
      <c r="G121" s="798">
        <v>0</v>
      </c>
      <c r="H121" s="798">
        <v>0</v>
      </c>
      <c r="I121" s="798">
        <v>0</v>
      </c>
      <c r="J121" s="798">
        <v>0</v>
      </c>
      <c r="K121" s="800">
        <v>0</v>
      </c>
      <c r="L121" s="835">
        <v>0</v>
      </c>
      <c r="M121" s="835">
        <v>0</v>
      </c>
      <c r="N121" s="830">
        <v>0</v>
      </c>
      <c r="O121" s="830">
        <v>0</v>
      </c>
      <c r="P121" s="830">
        <v>0</v>
      </c>
      <c r="Q121" s="830">
        <v>0</v>
      </c>
      <c r="R121" s="830">
        <v>0</v>
      </c>
      <c r="S121" s="830">
        <v>0</v>
      </c>
      <c r="T121" s="830">
        <v>2812875</v>
      </c>
      <c r="U121" s="830">
        <v>0</v>
      </c>
      <c r="V121" s="830">
        <v>7816379</v>
      </c>
      <c r="W121" s="830">
        <v>0</v>
      </c>
      <c r="X121" s="830">
        <v>0</v>
      </c>
      <c r="Y121" s="830">
        <v>0</v>
      </c>
      <c r="Z121" s="830">
        <v>0</v>
      </c>
      <c r="AA121" s="835">
        <v>808604</v>
      </c>
      <c r="AB121" s="835">
        <v>176599</v>
      </c>
      <c r="AC121" s="835">
        <v>0</v>
      </c>
      <c r="AD121" s="835">
        <v>0</v>
      </c>
      <c r="AE121" s="835">
        <v>0</v>
      </c>
      <c r="AF121" s="835">
        <v>1163722</v>
      </c>
      <c r="AG121" s="835">
        <v>0</v>
      </c>
      <c r="AH121" s="835">
        <v>0</v>
      </c>
      <c r="AI121" s="835">
        <v>0</v>
      </c>
      <c r="AJ121" s="835">
        <v>0</v>
      </c>
      <c r="AK121" s="835">
        <v>4216446</v>
      </c>
      <c r="AL121" s="835">
        <v>0</v>
      </c>
      <c r="AM121" s="835">
        <v>0</v>
      </c>
      <c r="AN121" s="835">
        <v>0</v>
      </c>
      <c r="AO121" s="835">
        <v>0</v>
      </c>
      <c r="AP121" s="835">
        <v>0</v>
      </c>
      <c r="AQ121" s="835">
        <v>0</v>
      </c>
      <c r="AR121" s="835">
        <v>12761635</v>
      </c>
      <c r="AS121" s="835">
        <v>0</v>
      </c>
      <c r="AT121" s="835">
        <v>0</v>
      </c>
      <c r="AU121" s="835">
        <v>0</v>
      </c>
      <c r="AV121" s="835">
        <v>1398487</v>
      </c>
      <c r="AW121" s="835">
        <v>0</v>
      </c>
      <c r="AX121" s="835">
        <v>0</v>
      </c>
      <c r="AY121" s="835">
        <v>0</v>
      </c>
      <c r="AZ121" s="835">
        <v>0</v>
      </c>
      <c r="BA121" s="835">
        <v>1507864</v>
      </c>
      <c r="BB121" s="835">
        <v>0</v>
      </c>
      <c r="BC121" s="835">
        <v>0</v>
      </c>
      <c r="BD121" s="835">
        <v>997070</v>
      </c>
      <c r="BE121" s="835">
        <v>0</v>
      </c>
      <c r="BF121" s="835">
        <v>9281465</v>
      </c>
      <c r="BG121" s="835">
        <v>75428</v>
      </c>
      <c r="BH121" s="835">
        <v>0</v>
      </c>
      <c r="BI121" s="835">
        <v>0</v>
      </c>
      <c r="BJ121" s="835">
        <v>0</v>
      </c>
      <c r="BK121" s="835">
        <v>0</v>
      </c>
      <c r="BL121" s="835">
        <v>233372</v>
      </c>
      <c r="BM121" s="835">
        <v>0</v>
      </c>
      <c r="BN121" s="835">
        <v>0</v>
      </c>
      <c r="BO121" s="835">
        <v>0</v>
      </c>
      <c r="BP121" s="835">
        <v>0</v>
      </c>
      <c r="BQ121" s="835">
        <v>0</v>
      </c>
      <c r="BR121" s="835">
        <v>0</v>
      </c>
      <c r="BS121" s="835">
        <v>0</v>
      </c>
      <c r="BT121" s="835">
        <v>0</v>
      </c>
      <c r="BU121" s="835">
        <v>0</v>
      </c>
      <c r="BV121" s="835">
        <v>0</v>
      </c>
      <c r="BW121" s="835">
        <v>0</v>
      </c>
      <c r="BX121" s="835">
        <v>0</v>
      </c>
      <c r="BY121" s="835">
        <v>0</v>
      </c>
      <c r="BZ121" s="835">
        <v>0</v>
      </c>
      <c r="CA121" s="835">
        <v>0</v>
      </c>
      <c r="CB121" s="835">
        <v>0</v>
      </c>
    </row>
    <row r="122" spans="1:80" x14ac:dyDescent="0.25">
      <c r="A122" s="787">
        <v>361</v>
      </c>
      <c r="B122" s="846">
        <v>361</v>
      </c>
      <c r="C122" s="832" t="s">
        <v>113</v>
      </c>
      <c r="D122" s="860" t="s">
        <v>506</v>
      </c>
      <c r="E122" s="829">
        <v>0</v>
      </c>
      <c r="F122" s="798">
        <v>0</v>
      </c>
      <c r="G122" s="798">
        <v>0</v>
      </c>
      <c r="H122" s="798">
        <v>0</v>
      </c>
      <c r="I122" s="798">
        <v>0</v>
      </c>
      <c r="J122" s="798">
        <v>0</v>
      </c>
      <c r="K122" s="800">
        <v>0</v>
      </c>
      <c r="L122" s="835">
        <v>0</v>
      </c>
      <c r="M122" s="835">
        <v>0</v>
      </c>
      <c r="N122" s="830">
        <v>0</v>
      </c>
      <c r="O122" s="830">
        <v>0</v>
      </c>
      <c r="P122" s="830">
        <v>0</v>
      </c>
      <c r="Q122" s="830">
        <v>0</v>
      </c>
      <c r="R122" s="830">
        <v>0</v>
      </c>
      <c r="S122" s="830">
        <v>0</v>
      </c>
      <c r="T122" s="830">
        <v>2744012</v>
      </c>
      <c r="U122" s="830">
        <v>0</v>
      </c>
      <c r="V122" s="830">
        <v>24506856</v>
      </c>
      <c r="W122" s="830">
        <v>0</v>
      </c>
      <c r="X122" s="830">
        <v>0</v>
      </c>
      <c r="Y122" s="830">
        <v>0</v>
      </c>
      <c r="Z122" s="830">
        <v>0</v>
      </c>
      <c r="AA122" s="835">
        <v>989377</v>
      </c>
      <c r="AB122" s="835">
        <v>117113</v>
      </c>
      <c r="AC122" s="835">
        <v>0</v>
      </c>
      <c r="AD122" s="835">
        <v>0</v>
      </c>
      <c r="AE122" s="835">
        <v>0</v>
      </c>
      <c r="AF122" s="835">
        <v>133477</v>
      </c>
      <c r="AG122" s="835">
        <v>0</v>
      </c>
      <c r="AH122" s="835">
        <v>0</v>
      </c>
      <c r="AI122" s="835">
        <v>0</v>
      </c>
      <c r="AJ122" s="835">
        <v>0</v>
      </c>
      <c r="AK122" s="835">
        <v>2034878</v>
      </c>
      <c r="AL122" s="835">
        <v>0</v>
      </c>
      <c r="AM122" s="835">
        <v>0</v>
      </c>
      <c r="AN122" s="835">
        <v>0</v>
      </c>
      <c r="AO122" s="835">
        <v>0</v>
      </c>
      <c r="AP122" s="835">
        <v>0</v>
      </c>
      <c r="AQ122" s="835">
        <v>0</v>
      </c>
      <c r="AR122" s="835">
        <v>12855862</v>
      </c>
      <c r="AS122" s="835">
        <v>0</v>
      </c>
      <c r="AT122" s="835">
        <v>0</v>
      </c>
      <c r="AU122" s="835">
        <v>0</v>
      </c>
      <c r="AV122" s="835">
        <v>3668130</v>
      </c>
      <c r="AW122" s="835">
        <v>0</v>
      </c>
      <c r="AX122" s="835">
        <v>0</v>
      </c>
      <c r="AY122" s="835">
        <v>0</v>
      </c>
      <c r="AZ122" s="835">
        <v>0</v>
      </c>
      <c r="BA122" s="835">
        <v>1958313</v>
      </c>
      <c r="BB122" s="835">
        <v>0</v>
      </c>
      <c r="BC122" s="835">
        <v>0</v>
      </c>
      <c r="BD122" s="835">
        <v>5233861</v>
      </c>
      <c r="BE122" s="835">
        <v>0</v>
      </c>
      <c r="BF122" s="835">
        <v>6036827</v>
      </c>
      <c r="BG122" s="835">
        <v>314991</v>
      </c>
      <c r="BH122" s="835">
        <v>0</v>
      </c>
      <c r="BI122" s="835">
        <v>0</v>
      </c>
      <c r="BJ122" s="835">
        <v>0</v>
      </c>
      <c r="BK122" s="835">
        <v>0</v>
      </c>
      <c r="BL122" s="835">
        <v>2136815</v>
      </c>
      <c r="BM122" s="835">
        <v>0</v>
      </c>
      <c r="BN122" s="835">
        <v>0</v>
      </c>
      <c r="BO122" s="835">
        <v>0</v>
      </c>
      <c r="BP122" s="835">
        <v>0</v>
      </c>
      <c r="BQ122" s="835">
        <v>0</v>
      </c>
      <c r="BR122" s="835">
        <v>0</v>
      </c>
      <c r="BS122" s="835">
        <v>0</v>
      </c>
      <c r="BT122" s="835">
        <v>0</v>
      </c>
      <c r="BU122" s="835">
        <v>0</v>
      </c>
      <c r="BV122" s="835">
        <v>0</v>
      </c>
      <c r="BW122" s="835">
        <v>0</v>
      </c>
      <c r="BX122" s="835">
        <v>0</v>
      </c>
      <c r="BY122" s="835">
        <v>0</v>
      </c>
      <c r="BZ122" s="835">
        <v>0</v>
      </c>
      <c r="CA122" s="835">
        <v>0</v>
      </c>
      <c r="CB122" s="835">
        <v>0</v>
      </c>
    </row>
    <row r="123" spans="1:80" x14ac:dyDescent="0.25">
      <c r="A123" s="787">
        <v>362</v>
      </c>
      <c r="B123" s="846">
        <v>362</v>
      </c>
      <c r="C123" s="832" t="s">
        <v>114</v>
      </c>
      <c r="D123" s="860" t="s">
        <v>507</v>
      </c>
      <c r="E123" s="829">
        <v>0</v>
      </c>
      <c r="F123" s="798">
        <v>0</v>
      </c>
      <c r="G123" s="798">
        <v>0</v>
      </c>
      <c r="H123" s="798">
        <v>0</v>
      </c>
      <c r="I123" s="798">
        <v>0</v>
      </c>
      <c r="J123" s="798">
        <v>0</v>
      </c>
      <c r="K123" s="800">
        <v>0</v>
      </c>
      <c r="L123" s="835">
        <v>0</v>
      </c>
      <c r="M123" s="835">
        <v>0</v>
      </c>
      <c r="N123" s="830">
        <v>0</v>
      </c>
      <c r="O123" s="830">
        <v>0</v>
      </c>
      <c r="P123" s="830">
        <v>0</v>
      </c>
      <c r="Q123" s="830">
        <v>0</v>
      </c>
      <c r="R123" s="830">
        <v>0</v>
      </c>
      <c r="S123" s="830">
        <v>0</v>
      </c>
      <c r="T123" s="830">
        <v>8374197</v>
      </c>
      <c r="U123" s="830">
        <v>0</v>
      </c>
      <c r="V123" s="830">
        <v>45324410</v>
      </c>
      <c r="W123" s="830">
        <v>0</v>
      </c>
      <c r="X123" s="830">
        <v>0</v>
      </c>
      <c r="Y123" s="830">
        <v>0</v>
      </c>
      <c r="Z123" s="830">
        <v>0</v>
      </c>
      <c r="AA123" s="835">
        <v>1750629</v>
      </c>
      <c r="AB123" s="835">
        <v>814590</v>
      </c>
      <c r="AC123" s="835">
        <v>0</v>
      </c>
      <c r="AD123" s="835">
        <v>0</v>
      </c>
      <c r="AE123" s="835">
        <v>0</v>
      </c>
      <c r="AF123" s="835">
        <v>2403978</v>
      </c>
      <c r="AG123" s="835">
        <v>0</v>
      </c>
      <c r="AH123" s="835">
        <v>0</v>
      </c>
      <c r="AI123" s="835">
        <v>0</v>
      </c>
      <c r="AJ123" s="835">
        <v>0</v>
      </c>
      <c r="AK123" s="835">
        <v>7574815</v>
      </c>
      <c r="AL123" s="835">
        <v>0</v>
      </c>
      <c r="AM123" s="835">
        <v>0</v>
      </c>
      <c r="AN123" s="835">
        <v>0</v>
      </c>
      <c r="AO123" s="835">
        <v>0</v>
      </c>
      <c r="AP123" s="835">
        <v>0</v>
      </c>
      <c r="AQ123" s="835">
        <v>0</v>
      </c>
      <c r="AR123" s="835">
        <v>42501248</v>
      </c>
      <c r="AS123" s="835">
        <v>0</v>
      </c>
      <c r="AT123" s="835">
        <v>0</v>
      </c>
      <c r="AU123" s="835">
        <v>0</v>
      </c>
      <c r="AV123" s="835">
        <v>5065659</v>
      </c>
      <c r="AW123" s="835">
        <v>0</v>
      </c>
      <c r="AX123" s="835">
        <v>0</v>
      </c>
      <c r="AY123" s="835">
        <v>0</v>
      </c>
      <c r="AZ123" s="835">
        <v>0</v>
      </c>
      <c r="BA123" s="835">
        <v>5364455</v>
      </c>
      <c r="BB123" s="835">
        <v>0</v>
      </c>
      <c r="BC123" s="835">
        <v>0</v>
      </c>
      <c r="BD123" s="835">
        <v>5546373</v>
      </c>
      <c r="BE123" s="835">
        <v>0</v>
      </c>
      <c r="BF123" s="835">
        <v>16833676</v>
      </c>
      <c r="BG123" s="835">
        <v>355050</v>
      </c>
      <c r="BH123" s="835">
        <v>0</v>
      </c>
      <c r="BI123" s="835">
        <v>0</v>
      </c>
      <c r="BJ123" s="835">
        <v>0</v>
      </c>
      <c r="BK123" s="835">
        <v>0</v>
      </c>
      <c r="BL123" s="835">
        <v>4425105</v>
      </c>
      <c r="BM123" s="835">
        <v>0</v>
      </c>
      <c r="BN123" s="835">
        <v>0</v>
      </c>
      <c r="BO123" s="835">
        <v>0</v>
      </c>
      <c r="BP123" s="835">
        <v>0</v>
      </c>
      <c r="BQ123" s="835">
        <v>0</v>
      </c>
      <c r="BR123" s="835">
        <v>0</v>
      </c>
      <c r="BS123" s="835">
        <v>0</v>
      </c>
      <c r="BT123" s="835">
        <v>0</v>
      </c>
      <c r="BU123" s="835">
        <v>0</v>
      </c>
      <c r="BV123" s="835">
        <v>0</v>
      </c>
      <c r="BW123" s="835">
        <v>0</v>
      </c>
      <c r="BX123" s="835">
        <v>0</v>
      </c>
      <c r="BY123" s="835">
        <v>0</v>
      </c>
      <c r="BZ123" s="835">
        <v>0</v>
      </c>
      <c r="CA123" s="835">
        <v>0</v>
      </c>
      <c r="CB123" s="835">
        <v>0</v>
      </c>
    </row>
    <row r="124" spans="1:80" x14ac:dyDescent="0.25">
      <c r="A124" s="787">
        <v>363</v>
      </c>
      <c r="B124" s="846">
        <v>363</v>
      </c>
      <c r="C124" s="832" t="s">
        <v>309</v>
      </c>
      <c r="D124" s="860" t="s">
        <v>508</v>
      </c>
      <c r="E124" s="829">
        <v>0</v>
      </c>
      <c r="F124" s="798">
        <v>0</v>
      </c>
      <c r="G124" s="798">
        <v>0</v>
      </c>
      <c r="H124" s="798">
        <v>0</v>
      </c>
      <c r="I124" s="798">
        <v>0</v>
      </c>
      <c r="J124" s="798">
        <v>0</v>
      </c>
      <c r="K124" s="800">
        <v>0</v>
      </c>
      <c r="L124" s="835">
        <v>0</v>
      </c>
      <c r="M124" s="835">
        <v>0</v>
      </c>
      <c r="N124" s="830">
        <v>0</v>
      </c>
      <c r="O124" s="830">
        <v>0</v>
      </c>
      <c r="P124" s="830">
        <v>0</v>
      </c>
      <c r="Q124" s="830">
        <v>0</v>
      </c>
      <c r="R124" s="830">
        <v>0</v>
      </c>
      <c r="S124" s="830">
        <v>0</v>
      </c>
      <c r="T124" s="830">
        <v>32404</v>
      </c>
      <c r="U124" s="830">
        <v>0</v>
      </c>
      <c r="V124" s="830">
        <v>65711</v>
      </c>
      <c r="W124" s="830">
        <v>0</v>
      </c>
      <c r="X124" s="830">
        <v>0</v>
      </c>
      <c r="Y124" s="830">
        <v>0</v>
      </c>
      <c r="Z124" s="830">
        <v>0</v>
      </c>
      <c r="AA124" s="835">
        <v>57550</v>
      </c>
      <c r="AB124" s="835">
        <v>842</v>
      </c>
      <c r="AC124" s="835">
        <v>0</v>
      </c>
      <c r="AD124" s="835">
        <v>0</v>
      </c>
      <c r="AE124" s="835">
        <v>0</v>
      </c>
      <c r="AF124" s="835">
        <v>2428</v>
      </c>
      <c r="AG124" s="835">
        <v>0</v>
      </c>
      <c r="AH124" s="835">
        <v>0</v>
      </c>
      <c r="AI124" s="835">
        <v>0</v>
      </c>
      <c r="AJ124" s="835">
        <v>0</v>
      </c>
      <c r="AK124" s="835">
        <v>141657</v>
      </c>
      <c r="AL124" s="835">
        <v>0</v>
      </c>
      <c r="AM124" s="835">
        <v>0</v>
      </c>
      <c r="AN124" s="835">
        <v>0</v>
      </c>
      <c r="AO124" s="835">
        <v>0</v>
      </c>
      <c r="AP124" s="835">
        <v>0</v>
      </c>
      <c r="AQ124" s="835">
        <v>0</v>
      </c>
      <c r="AR124" s="835">
        <v>128915</v>
      </c>
      <c r="AS124" s="835">
        <v>0</v>
      </c>
      <c r="AT124" s="835">
        <v>0</v>
      </c>
      <c r="AU124" s="835">
        <v>0</v>
      </c>
      <c r="AV124" s="835">
        <v>38631</v>
      </c>
      <c r="AW124" s="835">
        <v>0</v>
      </c>
      <c r="AX124" s="835">
        <v>0</v>
      </c>
      <c r="AY124" s="835">
        <v>0</v>
      </c>
      <c r="AZ124" s="835">
        <v>0</v>
      </c>
      <c r="BA124" s="835">
        <v>29500</v>
      </c>
      <c r="BB124" s="835">
        <v>0</v>
      </c>
      <c r="BC124" s="835">
        <v>0</v>
      </c>
      <c r="BD124" s="835">
        <v>18765</v>
      </c>
      <c r="BE124" s="835">
        <v>0</v>
      </c>
      <c r="BF124" s="835">
        <v>60004</v>
      </c>
      <c r="BG124" s="835">
        <v>25</v>
      </c>
      <c r="BH124" s="835">
        <v>0</v>
      </c>
      <c r="BI124" s="835">
        <v>0</v>
      </c>
      <c r="BJ124" s="835">
        <v>0</v>
      </c>
      <c r="BK124" s="835">
        <v>0</v>
      </c>
      <c r="BL124" s="835">
        <v>5144</v>
      </c>
      <c r="BM124" s="835">
        <v>0</v>
      </c>
      <c r="BN124" s="835">
        <v>0</v>
      </c>
      <c r="BO124" s="835">
        <v>0</v>
      </c>
      <c r="BP124" s="835">
        <v>0</v>
      </c>
      <c r="BQ124" s="835">
        <v>0</v>
      </c>
      <c r="BR124" s="835">
        <v>0</v>
      </c>
      <c r="BS124" s="835">
        <v>0</v>
      </c>
      <c r="BT124" s="835">
        <v>0</v>
      </c>
      <c r="BU124" s="835">
        <v>0</v>
      </c>
      <c r="BV124" s="835">
        <v>0</v>
      </c>
      <c r="BW124" s="835">
        <v>0</v>
      </c>
      <c r="BX124" s="835">
        <v>0</v>
      </c>
      <c r="BY124" s="835">
        <v>0</v>
      </c>
      <c r="BZ124" s="835">
        <v>0</v>
      </c>
      <c r="CA124" s="835">
        <v>0</v>
      </c>
      <c r="CB124" s="835">
        <v>0</v>
      </c>
    </row>
    <row r="125" spans="1:80" x14ac:dyDescent="0.25">
      <c r="A125" s="787">
        <v>364</v>
      </c>
      <c r="B125" s="846">
        <v>364</v>
      </c>
      <c r="C125" s="832" t="s">
        <v>310</v>
      </c>
      <c r="D125" s="860" t="s">
        <v>509</v>
      </c>
      <c r="E125" s="829">
        <v>0</v>
      </c>
      <c r="F125" s="798">
        <v>0</v>
      </c>
      <c r="G125" s="798">
        <v>0</v>
      </c>
      <c r="H125" s="798">
        <v>0</v>
      </c>
      <c r="I125" s="798">
        <v>0</v>
      </c>
      <c r="J125" s="798">
        <v>0</v>
      </c>
      <c r="K125" s="800">
        <v>0</v>
      </c>
      <c r="L125" s="835">
        <v>0</v>
      </c>
      <c r="M125" s="835">
        <v>0</v>
      </c>
      <c r="N125" s="830">
        <v>0</v>
      </c>
      <c r="O125" s="830">
        <v>0</v>
      </c>
      <c r="P125" s="830">
        <v>0</v>
      </c>
      <c r="Q125" s="830">
        <v>0</v>
      </c>
      <c r="R125" s="830">
        <v>0</v>
      </c>
      <c r="S125" s="830">
        <v>0</v>
      </c>
      <c r="T125" s="830">
        <v>10380</v>
      </c>
      <c r="U125" s="830">
        <v>0</v>
      </c>
      <c r="V125" s="830">
        <v>52667</v>
      </c>
      <c r="W125" s="830">
        <v>0</v>
      </c>
      <c r="X125" s="830">
        <v>0</v>
      </c>
      <c r="Y125" s="830">
        <v>0</v>
      </c>
      <c r="Z125" s="830">
        <v>0</v>
      </c>
      <c r="AA125" s="835">
        <v>4352</v>
      </c>
      <c r="AB125" s="835">
        <v>0</v>
      </c>
      <c r="AC125" s="835">
        <v>0</v>
      </c>
      <c r="AD125" s="835">
        <v>0</v>
      </c>
      <c r="AE125" s="835">
        <v>0</v>
      </c>
      <c r="AF125" s="835">
        <v>10896</v>
      </c>
      <c r="AG125" s="835">
        <v>0</v>
      </c>
      <c r="AH125" s="835">
        <v>0</v>
      </c>
      <c r="AI125" s="835">
        <v>0</v>
      </c>
      <c r="AJ125" s="835">
        <v>0</v>
      </c>
      <c r="AK125" s="835">
        <v>223294</v>
      </c>
      <c r="AL125" s="835">
        <v>0</v>
      </c>
      <c r="AM125" s="835">
        <v>0</v>
      </c>
      <c r="AN125" s="835">
        <v>0</v>
      </c>
      <c r="AO125" s="835">
        <v>0</v>
      </c>
      <c r="AP125" s="835">
        <v>0</v>
      </c>
      <c r="AQ125" s="835">
        <v>0</v>
      </c>
      <c r="AR125" s="835">
        <v>193704</v>
      </c>
      <c r="AS125" s="835">
        <v>0</v>
      </c>
      <c r="AT125" s="835">
        <v>0</v>
      </c>
      <c r="AU125" s="835">
        <v>0</v>
      </c>
      <c r="AV125" s="835">
        <v>18886</v>
      </c>
      <c r="AW125" s="835">
        <v>0</v>
      </c>
      <c r="AX125" s="835">
        <v>0</v>
      </c>
      <c r="AY125" s="835">
        <v>0</v>
      </c>
      <c r="AZ125" s="835">
        <v>0</v>
      </c>
      <c r="BA125" s="835">
        <v>21744</v>
      </c>
      <c r="BB125" s="835">
        <v>0</v>
      </c>
      <c r="BC125" s="835">
        <v>0</v>
      </c>
      <c r="BD125" s="835">
        <v>0</v>
      </c>
      <c r="BE125" s="835">
        <v>0</v>
      </c>
      <c r="BF125" s="835">
        <v>13937</v>
      </c>
      <c r="BG125" s="835">
        <v>0</v>
      </c>
      <c r="BH125" s="835">
        <v>0</v>
      </c>
      <c r="BI125" s="835">
        <v>0</v>
      </c>
      <c r="BJ125" s="835">
        <v>0</v>
      </c>
      <c r="BK125" s="835">
        <v>0</v>
      </c>
      <c r="BL125" s="835">
        <v>0</v>
      </c>
      <c r="BM125" s="835">
        <v>0</v>
      </c>
      <c r="BN125" s="835">
        <v>0</v>
      </c>
      <c r="BO125" s="835">
        <v>0</v>
      </c>
      <c r="BP125" s="835">
        <v>0</v>
      </c>
      <c r="BQ125" s="835">
        <v>0</v>
      </c>
      <c r="BR125" s="835">
        <v>0</v>
      </c>
      <c r="BS125" s="835">
        <v>0</v>
      </c>
      <c r="BT125" s="835">
        <v>0</v>
      </c>
      <c r="BU125" s="835">
        <v>0</v>
      </c>
      <c r="BV125" s="835">
        <v>0</v>
      </c>
      <c r="BW125" s="835">
        <v>0</v>
      </c>
      <c r="BX125" s="835">
        <v>0</v>
      </c>
      <c r="BY125" s="835">
        <v>0</v>
      </c>
      <c r="BZ125" s="835">
        <v>0</v>
      </c>
      <c r="CA125" s="835">
        <v>0</v>
      </c>
      <c r="CB125" s="835">
        <v>0</v>
      </c>
    </row>
    <row r="126" spans="1:80" x14ac:dyDescent="0.25">
      <c r="A126" s="787">
        <v>365</v>
      </c>
      <c r="B126" s="846">
        <v>365</v>
      </c>
      <c r="C126" s="832" t="s">
        <v>312</v>
      </c>
      <c r="D126" s="860" t="s">
        <v>510</v>
      </c>
      <c r="E126" s="829">
        <v>0</v>
      </c>
      <c r="F126" s="798">
        <v>0</v>
      </c>
      <c r="G126" s="798">
        <v>0</v>
      </c>
      <c r="H126" s="798">
        <v>0</v>
      </c>
      <c r="I126" s="798">
        <v>0</v>
      </c>
      <c r="J126" s="798">
        <v>0</v>
      </c>
      <c r="K126" s="800">
        <v>0</v>
      </c>
      <c r="L126" s="835">
        <v>0</v>
      </c>
      <c r="M126" s="835">
        <v>0</v>
      </c>
      <c r="N126" s="830">
        <v>0</v>
      </c>
      <c r="O126" s="830">
        <v>0</v>
      </c>
      <c r="P126" s="830">
        <v>0</v>
      </c>
      <c r="Q126" s="830">
        <v>0</v>
      </c>
      <c r="R126" s="830">
        <v>0</v>
      </c>
      <c r="S126" s="830">
        <v>0</v>
      </c>
      <c r="T126" s="830">
        <v>150000</v>
      </c>
      <c r="U126" s="830">
        <v>0</v>
      </c>
      <c r="V126" s="830">
        <v>0</v>
      </c>
      <c r="W126" s="830">
        <v>0</v>
      </c>
      <c r="X126" s="830">
        <v>0</v>
      </c>
      <c r="Y126" s="830">
        <v>0</v>
      </c>
      <c r="Z126" s="830">
        <v>0</v>
      </c>
      <c r="AA126" s="835">
        <v>0</v>
      </c>
      <c r="AB126" s="835">
        <v>0</v>
      </c>
      <c r="AC126" s="835">
        <v>0</v>
      </c>
      <c r="AD126" s="835">
        <v>0</v>
      </c>
      <c r="AE126" s="835">
        <v>0</v>
      </c>
      <c r="AF126" s="835">
        <v>0</v>
      </c>
      <c r="AG126" s="835">
        <v>0</v>
      </c>
      <c r="AH126" s="835">
        <v>0</v>
      </c>
      <c r="AI126" s="835">
        <v>0</v>
      </c>
      <c r="AJ126" s="835">
        <v>0</v>
      </c>
      <c r="AK126" s="835">
        <v>0</v>
      </c>
      <c r="AL126" s="835">
        <v>0</v>
      </c>
      <c r="AM126" s="835">
        <v>0</v>
      </c>
      <c r="AN126" s="835">
        <v>0</v>
      </c>
      <c r="AO126" s="835">
        <v>0</v>
      </c>
      <c r="AP126" s="835">
        <v>0</v>
      </c>
      <c r="AQ126" s="835">
        <v>0</v>
      </c>
      <c r="AR126" s="835">
        <v>0</v>
      </c>
      <c r="AS126" s="835">
        <v>0</v>
      </c>
      <c r="AT126" s="835">
        <v>0</v>
      </c>
      <c r="AU126" s="835">
        <v>0</v>
      </c>
      <c r="AV126" s="835">
        <v>0</v>
      </c>
      <c r="AW126" s="835">
        <v>0</v>
      </c>
      <c r="AX126" s="835">
        <v>0</v>
      </c>
      <c r="AY126" s="835">
        <v>0</v>
      </c>
      <c r="AZ126" s="835">
        <v>0</v>
      </c>
      <c r="BA126" s="835">
        <v>0</v>
      </c>
      <c r="BB126" s="835">
        <v>0</v>
      </c>
      <c r="BC126" s="835">
        <v>0</v>
      </c>
      <c r="BD126" s="835">
        <v>0</v>
      </c>
      <c r="BE126" s="835">
        <v>0</v>
      </c>
      <c r="BF126" s="835">
        <v>0</v>
      </c>
      <c r="BG126" s="835">
        <v>0</v>
      </c>
      <c r="BH126" s="835">
        <v>0</v>
      </c>
      <c r="BI126" s="835">
        <v>0</v>
      </c>
      <c r="BJ126" s="835">
        <v>0</v>
      </c>
      <c r="BK126" s="835">
        <v>0</v>
      </c>
      <c r="BL126" s="835">
        <v>0</v>
      </c>
      <c r="BM126" s="835">
        <v>0</v>
      </c>
      <c r="BN126" s="835">
        <v>0</v>
      </c>
      <c r="BO126" s="835">
        <v>0</v>
      </c>
      <c r="BP126" s="835">
        <v>0</v>
      </c>
      <c r="BQ126" s="835">
        <v>0</v>
      </c>
      <c r="BR126" s="835">
        <v>0</v>
      </c>
      <c r="BS126" s="835">
        <v>0</v>
      </c>
      <c r="BT126" s="835">
        <v>0</v>
      </c>
      <c r="BU126" s="835">
        <v>0</v>
      </c>
      <c r="BV126" s="835">
        <v>0</v>
      </c>
      <c r="BW126" s="835">
        <v>0</v>
      </c>
      <c r="BX126" s="835">
        <v>0</v>
      </c>
      <c r="BY126" s="835">
        <v>0</v>
      </c>
      <c r="BZ126" s="835">
        <v>0</v>
      </c>
      <c r="CA126" s="835">
        <v>0</v>
      </c>
      <c r="CB126" s="835">
        <v>0</v>
      </c>
    </row>
    <row r="127" spans="1:80" x14ac:dyDescent="0.25">
      <c r="A127" s="787">
        <v>366</v>
      </c>
      <c r="B127" s="846">
        <v>366</v>
      </c>
      <c r="C127" s="832" t="s">
        <v>625</v>
      </c>
      <c r="D127" s="860" t="s">
        <v>511</v>
      </c>
      <c r="E127" s="829">
        <v>0</v>
      </c>
      <c r="F127" s="798">
        <v>0</v>
      </c>
      <c r="G127" s="798">
        <v>0</v>
      </c>
      <c r="H127" s="798">
        <v>0</v>
      </c>
      <c r="I127" s="798">
        <v>0</v>
      </c>
      <c r="J127" s="798">
        <v>0</v>
      </c>
      <c r="K127" s="800">
        <v>0</v>
      </c>
      <c r="L127" s="835">
        <v>0</v>
      </c>
      <c r="M127" s="835">
        <v>0</v>
      </c>
      <c r="N127" s="830">
        <v>0</v>
      </c>
      <c r="O127" s="830">
        <v>0</v>
      </c>
      <c r="P127" s="830">
        <v>0</v>
      </c>
      <c r="Q127" s="830">
        <v>0</v>
      </c>
      <c r="R127" s="830">
        <v>0</v>
      </c>
      <c r="S127" s="830">
        <v>0</v>
      </c>
      <c r="T127" s="830">
        <v>2308057</v>
      </c>
      <c r="U127" s="830">
        <v>0</v>
      </c>
      <c r="V127" s="830">
        <v>2428800</v>
      </c>
      <c r="W127" s="830">
        <v>0</v>
      </c>
      <c r="X127" s="830">
        <v>0</v>
      </c>
      <c r="Y127" s="830">
        <v>0</v>
      </c>
      <c r="Z127" s="830">
        <v>0</v>
      </c>
      <c r="AA127" s="835">
        <v>70000</v>
      </c>
      <c r="AB127" s="835">
        <v>0</v>
      </c>
      <c r="AC127" s="835">
        <v>0</v>
      </c>
      <c r="AD127" s="835">
        <v>0</v>
      </c>
      <c r="AE127" s="835">
        <v>0</v>
      </c>
      <c r="AF127" s="835">
        <v>0</v>
      </c>
      <c r="AG127" s="835">
        <v>0</v>
      </c>
      <c r="AH127" s="835">
        <v>0</v>
      </c>
      <c r="AI127" s="835">
        <v>0</v>
      </c>
      <c r="AJ127" s="835">
        <v>0</v>
      </c>
      <c r="AK127" s="835">
        <v>1592929</v>
      </c>
      <c r="AL127" s="835">
        <v>0</v>
      </c>
      <c r="AM127" s="835">
        <v>0</v>
      </c>
      <c r="AN127" s="835">
        <v>0</v>
      </c>
      <c r="AO127" s="835">
        <v>0</v>
      </c>
      <c r="AP127" s="835">
        <v>0</v>
      </c>
      <c r="AQ127" s="835">
        <v>0</v>
      </c>
      <c r="AR127" s="835">
        <v>1433688</v>
      </c>
      <c r="AS127" s="835">
        <v>0</v>
      </c>
      <c r="AT127" s="835">
        <v>0</v>
      </c>
      <c r="AU127" s="835">
        <v>0</v>
      </c>
      <c r="AV127" s="835">
        <v>25975</v>
      </c>
      <c r="AW127" s="835">
        <v>0</v>
      </c>
      <c r="AX127" s="835">
        <v>0</v>
      </c>
      <c r="AY127" s="835">
        <v>0</v>
      </c>
      <c r="AZ127" s="835">
        <v>0</v>
      </c>
      <c r="BA127" s="835">
        <v>368724</v>
      </c>
      <c r="BB127" s="835">
        <v>0</v>
      </c>
      <c r="BC127" s="835">
        <v>0</v>
      </c>
      <c r="BD127" s="835">
        <v>20000</v>
      </c>
      <c r="BE127" s="835">
        <v>0</v>
      </c>
      <c r="BF127" s="835">
        <v>1766830</v>
      </c>
      <c r="BG127" s="835">
        <v>0</v>
      </c>
      <c r="BH127" s="835">
        <v>0</v>
      </c>
      <c r="BI127" s="835">
        <v>0</v>
      </c>
      <c r="BJ127" s="835">
        <v>0</v>
      </c>
      <c r="BK127" s="835">
        <v>0</v>
      </c>
      <c r="BL127" s="835">
        <v>130000</v>
      </c>
      <c r="BM127" s="835">
        <v>0</v>
      </c>
      <c r="BN127" s="835">
        <v>0</v>
      </c>
      <c r="BO127" s="835">
        <v>0</v>
      </c>
      <c r="BP127" s="835">
        <v>0</v>
      </c>
      <c r="BQ127" s="835">
        <v>0</v>
      </c>
      <c r="BR127" s="835">
        <v>0</v>
      </c>
      <c r="BS127" s="835">
        <v>0</v>
      </c>
      <c r="BT127" s="835">
        <v>0</v>
      </c>
      <c r="BU127" s="835">
        <v>0</v>
      </c>
      <c r="BV127" s="835">
        <v>0</v>
      </c>
      <c r="BW127" s="835">
        <v>0</v>
      </c>
      <c r="BX127" s="835">
        <v>0</v>
      </c>
      <c r="BY127" s="835">
        <v>0</v>
      </c>
      <c r="BZ127" s="835">
        <v>0</v>
      </c>
      <c r="CA127" s="835">
        <v>0</v>
      </c>
      <c r="CB127" s="835">
        <v>0</v>
      </c>
    </row>
    <row r="128" spans="1:80" x14ac:dyDescent="0.25">
      <c r="A128" s="860"/>
      <c r="B128" s="846">
        <v>367</v>
      </c>
      <c r="C128" s="832" t="s">
        <v>741</v>
      </c>
      <c r="D128" s="860" t="s">
        <v>512</v>
      </c>
      <c r="E128" s="829"/>
      <c r="F128" s="798"/>
      <c r="G128" s="798"/>
      <c r="H128" s="798"/>
      <c r="I128" s="798"/>
      <c r="J128" s="798"/>
      <c r="K128" s="800"/>
      <c r="L128" s="835"/>
      <c r="M128" s="835"/>
      <c r="N128" s="830"/>
      <c r="O128" s="830"/>
      <c r="P128" s="830"/>
      <c r="Q128" s="830"/>
      <c r="R128" s="830"/>
      <c r="S128" s="830"/>
      <c r="T128" s="830"/>
      <c r="U128" s="830"/>
      <c r="V128" s="830"/>
      <c r="W128" s="830"/>
      <c r="X128" s="830"/>
      <c r="Y128" s="830"/>
      <c r="Z128" s="830"/>
      <c r="AA128" s="835"/>
      <c r="AB128" s="835"/>
      <c r="AC128" s="835"/>
      <c r="AD128" s="835"/>
      <c r="AE128" s="835"/>
      <c r="AF128" s="835"/>
      <c r="AG128" s="835"/>
      <c r="AH128" s="835"/>
      <c r="AI128" s="835"/>
      <c r="AJ128" s="835"/>
      <c r="AK128" s="835"/>
      <c r="AL128" s="835"/>
      <c r="AM128" s="835"/>
      <c r="AN128" s="835"/>
      <c r="AO128" s="835"/>
      <c r="AP128" s="835"/>
      <c r="AQ128" s="835"/>
      <c r="AR128" s="835"/>
      <c r="AS128" s="835"/>
      <c r="AT128" s="835"/>
      <c r="AU128" s="835"/>
      <c r="AV128" s="835"/>
      <c r="AW128" s="835"/>
      <c r="AX128" s="835"/>
      <c r="AY128" s="835"/>
      <c r="AZ128" s="835"/>
      <c r="BA128" s="835"/>
      <c r="BB128" s="835"/>
      <c r="BC128" s="835"/>
      <c r="BD128" s="835"/>
      <c r="BE128" s="835"/>
      <c r="BF128" s="835"/>
      <c r="BG128" s="835"/>
      <c r="BH128" s="835"/>
      <c r="BI128" s="835"/>
      <c r="BJ128" s="835"/>
      <c r="BK128" s="835"/>
      <c r="BL128" s="835"/>
      <c r="BM128" s="835"/>
      <c r="BN128" s="835"/>
      <c r="BO128" s="835"/>
      <c r="BP128" s="835"/>
      <c r="BQ128" s="835"/>
      <c r="BR128" s="835"/>
      <c r="BS128" s="835"/>
      <c r="BT128" s="835"/>
      <c r="BU128" s="835"/>
      <c r="BV128" s="835"/>
      <c r="BW128" s="835"/>
      <c r="BX128" s="835"/>
      <c r="BY128" s="835"/>
      <c r="BZ128" s="835"/>
      <c r="CA128" s="835"/>
      <c r="CB128" s="835"/>
    </row>
    <row r="129" spans="1:80" x14ac:dyDescent="0.25">
      <c r="A129" s="787">
        <v>368</v>
      </c>
      <c r="B129" s="846">
        <v>368</v>
      </c>
      <c r="C129" s="832" t="s">
        <v>267</v>
      </c>
      <c r="D129" s="860" t="s">
        <v>513</v>
      </c>
      <c r="E129" s="829">
        <v>0</v>
      </c>
      <c r="F129" s="798">
        <v>340</v>
      </c>
      <c r="G129" s="798">
        <v>0</v>
      </c>
      <c r="H129" s="798">
        <v>0</v>
      </c>
      <c r="I129" s="798">
        <v>750</v>
      </c>
      <c r="J129" s="798">
        <v>0</v>
      </c>
      <c r="K129" s="800">
        <v>0</v>
      </c>
      <c r="L129" s="835">
        <v>0</v>
      </c>
      <c r="M129" s="835">
        <v>0</v>
      </c>
      <c r="N129" s="830">
        <v>0</v>
      </c>
      <c r="O129" s="830">
        <v>0</v>
      </c>
      <c r="P129" s="830">
        <v>0</v>
      </c>
      <c r="Q129" s="830">
        <v>579554</v>
      </c>
      <c r="R129" s="830">
        <v>0</v>
      </c>
      <c r="S129" s="830">
        <v>0</v>
      </c>
      <c r="T129" s="830">
        <v>0</v>
      </c>
      <c r="U129" s="830">
        <v>445</v>
      </c>
      <c r="V129" s="830">
        <v>0</v>
      </c>
      <c r="W129" s="830">
        <v>0</v>
      </c>
      <c r="X129" s="830">
        <v>0</v>
      </c>
      <c r="Y129" s="830">
        <v>0</v>
      </c>
      <c r="Z129" s="830">
        <v>0</v>
      </c>
      <c r="AA129" s="835">
        <v>0</v>
      </c>
      <c r="AB129" s="835">
        <v>0</v>
      </c>
      <c r="AC129" s="835">
        <v>0</v>
      </c>
      <c r="AD129" s="835">
        <v>0</v>
      </c>
      <c r="AE129" s="835">
        <v>0</v>
      </c>
      <c r="AF129" s="835">
        <v>0</v>
      </c>
      <c r="AG129" s="835">
        <v>0</v>
      </c>
      <c r="AH129" s="835">
        <v>0</v>
      </c>
      <c r="AI129" s="835">
        <v>0</v>
      </c>
      <c r="AJ129" s="835">
        <v>0</v>
      </c>
      <c r="AK129" s="835">
        <v>0</v>
      </c>
      <c r="AL129" s="835">
        <v>0</v>
      </c>
      <c r="AM129" s="835">
        <v>0</v>
      </c>
      <c r="AN129" s="835">
        <v>0</v>
      </c>
      <c r="AO129" s="835">
        <v>0</v>
      </c>
      <c r="AP129" s="835">
        <v>0</v>
      </c>
      <c r="AQ129" s="835">
        <v>0</v>
      </c>
      <c r="AR129" s="835">
        <v>106015</v>
      </c>
      <c r="AS129" s="835">
        <v>0</v>
      </c>
      <c r="AT129" s="835">
        <v>0</v>
      </c>
      <c r="AU129" s="835">
        <v>0</v>
      </c>
      <c r="AV129" s="835">
        <v>0</v>
      </c>
      <c r="AW129" s="835">
        <v>0</v>
      </c>
      <c r="AX129" s="835">
        <v>0</v>
      </c>
      <c r="AY129" s="835">
        <v>0</v>
      </c>
      <c r="AZ129" s="835">
        <v>0</v>
      </c>
      <c r="BA129" s="835">
        <v>0</v>
      </c>
      <c r="BB129" s="835">
        <v>0</v>
      </c>
      <c r="BC129" s="835">
        <v>0</v>
      </c>
      <c r="BD129" s="835">
        <v>0</v>
      </c>
      <c r="BE129" s="835">
        <v>0</v>
      </c>
      <c r="BF129" s="835">
        <v>0</v>
      </c>
      <c r="BG129" s="835">
        <v>0</v>
      </c>
      <c r="BH129" s="835">
        <v>0</v>
      </c>
      <c r="BI129" s="835">
        <v>0</v>
      </c>
      <c r="BJ129" s="835">
        <v>15500</v>
      </c>
      <c r="BK129" s="835">
        <v>0</v>
      </c>
      <c r="BL129" s="835">
        <v>1380</v>
      </c>
      <c r="BM129" s="835">
        <v>0</v>
      </c>
      <c r="BN129" s="835">
        <v>0</v>
      </c>
      <c r="BO129" s="835">
        <v>13982</v>
      </c>
      <c r="BP129" s="835">
        <v>0</v>
      </c>
      <c r="BQ129" s="835">
        <v>0</v>
      </c>
      <c r="BR129" s="835">
        <v>0</v>
      </c>
      <c r="BS129" s="835">
        <v>108204</v>
      </c>
      <c r="BT129" s="835">
        <v>0</v>
      </c>
      <c r="BU129" s="835">
        <v>0</v>
      </c>
      <c r="BV129" s="835">
        <v>0</v>
      </c>
      <c r="BW129" s="835">
        <v>0</v>
      </c>
      <c r="BX129" s="835">
        <v>0</v>
      </c>
      <c r="BY129" s="835">
        <v>0</v>
      </c>
      <c r="BZ129" s="835">
        <v>0</v>
      </c>
      <c r="CA129" s="835">
        <v>628847</v>
      </c>
      <c r="CB129" s="835">
        <v>0</v>
      </c>
    </row>
    <row r="130" spans="1:80" x14ac:dyDescent="0.25">
      <c r="A130" s="787">
        <v>369</v>
      </c>
      <c r="B130" s="846">
        <v>369</v>
      </c>
      <c r="C130" s="832" t="s">
        <v>272</v>
      </c>
      <c r="D130" s="860" t="s">
        <v>514</v>
      </c>
      <c r="E130" s="829">
        <v>625905</v>
      </c>
      <c r="F130" s="798">
        <v>5564196</v>
      </c>
      <c r="G130" s="798">
        <v>189181</v>
      </c>
      <c r="H130" s="798">
        <v>6452670</v>
      </c>
      <c r="I130" s="798">
        <v>1172430</v>
      </c>
      <c r="J130" s="798">
        <v>110312</v>
      </c>
      <c r="K130" s="800">
        <v>678097</v>
      </c>
      <c r="L130" s="835">
        <v>658946</v>
      </c>
      <c r="M130" s="835">
        <v>5877570</v>
      </c>
      <c r="N130" s="830">
        <v>69512</v>
      </c>
      <c r="O130" s="830">
        <v>353828</v>
      </c>
      <c r="P130" s="830">
        <v>506974</v>
      </c>
      <c r="Q130" s="830">
        <v>9881433</v>
      </c>
      <c r="R130" s="830">
        <v>2235483</v>
      </c>
      <c r="S130" s="830">
        <v>3169792</v>
      </c>
      <c r="T130" s="830">
        <v>971866</v>
      </c>
      <c r="U130" s="830">
        <v>35795</v>
      </c>
      <c r="V130" s="830">
        <v>1177787</v>
      </c>
      <c r="W130" s="830">
        <v>28938</v>
      </c>
      <c r="X130" s="830">
        <v>2336041</v>
      </c>
      <c r="Y130" s="830">
        <v>4560461</v>
      </c>
      <c r="Z130" s="830">
        <v>1382555</v>
      </c>
      <c r="AA130" s="835">
        <v>269394</v>
      </c>
      <c r="AB130" s="835">
        <v>1501869</v>
      </c>
      <c r="AC130" s="835">
        <v>418139</v>
      </c>
      <c r="AD130" s="835">
        <v>100270</v>
      </c>
      <c r="AE130" s="835">
        <v>203471</v>
      </c>
      <c r="AF130" s="835">
        <v>1233058</v>
      </c>
      <c r="AG130" s="835">
        <v>60117</v>
      </c>
      <c r="AH130" s="835">
        <v>36764</v>
      </c>
      <c r="AI130" s="835">
        <v>12305</v>
      </c>
      <c r="AJ130" s="835">
        <v>1026740</v>
      </c>
      <c r="AK130" s="835">
        <v>2031637</v>
      </c>
      <c r="AL130" s="835">
        <v>191623</v>
      </c>
      <c r="AM130" s="835">
        <v>15381</v>
      </c>
      <c r="AN130" s="835">
        <v>6226359</v>
      </c>
      <c r="AO130" s="835">
        <v>3847524</v>
      </c>
      <c r="AP130" s="835">
        <v>145265</v>
      </c>
      <c r="AQ130" s="835">
        <v>2020990</v>
      </c>
      <c r="AR130" s="835">
        <v>7889870</v>
      </c>
      <c r="AS130" s="835">
        <v>1168648</v>
      </c>
      <c r="AT130" s="835">
        <v>177942</v>
      </c>
      <c r="AU130" s="835">
        <v>1439601</v>
      </c>
      <c r="AV130" s="835">
        <v>4964718</v>
      </c>
      <c r="AW130" s="835">
        <v>41568</v>
      </c>
      <c r="AX130" s="835">
        <v>224566</v>
      </c>
      <c r="AY130" s="835">
        <v>1276556</v>
      </c>
      <c r="AZ130" s="835">
        <v>562981</v>
      </c>
      <c r="BA130" s="835">
        <v>1252244</v>
      </c>
      <c r="BB130" s="835">
        <v>42614</v>
      </c>
      <c r="BC130" s="835">
        <v>759472</v>
      </c>
      <c r="BD130" s="835">
        <v>152581</v>
      </c>
      <c r="BE130" s="835">
        <v>43103</v>
      </c>
      <c r="BF130" s="835">
        <v>3966489</v>
      </c>
      <c r="BG130" s="835">
        <v>120060</v>
      </c>
      <c r="BH130" s="835">
        <v>10251</v>
      </c>
      <c r="BI130" s="835">
        <v>1127846</v>
      </c>
      <c r="BJ130" s="835">
        <v>66160</v>
      </c>
      <c r="BK130" s="835">
        <v>318051</v>
      </c>
      <c r="BL130" s="835">
        <v>1885683</v>
      </c>
      <c r="BM130" s="835">
        <v>1233058</v>
      </c>
      <c r="BN130" s="835">
        <v>45772</v>
      </c>
      <c r="BO130" s="835">
        <v>1042547</v>
      </c>
      <c r="BP130" s="835">
        <v>771950</v>
      </c>
      <c r="BQ130" s="835">
        <v>393436</v>
      </c>
      <c r="BR130" s="835">
        <v>558041</v>
      </c>
      <c r="BS130" s="835">
        <v>651527</v>
      </c>
      <c r="BT130" s="835">
        <v>1572935</v>
      </c>
      <c r="BU130" s="835">
        <v>941356</v>
      </c>
      <c r="BV130" s="835">
        <v>454331</v>
      </c>
      <c r="BW130" s="835">
        <v>281380</v>
      </c>
      <c r="BX130" s="835">
        <v>423990</v>
      </c>
      <c r="BY130" s="835">
        <v>34308</v>
      </c>
      <c r="BZ130" s="835">
        <v>29330</v>
      </c>
      <c r="CA130" s="835">
        <v>6132007</v>
      </c>
      <c r="CB130" s="835">
        <v>27540</v>
      </c>
    </row>
    <row r="131" spans="1:80" x14ac:dyDescent="0.25">
      <c r="A131" s="787">
        <v>370</v>
      </c>
      <c r="B131" s="846">
        <v>370</v>
      </c>
      <c r="C131" s="832" t="s">
        <v>274</v>
      </c>
      <c r="D131" s="860" t="s">
        <v>515</v>
      </c>
      <c r="E131" s="829">
        <v>28938</v>
      </c>
      <c r="F131" s="798">
        <v>1500653</v>
      </c>
      <c r="G131" s="798">
        <v>3792</v>
      </c>
      <c r="H131" s="798">
        <v>4911496</v>
      </c>
      <c r="I131" s="798">
        <v>134761</v>
      </c>
      <c r="J131" s="798">
        <v>0</v>
      </c>
      <c r="K131" s="800">
        <v>0</v>
      </c>
      <c r="L131" s="835">
        <v>72196</v>
      </c>
      <c r="M131" s="835">
        <v>7373182</v>
      </c>
      <c r="N131" s="830">
        <v>0</v>
      </c>
      <c r="O131" s="830">
        <v>6534</v>
      </c>
      <c r="P131" s="830">
        <v>43106</v>
      </c>
      <c r="Q131" s="830">
        <v>2726302</v>
      </c>
      <c r="R131" s="830">
        <v>2840109</v>
      </c>
      <c r="S131" s="830">
        <v>404629</v>
      </c>
      <c r="T131" s="830">
        <v>526485</v>
      </c>
      <c r="U131" s="830">
        <v>2954</v>
      </c>
      <c r="V131" s="830">
        <v>1089788</v>
      </c>
      <c r="W131" s="830">
        <v>0</v>
      </c>
      <c r="X131" s="830">
        <v>3489671</v>
      </c>
      <c r="Y131" s="830">
        <v>2453283</v>
      </c>
      <c r="Z131" s="830">
        <v>664360</v>
      </c>
      <c r="AA131" s="835">
        <v>134036</v>
      </c>
      <c r="AB131" s="835">
        <v>267017</v>
      </c>
      <c r="AC131" s="835">
        <v>0</v>
      </c>
      <c r="AD131" s="835">
        <v>4623</v>
      </c>
      <c r="AE131" s="835">
        <v>70740</v>
      </c>
      <c r="AF131" s="835">
        <v>215809</v>
      </c>
      <c r="AG131" s="835">
        <v>4631</v>
      </c>
      <c r="AH131" s="835">
        <v>0</v>
      </c>
      <c r="AI131" s="835">
        <v>0</v>
      </c>
      <c r="AJ131" s="835">
        <v>25770</v>
      </c>
      <c r="AK131" s="835">
        <v>43192</v>
      </c>
      <c r="AL131" s="835">
        <v>0</v>
      </c>
      <c r="AM131" s="835">
        <v>0</v>
      </c>
      <c r="AN131" s="835">
        <v>1158108</v>
      </c>
      <c r="AO131" s="835">
        <v>905981</v>
      </c>
      <c r="AP131" s="835">
        <v>0</v>
      </c>
      <c r="AQ131" s="835">
        <v>212048</v>
      </c>
      <c r="AR131" s="835">
        <v>1001535</v>
      </c>
      <c r="AS131" s="835">
        <v>35912</v>
      </c>
      <c r="AT131" s="835">
        <v>270967</v>
      </c>
      <c r="AU131" s="835">
        <v>109728</v>
      </c>
      <c r="AV131" s="835">
        <v>473729</v>
      </c>
      <c r="AW131" s="835">
        <v>0</v>
      </c>
      <c r="AX131" s="835">
        <v>3514</v>
      </c>
      <c r="AY131" s="835">
        <v>280490</v>
      </c>
      <c r="AZ131" s="835">
        <v>55158</v>
      </c>
      <c r="BA131" s="835">
        <v>139304</v>
      </c>
      <c r="BB131" s="835">
        <v>0</v>
      </c>
      <c r="BC131" s="835">
        <v>63390</v>
      </c>
      <c r="BD131" s="835">
        <v>0</v>
      </c>
      <c r="BE131" s="835">
        <v>0</v>
      </c>
      <c r="BF131" s="835">
        <v>1417204</v>
      </c>
      <c r="BG131" s="835">
        <v>0</v>
      </c>
      <c r="BH131" s="835">
        <v>0</v>
      </c>
      <c r="BI131" s="835">
        <v>97236</v>
      </c>
      <c r="BJ131" s="835">
        <v>377153</v>
      </c>
      <c r="BK131" s="835">
        <v>27500</v>
      </c>
      <c r="BL131" s="835">
        <v>282615</v>
      </c>
      <c r="BM131" s="835">
        <v>0</v>
      </c>
      <c r="BN131" s="835">
        <v>0</v>
      </c>
      <c r="BO131" s="835">
        <v>196696</v>
      </c>
      <c r="BP131" s="835">
        <v>42861</v>
      </c>
      <c r="BQ131" s="835">
        <v>12304</v>
      </c>
      <c r="BR131" s="835">
        <v>0</v>
      </c>
      <c r="BS131" s="835">
        <v>72154</v>
      </c>
      <c r="BT131" s="835">
        <v>1171924</v>
      </c>
      <c r="BU131" s="835">
        <v>41819</v>
      </c>
      <c r="BV131" s="835">
        <v>94689</v>
      </c>
      <c r="BW131" s="835">
        <v>109553</v>
      </c>
      <c r="BX131" s="835">
        <v>0</v>
      </c>
      <c r="BY131" s="835">
        <v>0</v>
      </c>
      <c r="BZ131" s="835">
        <v>0</v>
      </c>
      <c r="CA131" s="835">
        <v>1622878</v>
      </c>
      <c r="CB131" s="835">
        <v>4957</v>
      </c>
    </row>
    <row r="132" spans="1:80" x14ac:dyDescent="0.25">
      <c r="A132" s="787">
        <v>371</v>
      </c>
      <c r="B132" s="846">
        <v>371</v>
      </c>
      <c r="C132" s="832" t="s">
        <v>329</v>
      </c>
      <c r="D132" s="860" t="s">
        <v>516</v>
      </c>
      <c r="E132" s="829">
        <v>0</v>
      </c>
      <c r="F132" s="798">
        <v>1979969</v>
      </c>
      <c r="G132" s="798">
        <v>0</v>
      </c>
      <c r="H132" s="798">
        <v>0</v>
      </c>
      <c r="I132" s="798">
        <v>0</v>
      </c>
      <c r="J132" s="798">
        <v>0</v>
      </c>
      <c r="K132" s="800">
        <v>0</v>
      </c>
      <c r="L132" s="835">
        <v>0</v>
      </c>
      <c r="M132" s="835">
        <v>0</v>
      </c>
      <c r="N132" s="830">
        <v>0</v>
      </c>
      <c r="O132" s="830">
        <v>0</v>
      </c>
      <c r="P132" s="830">
        <v>0</v>
      </c>
      <c r="Q132" s="830">
        <v>0</v>
      </c>
      <c r="R132" s="830">
        <v>0</v>
      </c>
      <c r="S132" s="830">
        <v>0</v>
      </c>
      <c r="T132" s="830">
        <v>0</v>
      </c>
      <c r="U132" s="830">
        <v>0</v>
      </c>
      <c r="V132" s="830">
        <v>0</v>
      </c>
      <c r="W132" s="830">
        <v>0</v>
      </c>
      <c r="X132" s="830">
        <v>0</v>
      </c>
      <c r="Y132" s="830">
        <v>0</v>
      </c>
      <c r="Z132" s="830">
        <v>0</v>
      </c>
      <c r="AA132" s="835">
        <v>0</v>
      </c>
      <c r="AB132" s="835">
        <v>0</v>
      </c>
      <c r="AC132" s="835">
        <v>0</v>
      </c>
      <c r="AD132" s="835">
        <v>0</v>
      </c>
      <c r="AE132" s="835">
        <v>0</v>
      </c>
      <c r="AF132" s="835">
        <v>0</v>
      </c>
      <c r="AG132" s="835">
        <v>0</v>
      </c>
      <c r="AH132" s="835">
        <v>0</v>
      </c>
      <c r="AI132" s="835">
        <v>0</v>
      </c>
      <c r="AJ132" s="835">
        <v>0</v>
      </c>
      <c r="AK132" s="835">
        <v>0</v>
      </c>
      <c r="AL132" s="835">
        <v>0</v>
      </c>
      <c r="AM132" s="835">
        <v>0</v>
      </c>
      <c r="AN132" s="835">
        <v>0</v>
      </c>
      <c r="AO132" s="835">
        <v>0</v>
      </c>
      <c r="AP132" s="835">
        <v>0</v>
      </c>
      <c r="AQ132" s="835">
        <v>0</v>
      </c>
      <c r="AR132" s="835">
        <v>0</v>
      </c>
      <c r="AS132" s="835">
        <v>0</v>
      </c>
      <c r="AT132" s="835">
        <v>0</v>
      </c>
      <c r="AU132" s="835">
        <v>0</v>
      </c>
      <c r="AV132" s="835">
        <v>0</v>
      </c>
      <c r="AW132" s="835">
        <v>0</v>
      </c>
      <c r="AX132" s="835">
        <v>0</v>
      </c>
      <c r="AY132" s="835">
        <v>0</v>
      </c>
      <c r="AZ132" s="835">
        <v>0</v>
      </c>
      <c r="BA132" s="835">
        <v>0</v>
      </c>
      <c r="BB132" s="835">
        <v>0</v>
      </c>
      <c r="BC132" s="835">
        <v>0</v>
      </c>
      <c r="BD132" s="835">
        <v>0</v>
      </c>
      <c r="BE132" s="835">
        <v>0</v>
      </c>
      <c r="BF132" s="835">
        <v>0</v>
      </c>
      <c r="BG132" s="835">
        <v>0</v>
      </c>
      <c r="BH132" s="835">
        <v>0</v>
      </c>
      <c r="BI132" s="835">
        <v>0</v>
      </c>
      <c r="BJ132" s="835">
        <v>0</v>
      </c>
      <c r="BK132" s="835">
        <v>0</v>
      </c>
      <c r="BL132" s="835">
        <v>0</v>
      </c>
      <c r="BM132" s="835">
        <v>0</v>
      </c>
      <c r="BN132" s="835">
        <v>0</v>
      </c>
      <c r="BO132" s="835">
        <v>0</v>
      </c>
      <c r="BP132" s="835">
        <v>0</v>
      </c>
      <c r="BQ132" s="835">
        <v>0</v>
      </c>
      <c r="BR132" s="835">
        <v>0</v>
      </c>
      <c r="BS132" s="835">
        <v>0</v>
      </c>
      <c r="BT132" s="835">
        <v>0</v>
      </c>
      <c r="BU132" s="835">
        <v>0</v>
      </c>
      <c r="BV132" s="835">
        <v>0</v>
      </c>
      <c r="BW132" s="835">
        <v>0</v>
      </c>
      <c r="BX132" s="835">
        <v>0</v>
      </c>
      <c r="BY132" s="835">
        <v>0</v>
      </c>
      <c r="BZ132" s="835">
        <v>0</v>
      </c>
      <c r="CA132" s="835">
        <v>0</v>
      </c>
      <c r="CB132" s="835">
        <v>0</v>
      </c>
    </row>
    <row r="133" spans="1:80" x14ac:dyDescent="0.25">
      <c r="A133" s="787">
        <v>373</v>
      </c>
      <c r="B133" s="846">
        <v>373</v>
      </c>
      <c r="C133" s="832" t="s">
        <v>643</v>
      </c>
      <c r="D133" s="860" t="s">
        <v>517</v>
      </c>
      <c r="E133" s="829">
        <v>1689496</v>
      </c>
      <c r="F133" s="798">
        <v>10989588</v>
      </c>
      <c r="G133" s="798">
        <v>177819</v>
      </c>
      <c r="H133" s="798">
        <v>85163986</v>
      </c>
      <c r="I133" s="798">
        <v>5826938</v>
      </c>
      <c r="J133" s="798">
        <v>102904</v>
      </c>
      <c r="K133" s="800">
        <v>873757</v>
      </c>
      <c r="L133" s="835">
        <v>1469777</v>
      </c>
      <c r="M133" s="835">
        <v>92054340</v>
      </c>
      <c r="N133" s="830">
        <v>82811</v>
      </c>
      <c r="O133" s="830">
        <v>936503</v>
      </c>
      <c r="P133" s="830">
        <v>2434261</v>
      </c>
      <c r="Q133" s="830">
        <v>70848008</v>
      </c>
      <c r="R133" s="830">
        <v>14890008</v>
      </c>
      <c r="S133" s="830">
        <v>4710366</v>
      </c>
      <c r="T133" s="830">
        <v>19502340</v>
      </c>
      <c r="U133" s="830">
        <v>339259</v>
      </c>
      <c r="V133" s="830">
        <v>25070585</v>
      </c>
      <c r="W133" s="830">
        <v>9065</v>
      </c>
      <c r="X133" s="830">
        <v>9399248</v>
      </c>
      <c r="Y133" s="830">
        <v>20650243</v>
      </c>
      <c r="Z133" s="830">
        <v>4472690</v>
      </c>
      <c r="AA133" s="835">
        <v>15237454</v>
      </c>
      <c r="AB133" s="835">
        <v>4413603</v>
      </c>
      <c r="AC133" s="835">
        <v>481797</v>
      </c>
      <c r="AD133" s="835">
        <v>583072</v>
      </c>
      <c r="AE133" s="835">
        <v>1938620</v>
      </c>
      <c r="AF133" s="835">
        <v>2562430</v>
      </c>
      <c r="AG133" s="835">
        <v>120493</v>
      </c>
      <c r="AH133" s="835">
        <v>67492</v>
      </c>
      <c r="AI133" s="835">
        <v>711249</v>
      </c>
      <c r="AJ133" s="835">
        <v>943348</v>
      </c>
      <c r="AK133" s="835">
        <v>6776730</v>
      </c>
      <c r="AL133" s="835">
        <v>938228</v>
      </c>
      <c r="AM133" s="835">
        <v>15919</v>
      </c>
      <c r="AN133" s="835">
        <v>23947210</v>
      </c>
      <c r="AO133" s="835">
        <v>55710406</v>
      </c>
      <c r="AP133" s="835">
        <v>259506</v>
      </c>
      <c r="AQ133" s="835">
        <v>3728411</v>
      </c>
      <c r="AR133" s="835">
        <v>59292817</v>
      </c>
      <c r="AS133" s="835">
        <v>2470155</v>
      </c>
      <c r="AT133" s="835">
        <v>1515592</v>
      </c>
      <c r="AU133" s="835">
        <v>3147827</v>
      </c>
      <c r="AV133" s="835">
        <v>22459970</v>
      </c>
      <c r="AW133" s="835">
        <v>41704</v>
      </c>
      <c r="AX133" s="835">
        <v>219605</v>
      </c>
      <c r="AY133" s="835">
        <v>4919743</v>
      </c>
      <c r="AZ133" s="835">
        <v>5555910</v>
      </c>
      <c r="BA133" s="835">
        <v>6124085</v>
      </c>
      <c r="BB133" s="835">
        <v>23959</v>
      </c>
      <c r="BC133" s="835">
        <v>3578616</v>
      </c>
      <c r="BD133" s="835">
        <v>1054287</v>
      </c>
      <c r="BE133" s="835">
        <v>84215</v>
      </c>
      <c r="BF133" s="835">
        <v>23212322</v>
      </c>
      <c r="BG133" s="835">
        <v>259478</v>
      </c>
      <c r="BH133" s="835">
        <v>85902</v>
      </c>
      <c r="BI133" s="835">
        <v>4214975</v>
      </c>
      <c r="BJ133" s="835">
        <v>3292903</v>
      </c>
      <c r="BK133" s="835">
        <v>723581</v>
      </c>
      <c r="BL133" s="835">
        <v>8953110</v>
      </c>
      <c r="BM133" s="835">
        <v>3530613</v>
      </c>
      <c r="BN133" s="835">
        <v>105701</v>
      </c>
      <c r="BO133" s="835">
        <v>9164884</v>
      </c>
      <c r="BP133" s="835">
        <v>5447234</v>
      </c>
      <c r="BQ133" s="835">
        <v>645503</v>
      </c>
      <c r="BR133" s="835">
        <v>1687441</v>
      </c>
      <c r="BS133" s="835">
        <v>244247</v>
      </c>
      <c r="BT133" s="835">
        <v>114422694</v>
      </c>
      <c r="BU133" s="835">
        <v>2574095</v>
      </c>
      <c r="BV133" s="835">
        <v>3551858</v>
      </c>
      <c r="BW133" s="835">
        <v>632488</v>
      </c>
      <c r="BX133" s="835">
        <v>873151</v>
      </c>
      <c r="BY133" s="835">
        <v>33747</v>
      </c>
      <c r="BZ133" s="835">
        <v>60720</v>
      </c>
      <c r="CA133" s="835">
        <v>12182357</v>
      </c>
      <c r="CB133" s="835">
        <v>59738</v>
      </c>
    </row>
    <row r="134" spans="1:80" x14ac:dyDescent="0.25">
      <c r="A134" s="787">
        <v>375</v>
      </c>
      <c r="B134" s="846">
        <v>375</v>
      </c>
      <c r="C134" s="832" t="s">
        <v>289</v>
      </c>
      <c r="D134" s="860" t="s">
        <v>518</v>
      </c>
      <c r="E134" s="829">
        <v>0</v>
      </c>
      <c r="F134" s="798">
        <v>0</v>
      </c>
      <c r="G134" s="798">
        <v>229464</v>
      </c>
      <c r="H134" s="798">
        <v>30746202</v>
      </c>
      <c r="I134" s="798">
        <v>8016421</v>
      </c>
      <c r="J134" s="798">
        <v>-22243</v>
      </c>
      <c r="K134" s="800">
        <v>4926935</v>
      </c>
      <c r="L134" s="835">
        <v>168170</v>
      </c>
      <c r="M134" s="835">
        <v>-359336</v>
      </c>
      <c r="N134" s="830">
        <v>0</v>
      </c>
      <c r="O134" s="830">
        <v>1060381</v>
      </c>
      <c r="P134" s="830">
        <v>794604</v>
      </c>
      <c r="Q134" s="830">
        <v>0</v>
      </c>
      <c r="R134" s="830">
        <v>7028749</v>
      </c>
      <c r="S134" s="830">
        <v>7324164</v>
      </c>
      <c r="T134" s="830">
        <v>5606241</v>
      </c>
      <c r="U134" s="830">
        <v>-226177</v>
      </c>
      <c r="V134" s="830">
        <v>6402201</v>
      </c>
      <c r="W134" s="830">
        <v>0</v>
      </c>
      <c r="X134" s="830">
        <v>0</v>
      </c>
      <c r="Y134" s="830">
        <v>95824</v>
      </c>
      <c r="Z134" s="830">
        <v>1761114</v>
      </c>
      <c r="AA134" s="835">
        <v>694530</v>
      </c>
      <c r="AB134" s="835">
        <v>-200360</v>
      </c>
      <c r="AC134" s="835">
        <v>0</v>
      </c>
      <c r="AD134" s="835">
        <v>71250</v>
      </c>
      <c r="AE134" s="835">
        <v>1442424</v>
      </c>
      <c r="AF134" s="835">
        <v>305766</v>
      </c>
      <c r="AG134" s="835">
        <v>53682</v>
      </c>
      <c r="AH134" s="835">
        <v>0</v>
      </c>
      <c r="AI134" s="835">
        <v>0</v>
      </c>
      <c r="AJ134" s="835">
        <v>743505</v>
      </c>
      <c r="AK134" s="835">
        <v>4405054</v>
      </c>
      <c r="AL134" s="835">
        <v>364497</v>
      </c>
      <c r="AM134" s="835">
        <v>0</v>
      </c>
      <c r="AN134" s="835">
        <v>13293708</v>
      </c>
      <c r="AO134" s="835">
        <v>14003200</v>
      </c>
      <c r="AP134" s="835">
        <v>67280</v>
      </c>
      <c r="AQ134" s="835">
        <v>0</v>
      </c>
      <c r="AR134" s="835">
        <v>3337824</v>
      </c>
      <c r="AS134" s="835">
        <v>1271931</v>
      </c>
      <c r="AT134" s="835">
        <v>101216</v>
      </c>
      <c r="AU134" s="835">
        <v>1624098</v>
      </c>
      <c r="AV134" s="835">
        <v>6202196</v>
      </c>
      <c r="AW134" s="835">
        <v>969815</v>
      </c>
      <c r="AX134" s="835">
        <v>227238</v>
      </c>
      <c r="AY134" s="835">
        <v>1394508</v>
      </c>
      <c r="AZ134" s="835">
        <v>413904</v>
      </c>
      <c r="BA134" s="835">
        <v>1061895</v>
      </c>
      <c r="BB134" s="835">
        <v>0</v>
      </c>
      <c r="BC134" s="835">
        <v>344489</v>
      </c>
      <c r="BD134" s="835">
        <v>619925</v>
      </c>
      <c r="BE134" s="835">
        <v>0</v>
      </c>
      <c r="BF134" s="835">
        <v>-3815335</v>
      </c>
      <c r="BG134" s="835">
        <v>-38377</v>
      </c>
      <c r="BH134" s="835">
        <v>0</v>
      </c>
      <c r="BI134" s="835">
        <v>2427158</v>
      </c>
      <c r="BJ134" s="835">
        <v>1717819</v>
      </c>
      <c r="BK134" s="835">
        <v>-113491</v>
      </c>
      <c r="BL134" s="835">
        <v>5053849</v>
      </c>
      <c r="BM134" s="835">
        <v>1635706</v>
      </c>
      <c r="BN134" s="835">
        <v>0</v>
      </c>
      <c r="BO134" s="835">
        <v>2160327</v>
      </c>
      <c r="BP134" s="835">
        <v>3458439</v>
      </c>
      <c r="BQ134" s="835">
        <v>900061</v>
      </c>
      <c r="BR134" s="835">
        <v>2613498</v>
      </c>
      <c r="BS134" s="835">
        <v>0</v>
      </c>
      <c r="BT134" s="835">
        <v>0</v>
      </c>
      <c r="BU134" s="835">
        <v>1049172</v>
      </c>
      <c r="BV134" s="835">
        <v>-593676</v>
      </c>
      <c r="BW134" s="835">
        <v>-126341</v>
      </c>
      <c r="BX134" s="835">
        <v>805145</v>
      </c>
      <c r="BY134" s="835">
        <v>0</v>
      </c>
      <c r="BZ134" s="835">
        <v>0</v>
      </c>
      <c r="CA134" s="835">
        <v>8413024</v>
      </c>
      <c r="CB134" s="835">
        <v>0</v>
      </c>
    </row>
    <row r="135" spans="1:80" x14ac:dyDescent="0.25">
      <c r="A135" s="787">
        <v>376</v>
      </c>
      <c r="B135" s="846">
        <v>376</v>
      </c>
      <c r="C135" s="832" t="s">
        <v>115</v>
      </c>
      <c r="D135" s="860" t="s">
        <v>519</v>
      </c>
      <c r="E135" s="829">
        <v>0</v>
      </c>
      <c r="F135" s="798">
        <v>0</v>
      </c>
      <c r="G135" s="798">
        <v>0</v>
      </c>
      <c r="H135" s="798">
        <v>-1400144</v>
      </c>
      <c r="I135" s="798">
        <v>-272619</v>
      </c>
      <c r="J135" s="798">
        <v>-192771</v>
      </c>
      <c r="K135" s="800">
        <v>0</v>
      </c>
      <c r="L135" s="835">
        <v>-38509</v>
      </c>
      <c r="M135" s="835">
        <v>-24942452</v>
      </c>
      <c r="N135" s="830">
        <v>0</v>
      </c>
      <c r="O135" s="830">
        <v>-533850</v>
      </c>
      <c r="P135" s="830">
        <v>0</v>
      </c>
      <c r="Q135" s="830">
        <v>-3619474</v>
      </c>
      <c r="R135" s="830">
        <v>-4170856</v>
      </c>
      <c r="S135" s="830">
        <v>-6495</v>
      </c>
      <c r="T135" s="830">
        <v>-4248482</v>
      </c>
      <c r="U135" s="830">
        <v>0</v>
      </c>
      <c r="V135" s="830">
        <v>-4537287</v>
      </c>
      <c r="W135" s="830">
        <v>0</v>
      </c>
      <c r="X135" s="830">
        <v>-495320</v>
      </c>
      <c r="Y135" s="830">
        <v>-4250862</v>
      </c>
      <c r="Z135" s="830">
        <v>-958936</v>
      </c>
      <c r="AA135" s="835">
        <v>7708</v>
      </c>
      <c r="AB135" s="835">
        <v>-4034217</v>
      </c>
      <c r="AC135" s="835">
        <v>0</v>
      </c>
      <c r="AD135" s="835">
        <v>0</v>
      </c>
      <c r="AE135" s="835">
        <v>34701</v>
      </c>
      <c r="AF135" s="835">
        <v>3</v>
      </c>
      <c r="AG135" s="835">
        <v>0</v>
      </c>
      <c r="AH135" s="835">
        <v>0</v>
      </c>
      <c r="AI135" s="835">
        <v>0</v>
      </c>
      <c r="AJ135" s="835">
        <v>0</v>
      </c>
      <c r="AK135" s="835">
        <v>-611712</v>
      </c>
      <c r="AL135" s="835">
        <v>0</v>
      </c>
      <c r="AM135" s="835">
        <v>0</v>
      </c>
      <c r="AN135" s="835">
        <v>0</v>
      </c>
      <c r="AO135" s="835">
        <v>-1794957</v>
      </c>
      <c r="AP135" s="835">
        <v>0</v>
      </c>
      <c r="AQ135" s="835">
        <v>0</v>
      </c>
      <c r="AR135" s="835">
        <v>-7934457</v>
      </c>
      <c r="AS135" s="835">
        <v>0</v>
      </c>
      <c r="AT135" s="835">
        <v>-148696</v>
      </c>
      <c r="AU135" s="835">
        <v>-256535</v>
      </c>
      <c r="AV135" s="835">
        <v>-6561203</v>
      </c>
      <c r="AW135" s="835">
        <v>0</v>
      </c>
      <c r="AX135" s="835">
        <v>0</v>
      </c>
      <c r="AY135" s="835">
        <v>0</v>
      </c>
      <c r="AZ135" s="835">
        <v>-15200</v>
      </c>
      <c r="BA135" s="835">
        <v>-648882</v>
      </c>
      <c r="BB135" s="835">
        <v>0</v>
      </c>
      <c r="BC135" s="835">
        <v>-81214</v>
      </c>
      <c r="BD135" s="835">
        <v>0</v>
      </c>
      <c r="BE135" s="835">
        <v>0</v>
      </c>
      <c r="BF135" s="835">
        <v>-13628657</v>
      </c>
      <c r="BG135" s="835">
        <v>471164</v>
      </c>
      <c r="BH135" s="835">
        <v>0</v>
      </c>
      <c r="BI135" s="835">
        <v>-1729546</v>
      </c>
      <c r="BJ135" s="835">
        <v>-21584</v>
      </c>
      <c r="BK135" s="835">
        <v>0</v>
      </c>
      <c r="BL135" s="835">
        <v>-389065</v>
      </c>
      <c r="BM135" s="835">
        <v>-1025989</v>
      </c>
      <c r="BN135" s="835">
        <v>0</v>
      </c>
      <c r="BO135" s="835">
        <v>-125594</v>
      </c>
      <c r="BP135" s="835">
        <v>0</v>
      </c>
      <c r="BQ135" s="835">
        <v>0</v>
      </c>
      <c r="BR135" s="835">
        <v>0</v>
      </c>
      <c r="BS135" s="835">
        <v>548800</v>
      </c>
      <c r="BT135" s="835">
        <v>0</v>
      </c>
      <c r="BU135" s="835">
        <v>0</v>
      </c>
      <c r="BV135" s="835">
        <v>-1942570</v>
      </c>
      <c r="BW135" s="835">
        <v>0</v>
      </c>
      <c r="BX135" s="835">
        <v>0</v>
      </c>
      <c r="BY135" s="835">
        <v>0</v>
      </c>
      <c r="BZ135" s="835">
        <v>100</v>
      </c>
      <c r="CA135" s="835">
        <v>-2027899</v>
      </c>
      <c r="CB135" s="835">
        <v>0</v>
      </c>
    </row>
    <row r="136" spans="1:80" x14ac:dyDescent="0.25">
      <c r="A136" s="787">
        <v>377</v>
      </c>
      <c r="B136" s="846">
        <v>377</v>
      </c>
      <c r="C136" s="832" t="s">
        <v>116</v>
      </c>
      <c r="D136" s="860" t="s">
        <v>520</v>
      </c>
      <c r="E136" s="829">
        <v>0</v>
      </c>
      <c r="F136" s="798">
        <v>0</v>
      </c>
      <c r="G136" s="798">
        <v>0</v>
      </c>
      <c r="H136" s="798">
        <v>-39472</v>
      </c>
      <c r="I136" s="798">
        <v>-146048</v>
      </c>
      <c r="J136" s="798">
        <v>-148198</v>
      </c>
      <c r="K136" s="800">
        <v>0</v>
      </c>
      <c r="L136" s="835">
        <v>26048</v>
      </c>
      <c r="M136" s="835">
        <v>-3734574</v>
      </c>
      <c r="N136" s="830">
        <v>0</v>
      </c>
      <c r="O136" s="830">
        <v>-450234</v>
      </c>
      <c r="P136" s="830">
        <v>0</v>
      </c>
      <c r="Q136" s="830">
        <v>0</v>
      </c>
      <c r="R136" s="830">
        <v>-556933</v>
      </c>
      <c r="S136" s="830">
        <v>53500</v>
      </c>
      <c r="T136" s="830">
        <v>-795338</v>
      </c>
      <c r="U136" s="830">
        <v>0</v>
      </c>
      <c r="V136" s="830">
        <v>0</v>
      </c>
      <c r="W136" s="830">
        <v>0</v>
      </c>
      <c r="X136" s="830">
        <v>0</v>
      </c>
      <c r="Y136" s="830">
        <v>0</v>
      </c>
      <c r="Z136" s="830">
        <v>-213474</v>
      </c>
      <c r="AA136" s="835">
        <v>-29790</v>
      </c>
      <c r="AB136" s="835">
        <v>-173515</v>
      </c>
      <c r="AC136" s="835">
        <v>0</v>
      </c>
      <c r="AD136" s="835">
        <v>0</v>
      </c>
      <c r="AE136" s="835">
        <v>0</v>
      </c>
      <c r="AF136" s="835">
        <v>-1</v>
      </c>
      <c r="AG136" s="835">
        <v>-7650</v>
      </c>
      <c r="AH136" s="835">
        <v>0</v>
      </c>
      <c r="AI136" s="835">
        <v>0</v>
      </c>
      <c r="AJ136" s="835">
        <v>0</v>
      </c>
      <c r="AK136" s="835">
        <v>-226052</v>
      </c>
      <c r="AL136" s="835">
        <v>0</v>
      </c>
      <c r="AM136" s="835">
        <v>0</v>
      </c>
      <c r="AN136" s="835">
        <v>0</v>
      </c>
      <c r="AO136" s="835">
        <v>-292202</v>
      </c>
      <c r="AP136" s="835">
        <v>-8187</v>
      </c>
      <c r="AQ136" s="835">
        <v>0</v>
      </c>
      <c r="AR136" s="835">
        <v>-744446</v>
      </c>
      <c r="AS136" s="835">
        <v>0</v>
      </c>
      <c r="AT136" s="835">
        <v>-72184</v>
      </c>
      <c r="AU136" s="835">
        <v>0</v>
      </c>
      <c r="AV136" s="835">
        <v>-1816053</v>
      </c>
      <c r="AW136" s="835">
        <v>0</v>
      </c>
      <c r="AX136" s="835">
        <v>0</v>
      </c>
      <c r="AY136" s="835">
        <v>0</v>
      </c>
      <c r="AZ136" s="835">
        <v>-3801</v>
      </c>
      <c r="BA136" s="835">
        <v>-387861</v>
      </c>
      <c r="BB136" s="835">
        <v>0</v>
      </c>
      <c r="BC136" s="835">
        <v>-16117</v>
      </c>
      <c r="BD136" s="835">
        <v>0</v>
      </c>
      <c r="BE136" s="835">
        <v>0</v>
      </c>
      <c r="BF136" s="835">
        <v>-2600964</v>
      </c>
      <c r="BG136" s="835">
        <v>2931721</v>
      </c>
      <c r="BH136" s="835">
        <v>0</v>
      </c>
      <c r="BI136" s="835">
        <v>-516618</v>
      </c>
      <c r="BJ136" s="835">
        <v>-2364</v>
      </c>
      <c r="BK136" s="835">
        <v>0</v>
      </c>
      <c r="BL136" s="835">
        <v>-73315</v>
      </c>
      <c r="BM136" s="835">
        <v>-303664</v>
      </c>
      <c r="BN136" s="835">
        <v>0</v>
      </c>
      <c r="BO136" s="835">
        <v>0</v>
      </c>
      <c r="BP136" s="835">
        <v>0</v>
      </c>
      <c r="BQ136" s="835">
        <v>1</v>
      </c>
      <c r="BR136" s="835">
        <v>-1</v>
      </c>
      <c r="BS136" s="835">
        <v>0</v>
      </c>
      <c r="BT136" s="835">
        <v>0</v>
      </c>
      <c r="BU136" s="835">
        <v>0</v>
      </c>
      <c r="BV136" s="835">
        <v>-1759176</v>
      </c>
      <c r="BW136" s="835">
        <v>0</v>
      </c>
      <c r="BX136" s="835">
        <v>0</v>
      </c>
      <c r="BY136" s="835">
        <v>0</v>
      </c>
      <c r="BZ136" s="835">
        <v>0</v>
      </c>
      <c r="CA136" s="835">
        <v>-309136</v>
      </c>
      <c r="CB136" s="835">
        <v>0</v>
      </c>
    </row>
    <row r="137" spans="1:80" x14ac:dyDescent="0.25">
      <c r="A137" s="787">
        <v>378</v>
      </c>
      <c r="B137" s="846">
        <v>378</v>
      </c>
      <c r="C137" s="832" t="s">
        <v>117</v>
      </c>
      <c r="D137" s="860" t="s">
        <v>521</v>
      </c>
      <c r="E137" s="829">
        <v>0</v>
      </c>
      <c r="F137" s="798">
        <v>0</v>
      </c>
      <c r="G137" s="798">
        <v>0</v>
      </c>
      <c r="H137" s="798">
        <v>0</v>
      </c>
      <c r="I137" s="798">
        <v>0</v>
      </c>
      <c r="J137" s="798">
        <v>0</v>
      </c>
      <c r="K137" s="800">
        <v>0</v>
      </c>
      <c r="L137" s="835">
        <v>0</v>
      </c>
      <c r="M137" s="835">
        <v>0</v>
      </c>
      <c r="N137" s="830">
        <v>0</v>
      </c>
      <c r="O137" s="830">
        <v>0</v>
      </c>
      <c r="P137" s="830">
        <v>0</v>
      </c>
      <c r="Q137" s="830">
        <v>0</v>
      </c>
      <c r="R137" s="830">
        <v>0</v>
      </c>
      <c r="S137" s="830">
        <v>0</v>
      </c>
      <c r="T137" s="830">
        <v>-522815</v>
      </c>
      <c r="U137" s="830">
        <v>0</v>
      </c>
      <c r="V137" s="830">
        <v>0</v>
      </c>
      <c r="W137" s="830">
        <v>0</v>
      </c>
      <c r="X137" s="830">
        <v>0</v>
      </c>
      <c r="Y137" s="830">
        <v>0</v>
      </c>
      <c r="Z137" s="830">
        <v>0</v>
      </c>
      <c r="AA137" s="835">
        <v>5605</v>
      </c>
      <c r="AB137" s="835">
        <v>-130136</v>
      </c>
      <c r="AC137" s="835">
        <v>0</v>
      </c>
      <c r="AD137" s="835">
        <v>0</v>
      </c>
      <c r="AE137" s="835">
        <v>0</v>
      </c>
      <c r="AF137" s="835">
        <v>-1</v>
      </c>
      <c r="AG137" s="835">
        <v>0</v>
      </c>
      <c r="AH137" s="835">
        <v>0</v>
      </c>
      <c r="AI137" s="835">
        <v>0</v>
      </c>
      <c r="AJ137" s="835">
        <v>0</v>
      </c>
      <c r="AK137" s="835">
        <v>-62548</v>
      </c>
      <c r="AL137" s="835">
        <v>0</v>
      </c>
      <c r="AM137" s="835">
        <v>0</v>
      </c>
      <c r="AN137" s="835">
        <v>0</v>
      </c>
      <c r="AO137" s="835">
        <v>0</v>
      </c>
      <c r="AP137" s="835">
        <v>0</v>
      </c>
      <c r="AQ137" s="835">
        <v>0</v>
      </c>
      <c r="AR137" s="835">
        <v>-870695</v>
      </c>
      <c r="AS137" s="835">
        <v>0</v>
      </c>
      <c r="AT137" s="835">
        <v>0</v>
      </c>
      <c r="AU137" s="835">
        <v>0</v>
      </c>
      <c r="AV137" s="835">
        <v>-205094</v>
      </c>
      <c r="AW137" s="835">
        <v>0</v>
      </c>
      <c r="AX137" s="835">
        <v>0</v>
      </c>
      <c r="AY137" s="835">
        <v>0</v>
      </c>
      <c r="AZ137" s="835">
        <v>0</v>
      </c>
      <c r="BA137" s="835">
        <v>-274926</v>
      </c>
      <c r="BB137" s="835">
        <v>0</v>
      </c>
      <c r="BC137" s="835">
        <v>0</v>
      </c>
      <c r="BD137" s="835">
        <v>0</v>
      </c>
      <c r="BE137" s="835">
        <v>0</v>
      </c>
      <c r="BF137" s="835">
        <v>-2168926</v>
      </c>
      <c r="BG137" s="835">
        <v>326230</v>
      </c>
      <c r="BH137" s="835">
        <v>0</v>
      </c>
      <c r="BI137" s="835">
        <v>0</v>
      </c>
      <c r="BJ137" s="835">
        <v>0</v>
      </c>
      <c r="BK137" s="835">
        <v>0</v>
      </c>
      <c r="BL137" s="835">
        <v>-19665</v>
      </c>
      <c r="BM137" s="835">
        <v>0</v>
      </c>
      <c r="BN137" s="835">
        <v>0</v>
      </c>
      <c r="BO137" s="835">
        <v>0</v>
      </c>
      <c r="BP137" s="835">
        <v>0</v>
      </c>
      <c r="BQ137" s="835">
        <v>0</v>
      </c>
      <c r="BR137" s="835">
        <v>0</v>
      </c>
      <c r="BS137" s="835">
        <v>0</v>
      </c>
      <c r="BT137" s="835">
        <v>0</v>
      </c>
      <c r="BU137" s="835">
        <v>0</v>
      </c>
      <c r="BV137" s="835">
        <v>0</v>
      </c>
      <c r="BW137" s="835">
        <v>0</v>
      </c>
      <c r="BX137" s="835">
        <v>0</v>
      </c>
      <c r="BY137" s="835">
        <v>0</v>
      </c>
      <c r="BZ137" s="835">
        <v>0</v>
      </c>
      <c r="CA137" s="835">
        <v>0</v>
      </c>
      <c r="CB137" s="835">
        <v>0</v>
      </c>
    </row>
    <row r="138" spans="1:80" x14ac:dyDescent="0.25">
      <c r="A138" s="787">
        <v>379</v>
      </c>
      <c r="B138" s="846">
        <v>379</v>
      </c>
      <c r="C138" s="832" t="s">
        <v>125</v>
      </c>
      <c r="D138" s="860" t="s">
        <v>522</v>
      </c>
      <c r="E138" s="829">
        <v>620766</v>
      </c>
      <c r="F138" s="798">
        <v>20365000</v>
      </c>
      <c r="G138" s="798">
        <v>614007</v>
      </c>
      <c r="H138" s="798">
        <v>34935656</v>
      </c>
      <c r="I138" s="798">
        <v>4228122</v>
      </c>
      <c r="J138" s="798">
        <v>572458</v>
      </c>
      <c r="K138" s="800">
        <v>2790976</v>
      </c>
      <c r="L138" s="835">
        <v>1439701</v>
      </c>
      <c r="M138" s="835">
        <v>24476319</v>
      </c>
      <c r="N138" s="830">
        <v>236934</v>
      </c>
      <c r="O138" s="830">
        <v>747560</v>
      </c>
      <c r="P138" s="830">
        <v>587134</v>
      </c>
      <c r="Q138" s="830">
        <v>15953163</v>
      </c>
      <c r="R138" s="830">
        <v>18762146</v>
      </c>
      <c r="S138" s="830">
        <v>3659640</v>
      </c>
      <c r="T138" s="830">
        <v>7335862</v>
      </c>
      <c r="U138" s="830">
        <v>307589</v>
      </c>
      <c r="V138" s="830">
        <v>12235040</v>
      </c>
      <c r="W138" s="830">
        <v>269972</v>
      </c>
      <c r="X138" s="830">
        <v>10755258</v>
      </c>
      <c r="Y138" s="830">
        <v>9618060</v>
      </c>
      <c r="Z138" s="830">
        <v>4462370</v>
      </c>
      <c r="AA138" s="835">
        <v>1684547</v>
      </c>
      <c r="AB138" s="835">
        <v>3286784</v>
      </c>
      <c r="AC138" s="835">
        <v>1336363</v>
      </c>
      <c r="AD138" s="835">
        <v>229305</v>
      </c>
      <c r="AE138" s="835">
        <v>1212834</v>
      </c>
      <c r="AF138" s="835">
        <v>1592504</v>
      </c>
      <c r="AG138" s="835">
        <v>136173</v>
      </c>
      <c r="AH138" s="835">
        <v>77445</v>
      </c>
      <c r="AI138" s="835">
        <v>307474</v>
      </c>
      <c r="AJ138" s="835">
        <v>1926231</v>
      </c>
      <c r="AK138" s="835">
        <v>4353368</v>
      </c>
      <c r="AL138" s="835">
        <v>352208</v>
      </c>
      <c r="AM138" s="835">
        <v>115743</v>
      </c>
      <c r="AN138" s="835">
        <v>14792235</v>
      </c>
      <c r="AO138" s="835">
        <v>10872331</v>
      </c>
      <c r="AP138" s="835">
        <v>557167</v>
      </c>
      <c r="AQ138" s="835">
        <v>7116577</v>
      </c>
      <c r="AR138" s="835">
        <v>12048675</v>
      </c>
      <c r="AS138" s="835">
        <v>2774018</v>
      </c>
      <c r="AT138" s="835">
        <v>409137</v>
      </c>
      <c r="AU138" s="835">
        <v>4688777</v>
      </c>
      <c r="AV138" s="835">
        <v>6325140</v>
      </c>
      <c r="AW138" s="835">
        <v>163594</v>
      </c>
      <c r="AX138" s="835">
        <v>549233</v>
      </c>
      <c r="AY138" s="835">
        <v>4097593</v>
      </c>
      <c r="AZ138" s="835">
        <v>2431943</v>
      </c>
      <c r="BA138" s="835">
        <v>2657285</v>
      </c>
      <c r="BB138" s="835">
        <v>156462</v>
      </c>
      <c r="BC138" s="835">
        <v>1461942</v>
      </c>
      <c r="BD138" s="835">
        <v>1811407</v>
      </c>
      <c r="BE138" s="835">
        <v>374835</v>
      </c>
      <c r="BF138" s="835">
        <v>7312718</v>
      </c>
      <c r="BG138" s="835">
        <v>451321</v>
      </c>
      <c r="BH138" s="835">
        <v>148680</v>
      </c>
      <c r="BI138" s="835">
        <v>2775616</v>
      </c>
      <c r="BJ138" s="835">
        <v>3090335</v>
      </c>
      <c r="BK138" s="835">
        <v>607069</v>
      </c>
      <c r="BL138" s="835">
        <v>2983173</v>
      </c>
      <c r="BM138" s="835">
        <v>5634648</v>
      </c>
      <c r="BN138" s="835">
        <v>124276</v>
      </c>
      <c r="BO138" s="835">
        <v>4116387</v>
      </c>
      <c r="BP138" s="835">
        <v>3140429</v>
      </c>
      <c r="BQ138" s="835">
        <v>1697140</v>
      </c>
      <c r="BR138" s="835">
        <v>1513122</v>
      </c>
      <c r="BS138" s="835">
        <v>1609118</v>
      </c>
      <c r="BT138" s="835">
        <v>12678004</v>
      </c>
      <c r="BU138" s="835">
        <v>2271592</v>
      </c>
      <c r="BV138" s="835">
        <v>1761679</v>
      </c>
      <c r="BW138" s="835">
        <v>192616</v>
      </c>
      <c r="BX138" s="835">
        <v>1553368</v>
      </c>
      <c r="BY138" s="835">
        <v>166037</v>
      </c>
      <c r="BZ138" s="835">
        <v>206301</v>
      </c>
      <c r="CA138" s="835">
        <v>13920415</v>
      </c>
      <c r="CB138" s="835">
        <v>125235</v>
      </c>
    </row>
    <row r="139" spans="1:80" ht="30" x14ac:dyDescent="0.25">
      <c r="A139" s="787">
        <v>380</v>
      </c>
      <c r="B139" s="846">
        <v>380</v>
      </c>
      <c r="C139" s="832" t="s">
        <v>128</v>
      </c>
      <c r="D139" s="860" t="s">
        <v>523</v>
      </c>
      <c r="E139" s="829">
        <v>8438</v>
      </c>
      <c r="F139" s="798">
        <v>72013</v>
      </c>
      <c r="G139" s="798">
        <v>28860</v>
      </c>
      <c r="H139" s="798">
        <v>602331</v>
      </c>
      <c r="I139" s="798">
        <v>14081</v>
      </c>
      <c r="J139" s="798">
        <v>28600</v>
      </c>
      <c r="K139" s="800">
        <v>71644</v>
      </c>
      <c r="L139" s="835">
        <v>48145</v>
      </c>
      <c r="M139" s="835">
        <v>692716</v>
      </c>
      <c r="N139" s="830">
        <v>3825</v>
      </c>
      <c r="O139" s="830">
        <v>52913</v>
      </c>
      <c r="P139" s="830">
        <v>10598</v>
      </c>
      <c r="Q139" s="830">
        <v>334250</v>
      </c>
      <c r="R139" s="830">
        <v>104162</v>
      </c>
      <c r="S139" s="830">
        <v>83406</v>
      </c>
      <c r="T139" s="830">
        <v>64591</v>
      </c>
      <c r="U139" s="830">
        <v>11392</v>
      </c>
      <c r="V139" s="830">
        <v>653817</v>
      </c>
      <c r="W139" s="830">
        <v>536</v>
      </c>
      <c r="X139" s="830">
        <v>63086</v>
      </c>
      <c r="Y139" s="830">
        <v>136147</v>
      </c>
      <c r="Z139" s="830">
        <v>16404</v>
      </c>
      <c r="AA139" s="835">
        <v>58489</v>
      </c>
      <c r="AB139" s="835">
        <v>122389</v>
      </c>
      <c r="AC139" s="835">
        <v>4687</v>
      </c>
      <c r="AD139" s="835">
        <v>0</v>
      </c>
      <c r="AE139" s="835">
        <v>9888</v>
      </c>
      <c r="AF139" s="835">
        <v>67628</v>
      </c>
      <c r="AG139" s="835">
        <v>4047</v>
      </c>
      <c r="AH139" s="835">
        <v>2195</v>
      </c>
      <c r="AI139" s="835">
        <v>1068</v>
      </c>
      <c r="AJ139" s="835">
        <v>14208</v>
      </c>
      <c r="AK139" s="835">
        <v>537870</v>
      </c>
      <c r="AL139" s="835">
        <v>22710</v>
      </c>
      <c r="AM139" s="835">
        <v>1164</v>
      </c>
      <c r="AN139" s="835">
        <v>56567</v>
      </c>
      <c r="AO139" s="835">
        <v>275382</v>
      </c>
      <c r="AP139" s="835">
        <v>10322</v>
      </c>
      <c r="AQ139" s="835">
        <v>31246</v>
      </c>
      <c r="AR139" s="835">
        <v>687582</v>
      </c>
      <c r="AS139" s="835">
        <v>26596</v>
      </c>
      <c r="AT139" s="835">
        <v>13593</v>
      </c>
      <c r="AU139" s="835">
        <v>9650</v>
      </c>
      <c r="AV139" s="835">
        <v>138336</v>
      </c>
      <c r="AW139" s="835">
        <v>481</v>
      </c>
      <c r="AX139" s="835">
        <v>37456</v>
      </c>
      <c r="AY139" s="835">
        <v>67915</v>
      </c>
      <c r="AZ139" s="835">
        <v>83472</v>
      </c>
      <c r="BA139" s="835">
        <v>32583</v>
      </c>
      <c r="BB139" s="835">
        <v>11939</v>
      </c>
      <c r="BC139" s="835">
        <v>11676</v>
      </c>
      <c r="BD139" s="835">
        <v>17086</v>
      </c>
      <c r="BE139" s="835">
        <v>4956</v>
      </c>
      <c r="BF139" s="835">
        <v>606872</v>
      </c>
      <c r="BG139" s="835">
        <v>31462</v>
      </c>
      <c r="BH139" s="835">
        <v>355</v>
      </c>
      <c r="BI139" s="835">
        <v>55572</v>
      </c>
      <c r="BJ139" s="835">
        <v>62389</v>
      </c>
      <c r="BK139" s="835">
        <v>73411</v>
      </c>
      <c r="BL139" s="835">
        <v>20675</v>
      </c>
      <c r="BM139" s="835">
        <v>32286</v>
      </c>
      <c r="BN139" s="835">
        <v>0</v>
      </c>
      <c r="BO139" s="835">
        <v>116155</v>
      </c>
      <c r="BP139" s="835">
        <v>34809</v>
      </c>
      <c r="BQ139" s="835">
        <v>29243</v>
      </c>
      <c r="BR139" s="835">
        <v>77323</v>
      </c>
      <c r="BS139" s="835">
        <v>1391</v>
      </c>
      <c r="BT139" s="835">
        <v>274488</v>
      </c>
      <c r="BU139" s="835">
        <v>516571</v>
      </c>
      <c r="BV139" s="835">
        <v>29639</v>
      </c>
      <c r="BW139" s="835">
        <v>23010</v>
      </c>
      <c r="BX139" s="835">
        <v>4539</v>
      </c>
      <c r="BY139" s="835">
        <v>471</v>
      </c>
      <c r="BZ139" s="835">
        <v>501</v>
      </c>
      <c r="CA139" s="835">
        <v>81688</v>
      </c>
      <c r="CB139" s="835">
        <v>19447</v>
      </c>
    </row>
    <row r="140" spans="1:80" x14ac:dyDescent="0.25">
      <c r="A140" s="787">
        <v>381</v>
      </c>
      <c r="B140" s="846">
        <v>381</v>
      </c>
      <c r="C140" s="832" t="s">
        <v>120</v>
      </c>
      <c r="D140" s="860" t="s">
        <v>524</v>
      </c>
      <c r="E140" s="829">
        <v>0</v>
      </c>
      <c r="F140" s="798">
        <v>0</v>
      </c>
      <c r="G140" s="798">
        <v>1018093</v>
      </c>
      <c r="H140" s="798">
        <v>138386333</v>
      </c>
      <c r="I140" s="798">
        <v>23339627</v>
      </c>
      <c r="J140" s="798">
        <v>599278</v>
      </c>
      <c r="K140" s="800">
        <v>10734165</v>
      </c>
      <c r="L140" s="835">
        <v>6899367</v>
      </c>
      <c r="M140" s="835">
        <v>133397688</v>
      </c>
      <c r="N140" s="830">
        <v>0</v>
      </c>
      <c r="O140" s="830">
        <v>3867933</v>
      </c>
      <c r="P140" s="830">
        <v>5462376</v>
      </c>
      <c r="Q140" s="830">
        <v>0</v>
      </c>
      <c r="R140" s="830">
        <v>21506403</v>
      </c>
      <c r="S140" s="830">
        <v>36620032</v>
      </c>
      <c r="T140" s="830">
        <v>64379794</v>
      </c>
      <c r="U140" s="830">
        <v>2646198</v>
      </c>
      <c r="V140" s="830">
        <v>89785745</v>
      </c>
      <c r="W140" s="830">
        <v>0</v>
      </c>
      <c r="X140" s="830">
        <v>0</v>
      </c>
      <c r="Y140" s="830">
        <v>1195835</v>
      </c>
      <c r="Z140" s="830">
        <v>9039138</v>
      </c>
      <c r="AA140" s="835">
        <v>8528151</v>
      </c>
      <c r="AB140" s="835">
        <v>8357058</v>
      </c>
      <c r="AC140" s="835">
        <v>0</v>
      </c>
      <c r="AD140" s="835">
        <v>183340</v>
      </c>
      <c r="AE140" s="835">
        <v>10057311</v>
      </c>
      <c r="AF140" s="835">
        <v>12613200</v>
      </c>
      <c r="AG140" s="835">
        <v>731817</v>
      </c>
      <c r="AH140" s="835">
        <v>0</v>
      </c>
      <c r="AI140" s="835">
        <v>0</v>
      </c>
      <c r="AJ140" s="835">
        <v>2538724</v>
      </c>
      <c r="AK140" s="835">
        <v>40751987</v>
      </c>
      <c r="AL140" s="835">
        <v>1962926</v>
      </c>
      <c r="AM140" s="835">
        <v>0</v>
      </c>
      <c r="AN140" s="835">
        <v>55446854</v>
      </c>
      <c r="AO140" s="835">
        <v>69762730</v>
      </c>
      <c r="AP140" s="835">
        <v>336037</v>
      </c>
      <c r="AQ140" s="835">
        <v>0</v>
      </c>
      <c r="AR140" s="835">
        <v>44008720</v>
      </c>
      <c r="AS140" s="835">
        <v>5933840</v>
      </c>
      <c r="AT140" s="835">
        <v>4913184</v>
      </c>
      <c r="AU140" s="835">
        <v>5998713</v>
      </c>
      <c r="AV140" s="835">
        <v>37341298</v>
      </c>
      <c r="AW140" s="835">
        <v>1756991</v>
      </c>
      <c r="AX140" s="835">
        <v>5252695</v>
      </c>
      <c r="AY140" s="835">
        <v>11014726</v>
      </c>
      <c r="AZ140" s="835">
        <v>8278953</v>
      </c>
      <c r="BA140" s="835">
        <v>17207406</v>
      </c>
      <c r="BB140" s="835">
        <v>0</v>
      </c>
      <c r="BC140" s="835">
        <v>3228828</v>
      </c>
      <c r="BD140" s="835">
        <v>2376252</v>
      </c>
      <c r="BE140" s="835">
        <v>0</v>
      </c>
      <c r="BF140" s="835">
        <v>55959902</v>
      </c>
      <c r="BG140" s="835">
        <v>2905622</v>
      </c>
      <c r="BH140" s="835">
        <v>0</v>
      </c>
      <c r="BI140" s="835">
        <v>7860980</v>
      </c>
      <c r="BJ140" s="835">
        <v>7639016</v>
      </c>
      <c r="BK140" s="835">
        <v>5826128</v>
      </c>
      <c r="BL140" s="835">
        <v>13789127</v>
      </c>
      <c r="BM140" s="835">
        <v>8016600</v>
      </c>
      <c r="BN140" s="835">
        <v>0</v>
      </c>
      <c r="BO140" s="835">
        <v>22204594</v>
      </c>
      <c r="BP140" s="835">
        <v>11690143</v>
      </c>
      <c r="BQ140" s="835">
        <v>8607198</v>
      </c>
      <c r="BR140" s="835">
        <v>7970841</v>
      </c>
      <c r="BS140" s="835">
        <v>0</v>
      </c>
      <c r="BT140" s="835">
        <v>0</v>
      </c>
      <c r="BU140" s="835">
        <v>6804224</v>
      </c>
      <c r="BV140" s="835">
        <v>18063101</v>
      </c>
      <c r="BW140" s="835">
        <v>4134752</v>
      </c>
      <c r="BX140" s="835">
        <v>2177070</v>
      </c>
      <c r="BY140" s="835">
        <v>0</v>
      </c>
      <c r="BZ140" s="835">
        <v>0</v>
      </c>
      <c r="CA140" s="835">
        <v>57948967</v>
      </c>
      <c r="CB140" s="835">
        <v>0</v>
      </c>
    </row>
    <row r="141" spans="1:80" x14ac:dyDescent="0.25">
      <c r="A141" s="787">
        <v>382</v>
      </c>
      <c r="B141" s="846">
        <v>382</v>
      </c>
      <c r="C141" s="832" t="s">
        <v>121</v>
      </c>
      <c r="D141" s="860" t="s">
        <v>525</v>
      </c>
      <c r="E141" s="829">
        <v>0</v>
      </c>
      <c r="F141" s="798">
        <v>0</v>
      </c>
      <c r="G141" s="798">
        <v>0</v>
      </c>
      <c r="H141" s="798">
        <v>0</v>
      </c>
      <c r="I141" s="798">
        <v>0</v>
      </c>
      <c r="J141" s="798">
        <v>0</v>
      </c>
      <c r="K141" s="800">
        <v>0</v>
      </c>
      <c r="L141" s="835">
        <v>0</v>
      </c>
      <c r="M141" s="835">
        <v>0</v>
      </c>
      <c r="N141" s="830">
        <v>0</v>
      </c>
      <c r="O141" s="830">
        <v>0</v>
      </c>
      <c r="P141" s="830">
        <v>0</v>
      </c>
      <c r="Q141" s="830">
        <v>0</v>
      </c>
      <c r="R141" s="830">
        <v>0</v>
      </c>
      <c r="S141" s="830">
        <v>0</v>
      </c>
      <c r="T141" s="830">
        <v>11187072</v>
      </c>
      <c r="U141" s="830">
        <v>0</v>
      </c>
      <c r="V141" s="830">
        <v>53140789</v>
      </c>
      <c r="W141" s="830">
        <v>0</v>
      </c>
      <c r="X141" s="830">
        <v>0</v>
      </c>
      <c r="Y141" s="830">
        <v>0</v>
      </c>
      <c r="Z141" s="830">
        <v>0</v>
      </c>
      <c r="AA141" s="835">
        <v>2559233</v>
      </c>
      <c r="AB141" s="835">
        <v>991189</v>
      </c>
      <c r="AC141" s="835">
        <v>0</v>
      </c>
      <c r="AD141" s="835">
        <v>0</v>
      </c>
      <c r="AE141" s="835">
        <v>0</v>
      </c>
      <c r="AF141" s="835">
        <v>3567700</v>
      </c>
      <c r="AG141" s="835">
        <v>0</v>
      </c>
      <c r="AH141" s="835">
        <v>0</v>
      </c>
      <c r="AI141" s="835">
        <v>0</v>
      </c>
      <c r="AJ141" s="835">
        <v>0</v>
      </c>
      <c r="AK141" s="835">
        <v>11791261</v>
      </c>
      <c r="AL141" s="835">
        <v>0</v>
      </c>
      <c r="AM141" s="835">
        <v>0</v>
      </c>
      <c r="AN141" s="835">
        <v>0</v>
      </c>
      <c r="AO141" s="835">
        <v>0</v>
      </c>
      <c r="AP141" s="835">
        <v>0</v>
      </c>
      <c r="AQ141" s="835">
        <v>0</v>
      </c>
      <c r="AR141" s="835">
        <v>55262883</v>
      </c>
      <c r="AS141" s="835">
        <v>0</v>
      </c>
      <c r="AT141" s="835">
        <v>0</v>
      </c>
      <c r="AU141" s="835">
        <v>0</v>
      </c>
      <c r="AV141" s="835">
        <v>6464146</v>
      </c>
      <c r="AW141" s="835">
        <v>0</v>
      </c>
      <c r="AX141" s="835">
        <v>0</v>
      </c>
      <c r="AY141" s="835">
        <v>0</v>
      </c>
      <c r="AZ141" s="835">
        <v>0</v>
      </c>
      <c r="BA141" s="835">
        <v>6872319</v>
      </c>
      <c r="BB141" s="835">
        <v>0</v>
      </c>
      <c r="BC141" s="835">
        <v>0</v>
      </c>
      <c r="BD141" s="835">
        <v>6543443</v>
      </c>
      <c r="BE141" s="835">
        <v>0</v>
      </c>
      <c r="BF141" s="835">
        <v>26115141</v>
      </c>
      <c r="BG141" s="835">
        <v>430478</v>
      </c>
      <c r="BH141" s="835">
        <v>0</v>
      </c>
      <c r="BI141" s="835">
        <v>0</v>
      </c>
      <c r="BJ141" s="835">
        <v>0</v>
      </c>
      <c r="BK141" s="835">
        <v>0</v>
      </c>
      <c r="BL141" s="835">
        <v>4658477</v>
      </c>
      <c r="BM141" s="835">
        <v>0</v>
      </c>
      <c r="BN141" s="835">
        <v>0</v>
      </c>
      <c r="BO141" s="835">
        <v>0</v>
      </c>
      <c r="BP141" s="835">
        <v>0</v>
      </c>
      <c r="BQ141" s="835">
        <v>0</v>
      </c>
      <c r="BR141" s="835">
        <v>0</v>
      </c>
      <c r="BS141" s="835">
        <v>0</v>
      </c>
      <c r="BT141" s="835">
        <v>0</v>
      </c>
      <c r="BU141" s="835">
        <v>0</v>
      </c>
      <c r="BV141" s="835">
        <v>0</v>
      </c>
      <c r="BW141" s="835">
        <v>0</v>
      </c>
      <c r="BX141" s="835">
        <v>0</v>
      </c>
      <c r="BY141" s="835">
        <v>0</v>
      </c>
      <c r="BZ141" s="835">
        <v>0</v>
      </c>
      <c r="CA141" s="835">
        <v>0</v>
      </c>
      <c r="CB141" s="835">
        <v>0</v>
      </c>
    </row>
    <row r="142" spans="1:80" x14ac:dyDescent="0.25">
      <c r="A142" s="787">
        <v>383</v>
      </c>
      <c r="B142" s="846">
        <v>383</v>
      </c>
      <c r="C142" s="832" t="s">
        <v>288</v>
      </c>
      <c r="D142" s="860" t="s">
        <v>526</v>
      </c>
      <c r="E142" s="829">
        <v>0</v>
      </c>
      <c r="F142" s="798">
        <v>0</v>
      </c>
      <c r="G142" s="798">
        <v>0</v>
      </c>
      <c r="H142" s="798">
        <v>0</v>
      </c>
      <c r="I142" s="798">
        <v>0</v>
      </c>
      <c r="J142" s="798">
        <v>0</v>
      </c>
      <c r="K142" s="800">
        <v>0</v>
      </c>
      <c r="L142" s="835">
        <v>0</v>
      </c>
      <c r="M142" s="835">
        <v>0</v>
      </c>
      <c r="N142" s="830">
        <v>0</v>
      </c>
      <c r="O142" s="830">
        <v>783</v>
      </c>
      <c r="P142" s="830">
        <v>0</v>
      </c>
      <c r="Q142" s="830">
        <v>0</v>
      </c>
      <c r="R142" s="830">
        <v>0</v>
      </c>
      <c r="S142" s="830">
        <v>0</v>
      </c>
      <c r="T142" s="830">
        <v>0</v>
      </c>
      <c r="U142" s="830">
        <v>0</v>
      </c>
      <c r="V142" s="830">
        <v>0</v>
      </c>
      <c r="W142" s="830">
        <v>0</v>
      </c>
      <c r="X142" s="830">
        <v>0</v>
      </c>
      <c r="Y142" s="830">
        <v>0</v>
      </c>
      <c r="Z142" s="830">
        <v>0</v>
      </c>
      <c r="AA142" s="835">
        <v>0</v>
      </c>
      <c r="AB142" s="835">
        <v>0</v>
      </c>
      <c r="AC142" s="835">
        <v>0</v>
      </c>
      <c r="AD142" s="835">
        <v>0</v>
      </c>
      <c r="AE142" s="835">
        <v>0</v>
      </c>
      <c r="AF142" s="835">
        <v>0</v>
      </c>
      <c r="AG142" s="835">
        <v>0</v>
      </c>
      <c r="AH142" s="835">
        <v>0</v>
      </c>
      <c r="AI142" s="835">
        <v>0</v>
      </c>
      <c r="AJ142" s="835">
        <v>0</v>
      </c>
      <c r="AK142" s="835">
        <v>0</v>
      </c>
      <c r="AL142" s="835">
        <v>0</v>
      </c>
      <c r="AM142" s="835">
        <v>0</v>
      </c>
      <c r="AN142" s="835">
        <v>0</v>
      </c>
      <c r="AO142" s="835">
        <v>0</v>
      </c>
      <c r="AP142" s="835">
        <v>0</v>
      </c>
      <c r="AQ142" s="835">
        <v>0</v>
      </c>
      <c r="AR142" s="835">
        <v>0</v>
      </c>
      <c r="AS142" s="835">
        <v>2000</v>
      </c>
      <c r="AT142" s="835">
        <v>0</v>
      </c>
      <c r="AU142" s="835">
        <v>0</v>
      </c>
      <c r="AV142" s="835">
        <v>0</v>
      </c>
      <c r="AW142" s="835">
        <v>0</v>
      </c>
      <c r="AX142" s="835">
        <v>0</v>
      </c>
      <c r="AY142" s="835">
        <v>0</v>
      </c>
      <c r="AZ142" s="835">
        <v>0</v>
      </c>
      <c r="BA142" s="835">
        <v>0</v>
      </c>
      <c r="BB142" s="835">
        <v>0</v>
      </c>
      <c r="BC142" s="835">
        <v>0</v>
      </c>
      <c r="BD142" s="835">
        <v>0</v>
      </c>
      <c r="BE142" s="835">
        <v>0</v>
      </c>
      <c r="BF142" s="835">
        <v>0</v>
      </c>
      <c r="BG142" s="835">
        <v>0</v>
      </c>
      <c r="BH142" s="835">
        <v>0</v>
      </c>
      <c r="BI142" s="835">
        <v>0</v>
      </c>
      <c r="BJ142" s="835">
        <v>0</v>
      </c>
      <c r="BK142" s="835">
        <v>0</v>
      </c>
      <c r="BL142" s="835">
        <v>0</v>
      </c>
      <c r="BM142" s="835">
        <v>0</v>
      </c>
      <c r="BN142" s="835">
        <v>0</v>
      </c>
      <c r="BO142" s="835">
        <v>0</v>
      </c>
      <c r="BP142" s="835">
        <v>0</v>
      </c>
      <c r="BQ142" s="835">
        <v>0</v>
      </c>
      <c r="BR142" s="835">
        <v>0</v>
      </c>
      <c r="BS142" s="835">
        <v>0</v>
      </c>
      <c r="BT142" s="835">
        <v>0</v>
      </c>
      <c r="BU142" s="835">
        <v>0</v>
      </c>
      <c r="BV142" s="835">
        <v>0</v>
      </c>
      <c r="BW142" s="835">
        <v>25000</v>
      </c>
      <c r="BX142" s="835">
        <v>0</v>
      </c>
      <c r="BY142" s="835">
        <v>0</v>
      </c>
      <c r="BZ142" s="835">
        <v>0</v>
      </c>
      <c r="CA142" s="835">
        <v>0</v>
      </c>
      <c r="CB142" s="835">
        <v>0</v>
      </c>
    </row>
    <row r="143" spans="1:80" ht="30" x14ac:dyDescent="0.25">
      <c r="A143" s="787">
        <v>384</v>
      </c>
      <c r="B143" s="846">
        <v>384</v>
      </c>
      <c r="C143" s="832" t="s">
        <v>131</v>
      </c>
      <c r="D143" s="860" t="s">
        <v>527</v>
      </c>
      <c r="E143" s="829">
        <v>0</v>
      </c>
      <c r="F143" s="798">
        <v>0</v>
      </c>
      <c r="G143" s="798">
        <v>0</v>
      </c>
      <c r="H143" s="798">
        <v>0</v>
      </c>
      <c r="I143" s="798">
        <v>0</v>
      </c>
      <c r="J143" s="798">
        <v>0</v>
      </c>
      <c r="K143" s="800">
        <v>0</v>
      </c>
      <c r="L143" s="835">
        <v>0</v>
      </c>
      <c r="M143" s="835">
        <v>0</v>
      </c>
      <c r="N143" s="830">
        <v>0</v>
      </c>
      <c r="O143" s="830">
        <v>0</v>
      </c>
      <c r="P143" s="830">
        <v>0</v>
      </c>
      <c r="Q143" s="830">
        <v>0</v>
      </c>
      <c r="R143" s="830">
        <v>0</v>
      </c>
      <c r="S143" s="830">
        <v>0</v>
      </c>
      <c r="T143" s="830">
        <v>0</v>
      </c>
      <c r="U143" s="830">
        <v>0</v>
      </c>
      <c r="V143" s="830">
        <v>0</v>
      </c>
      <c r="W143" s="830">
        <v>0</v>
      </c>
      <c r="X143" s="830">
        <v>0</v>
      </c>
      <c r="Y143" s="830">
        <v>0</v>
      </c>
      <c r="Z143" s="830">
        <v>0</v>
      </c>
      <c r="AA143" s="835">
        <v>0</v>
      </c>
      <c r="AB143" s="835">
        <v>0</v>
      </c>
      <c r="AC143" s="835">
        <v>0</v>
      </c>
      <c r="AD143" s="835">
        <v>0</v>
      </c>
      <c r="AE143" s="835">
        <v>0</v>
      </c>
      <c r="AF143" s="835">
        <v>0</v>
      </c>
      <c r="AG143" s="835">
        <v>0</v>
      </c>
      <c r="AH143" s="835">
        <v>0</v>
      </c>
      <c r="AI143" s="835">
        <v>0</v>
      </c>
      <c r="AJ143" s="835">
        <v>0</v>
      </c>
      <c r="AK143" s="835">
        <v>0</v>
      </c>
      <c r="AL143" s="835">
        <v>0</v>
      </c>
      <c r="AM143" s="835">
        <v>0</v>
      </c>
      <c r="AN143" s="835">
        <v>0</v>
      </c>
      <c r="AO143" s="835">
        <v>0</v>
      </c>
      <c r="AP143" s="835">
        <v>0</v>
      </c>
      <c r="AQ143" s="835">
        <v>0</v>
      </c>
      <c r="AR143" s="835">
        <v>0</v>
      </c>
      <c r="AS143" s="835">
        <v>0</v>
      </c>
      <c r="AT143" s="835">
        <v>0</v>
      </c>
      <c r="AU143" s="835">
        <v>0</v>
      </c>
      <c r="AV143" s="835">
        <v>0</v>
      </c>
      <c r="AW143" s="835">
        <v>0</v>
      </c>
      <c r="AX143" s="835">
        <v>0</v>
      </c>
      <c r="AY143" s="835">
        <v>0</v>
      </c>
      <c r="AZ143" s="835">
        <v>0</v>
      </c>
      <c r="BA143" s="835">
        <v>0</v>
      </c>
      <c r="BB143" s="835">
        <v>0</v>
      </c>
      <c r="BC143" s="835">
        <v>0</v>
      </c>
      <c r="BD143" s="835">
        <v>0</v>
      </c>
      <c r="BE143" s="835">
        <v>0</v>
      </c>
      <c r="BF143" s="835">
        <v>0</v>
      </c>
      <c r="BG143" s="835">
        <v>0</v>
      </c>
      <c r="BH143" s="835">
        <v>0</v>
      </c>
      <c r="BI143" s="835">
        <v>0</v>
      </c>
      <c r="BJ143" s="835">
        <v>0</v>
      </c>
      <c r="BK143" s="835">
        <v>0</v>
      </c>
      <c r="BL143" s="835">
        <v>0</v>
      </c>
      <c r="BM143" s="835">
        <v>0</v>
      </c>
      <c r="BN143" s="835">
        <v>0</v>
      </c>
      <c r="BO143" s="835">
        <v>0</v>
      </c>
      <c r="BP143" s="835">
        <v>0</v>
      </c>
      <c r="BQ143" s="835">
        <v>0</v>
      </c>
      <c r="BR143" s="835">
        <v>0</v>
      </c>
      <c r="BS143" s="835">
        <v>0</v>
      </c>
      <c r="BT143" s="835">
        <v>0</v>
      </c>
      <c r="BU143" s="835">
        <v>0</v>
      </c>
      <c r="BV143" s="835">
        <v>0</v>
      </c>
      <c r="BW143" s="835">
        <v>0</v>
      </c>
      <c r="BX143" s="835">
        <v>0</v>
      </c>
      <c r="BY143" s="835">
        <v>0</v>
      </c>
      <c r="BZ143" s="835">
        <v>0</v>
      </c>
      <c r="CA143" s="835">
        <v>0</v>
      </c>
      <c r="CB143" s="835">
        <v>0</v>
      </c>
    </row>
    <row r="144" spans="1:80" s="388" customFormat="1" x14ac:dyDescent="0.25">
      <c r="A144" s="787">
        <v>385</v>
      </c>
      <c r="B144" s="846">
        <v>385</v>
      </c>
      <c r="C144" s="832" t="s">
        <v>122</v>
      </c>
      <c r="D144" s="860" t="s">
        <v>528</v>
      </c>
      <c r="E144" s="829">
        <v>4402198</v>
      </c>
      <c r="F144" s="798">
        <v>75949908</v>
      </c>
      <c r="G144" s="798">
        <v>767850</v>
      </c>
      <c r="H144" s="798">
        <v>148788563</v>
      </c>
      <c r="I144" s="798">
        <v>11827504</v>
      </c>
      <c r="J144" s="798">
        <v>649517</v>
      </c>
      <c r="K144" s="800">
        <v>3621110</v>
      </c>
      <c r="L144" s="835">
        <v>4282130</v>
      </c>
      <c r="M144" s="835">
        <v>216623149</v>
      </c>
      <c r="N144" s="830">
        <v>314848</v>
      </c>
      <c r="O144" s="830">
        <v>2085532</v>
      </c>
      <c r="P144" s="830">
        <v>2688444</v>
      </c>
      <c r="Q144" s="830">
        <v>177281377</v>
      </c>
      <c r="R144" s="830">
        <v>53205700</v>
      </c>
      <c r="S144" s="830">
        <v>14446961</v>
      </c>
      <c r="T144" s="830">
        <v>20063521</v>
      </c>
      <c r="U144" s="830">
        <v>621668</v>
      </c>
      <c r="V144" s="830">
        <v>42505708</v>
      </c>
      <c r="W144" s="830">
        <v>270070</v>
      </c>
      <c r="X144" s="830">
        <v>36229871</v>
      </c>
      <c r="Y144" s="830">
        <v>96575206</v>
      </c>
      <c r="Z144" s="830">
        <v>17536626</v>
      </c>
      <c r="AA144" s="835">
        <v>4198271</v>
      </c>
      <c r="AB144" s="835">
        <v>11916197</v>
      </c>
      <c r="AC144" s="835">
        <v>1668132</v>
      </c>
      <c r="AD144" s="835">
        <v>548879</v>
      </c>
      <c r="AE144" s="835">
        <v>3102140</v>
      </c>
      <c r="AF144" s="835">
        <v>6496197</v>
      </c>
      <c r="AG144" s="835">
        <v>1320079</v>
      </c>
      <c r="AH144" s="835">
        <v>165459</v>
      </c>
      <c r="AI144" s="835">
        <v>1468862</v>
      </c>
      <c r="AJ144" s="835">
        <v>3603230</v>
      </c>
      <c r="AK144" s="835">
        <v>18967116</v>
      </c>
      <c r="AL144" s="835">
        <v>829048</v>
      </c>
      <c r="AM144" s="835">
        <v>139239</v>
      </c>
      <c r="AN144" s="835">
        <v>83382107</v>
      </c>
      <c r="AO144" s="835">
        <v>36766080</v>
      </c>
      <c r="AP144" s="835">
        <v>679513</v>
      </c>
      <c r="AQ144" s="835">
        <v>18021333</v>
      </c>
      <c r="AR144" s="835">
        <v>70038974</v>
      </c>
      <c r="AS144" s="835">
        <v>4959600</v>
      </c>
      <c r="AT144" s="835">
        <v>1998640</v>
      </c>
      <c r="AU144" s="835">
        <v>11002284</v>
      </c>
      <c r="AV144" s="835">
        <v>26685401</v>
      </c>
      <c r="AW144" s="835">
        <v>826687</v>
      </c>
      <c r="AX144" s="835">
        <v>1552959</v>
      </c>
      <c r="AY144" s="835">
        <v>16403908</v>
      </c>
      <c r="AZ144" s="835">
        <v>5184843</v>
      </c>
      <c r="BA144" s="835">
        <v>8652995</v>
      </c>
      <c r="BB144" s="835">
        <v>181567</v>
      </c>
      <c r="BC144" s="835">
        <v>3154742</v>
      </c>
      <c r="BD144" s="835">
        <v>2848996</v>
      </c>
      <c r="BE144" s="835">
        <v>396936</v>
      </c>
      <c r="BF144" s="835">
        <v>56737622</v>
      </c>
      <c r="BG144" s="835">
        <v>485680</v>
      </c>
      <c r="BH144" s="835">
        <v>205201</v>
      </c>
      <c r="BI144" s="835">
        <v>5424435</v>
      </c>
      <c r="BJ144" s="835">
        <v>11019568</v>
      </c>
      <c r="BK144" s="835">
        <v>951490</v>
      </c>
      <c r="BL144" s="835">
        <v>14969025</v>
      </c>
      <c r="BM144" s="835">
        <v>14014548</v>
      </c>
      <c r="BN144" s="835">
        <v>170020</v>
      </c>
      <c r="BO144" s="835">
        <v>14373952</v>
      </c>
      <c r="BP144" s="835">
        <v>6762788</v>
      </c>
      <c r="BQ144" s="835">
        <v>2353863</v>
      </c>
      <c r="BR144" s="835">
        <v>3164472</v>
      </c>
      <c r="BS144" s="835">
        <v>6733510</v>
      </c>
      <c r="BT144" s="835">
        <v>275372222</v>
      </c>
      <c r="BU144" s="835">
        <v>4932381</v>
      </c>
      <c r="BV144" s="835">
        <v>4900392</v>
      </c>
      <c r="BW144" s="835">
        <v>1642230</v>
      </c>
      <c r="BX144" s="835">
        <v>2668094</v>
      </c>
      <c r="BY144" s="835">
        <v>175560</v>
      </c>
      <c r="BZ144" s="835">
        <v>213924</v>
      </c>
      <c r="CA144" s="835">
        <v>70357189</v>
      </c>
      <c r="CB144" s="835">
        <v>300926</v>
      </c>
    </row>
    <row r="145" spans="1:80" x14ac:dyDescent="0.25">
      <c r="A145" s="787">
        <v>386</v>
      </c>
      <c r="B145" s="846">
        <v>386</v>
      </c>
      <c r="C145" s="832" t="s">
        <v>261</v>
      </c>
      <c r="D145" s="860" t="s">
        <v>529</v>
      </c>
      <c r="E145" s="829">
        <v>0</v>
      </c>
      <c r="F145" s="798">
        <v>5027173</v>
      </c>
      <c r="G145" s="798">
        <v>0</v>
      </c>
      <c r="H145" s="798">
        <v>0</v>
      </c>
      <c r="I145" s="798">
        <v>0</v>
      </c>
      <c r="J145" s="798">
        <v>0</v>
      </c>
      <c r="K145" s="800">
        <v>0</v>
      </c>
      <c r="L145" s="835">
        <v>0</v>
      </c>
      <c r="M145" s="835">
        <v>0</v>
      </c>
      <c r="N145" s="830">
        <v>0</v>
      </c>
      <c r="O145" s="830">
        <v>0</v>
      </c>
      <c r="P145" s="830">
        <v>0</v>
      </c>
      <c r="Q145" s="830">
        <v>0</v>
      </c>
      <c r="R145" s="830">
        <v>0</v>
      </c>
      <c r="S145" s="830">
        <v>0</v>
      </c>
      <c r="T145" s="830">
        <v>2358057</v>
      </c>
      <c r="U145" s="830">
        <v>0</v>
      </c>
      <c r="V145" s="830">
        <v>2470000</v>
      </c>
      <c r="W145" s="830">
        <v>0</v>
      </c>
      <c r="X145" s="830">
        <v>0</v>
      </c>
      <c r="Y145" s="830">
        <v>0</v>
      </c>
      <c r="Z145" s="830">
        <v>0</v>
      </c>
      <c r="AA145" s="835">
        <v>90000</v>
      </c>
      <c r="AB145" s="835">
        <v>0</v>
      </c>
      <c r="AC145" s="835">
        <v>0</v>
      </c>
      <c r="AD145" s="835">
        <v>0</v>
      </c>
      <c r="AE145" s="835">
        <v>0</v>
      </c>
      <c r="AF145" s="835">
        <v>0</v>
      </c>
      <c r="AG145" s="835">
        <v>0</v>
      </c>
      <c r="AH145" s="835">
        <v>0</v>
      </c>
      <c r="AI145" s="835">
        <v>0</v>
      </c>
      <c r="AJ145" s="835">
        <v>0</v>
      </c>
      <c r="AK145" s="835">
        <v>3120429</v>
      </c>
      <c r="AL145" s="835">
        <v>0</v>
      </c>
      <c r="AM145" s="835">
        <v>0</v>
      </c>
      <c r="AN145" s="835">
        <v>0</v>
      </c>
      <c r="AO145" s="835">
        <v>0</v>
      </c>
      <c r="AP145" s="835">
        <v>0</v>
      </c>
      <c r="AQ145" s="835">
        <v>0</v>
      </c>
      <c r="AR145" s="835">
        <v>3114330</v>
      </c>
      <c r="AS145" s="835">
        <v>0</v>
      </c>
      <c r="AT145" s="835">
        <v>1053</v>
      </c>
      <c r="AU145" s="835">
        <v>0</v>
      </c>
      <c r="AV145" s="835">
        <v>405071</v>
      </c>
      <c r="AW145" s="835">
        <v>0</v>
      </c>
      <c r="AX145" s="835">
        <v>0</v>
      </c>
      <c r="AY145" s="835">
        <v>30000</v>
      </c>
      <c r="AZ145" s="835">
        <v>15000</v>
      </c>
      <c r="BA145" s="835">
        <v>368724</v>
      </c>
      <c r="BB145" s="835">
        <v>0</v>
      </c>
      <c r="BC145" s="835">
        <v>0</v>
      </c>
      <c r="BD145" s="835">
        <v>0</v>
      </c>
      <c r="BE145" s="835">
        <v>0</v>
      </c>
      <c r="BF145" s="835">
        <v>2374542</v>
      </c>
      <c r="BG145" s="835">
        <v>0</v>
      </c>
      <c r="BH145" s="835">
        <v>0</v>
      </c>
      <c r="BI145" s="835">
        <v>0</v>
      </c>
      <c r="BJ145" s="835">
        <v>0</v>
      </c>
      <c r="BK145" s="835">
        <v>0</v>
      </c>
      <c r="BL145" s="835">
        <v>0</v>
      </c>
      <c r="BM145" s="835">
        <v>0</v>
      </c>
      <c r="BN145" s="835">
        <v>0</v>
      </c>
      <c r="BO145" s="835">
        <v>102753</v>
      </c>
      <c r="BP145" s="835">
        <v>0</v>
      </c>
      <c r="BQ145" s="835">
        <v>0</v>
      </c>
      <c r="BR145" s="835">
        <v>0</v>
      </c>
      <c r="BS145" s="835">
        <v>0</v>
      </c>
      <c r="BT145" s="835">
        <v>0</v>
      </c>
      <c r="BU145" s="835">
        <v>3464</v>
      </c>
      <c r="BV145" s="835">
        <v>0</v>
      </c>
      <c r="BW145" s="835">
        <v>0</v>
      </c>
      <c r="BX145" s="835">
        <v>0</v>
      </c>
      <c r="BY145" s="835">
        <v>0</v>
      </c>
      <c r="BZ145" s="835">
        <v>0</v>
      </c>
      <c r="CA145" s="835">
        <v>0</v>
      </c>
      <c r="CB145" s="835">
        <v>0</v>
      </c>
    </row>
    <row r="146" spans="1:80" x14ac:dyDescent="0.25">
      <c r="A146" s="787">
        <v>387</v>
      </c>
      <c r="B146" s="846">
        <v>387</v>
      </c>
      <c r="C146" s="832" t="s">
        <v>262</v>
      </c>
      <c r="D146" s="860" t="s">
        <v>530</v>
      </c>
      <c r="E146" s="829">
        <v>0</v>
      </c>
      <c r="F146" s="798">
        <v>4974597</v>
      </c>
      <c r="G146" s="798">
        <v>0</v>
      </c>
      <c r="H146" s="798">
        <v>1354449</v>
      </c>
      <c r="I146" s="798">
        <v>0</v>
      </c>
      <c r="J146" s="798">
        <v>0</v>
      </c>
      <c r="K146" s="800">
        <v>227628</v>
      </c>
      <c r="L146" s="835">
        <v>0</v>
      </c>
      <c r="M146" s="835">
        <v>2201200</v>
      </c>
      <c r="N146" s="830">
        <v>0</v>
      </c>
      <c r="O146" s="830">
        <v>0</v>
      </c>
      <c r="P146" s="830">
        <v>0</v>
      </c>
      <c r="Q146" s="830">
        <v>220579</v>
      </c>
      <c r="R146" s="830">
        <v>0</v>
      </c>
      <c r="S146" s="830">
        <v>0</v>
      </c>
      <c r="T146" s="830">
        <v>0</v>
      </c>
      <c r="U146" s="830">
        <v>0</v>
      </c>
      <c r="V146" s="830">
        <v>0</v>
      </c>
      <c r="W146" s="830">
        <v>0</v>
      </c>
      <c r="X146" s="830">
        <v>0</v>
      </c>
      <c r="Y146" s="830">
        <v>0</v>
      </c>
      <c r="Z146" s="830">
        <v>0</v>
      </c>
      <c r="AA146" s="835">
        <v>0</v>
      </c>
      <c r="AB146" s="835">
        <v>0</v>
      </c>
      <c r="AC146" s="835">
        <v>0</v>
      </c>
      <c r="AD146" s="835">
        <v>0</v>
      </c>
      <c r="AE146" s="835">
        <v>0</v>
      </c>
      <c r="AF146" s="835">
        <v>0</v>
      </c>
      <c r="AG146" s="835">
        <v>0</v>
      </c>
      <c r="AH146" s="835">
        <v>0</v>
      </c>
      <c r="AI146" s="835">
        <v>0</v>
      </c>
      <c r="AJ146" s="835">
        <v>1000</v>
      </c>
      <c r="AK146" s="835">
        <v>0</v>
      </c>
      <c r="AL146" s="835">
        <v>0</v>
      </c>
      <c r="AM146" s="835">
        <v>0</v>
      </c>
      <c r="AN146" s="835">
        <v>0</v>
      </c>
      <c r="AO146" s="835">
        <v>0</v>
      </c>
      <c r="AP146" s="835">
        <v>0</v>
      </c>
      <c r="AQ146" s="835">
        <v>0</v>
      </c>
      <c r="AR146" s="835">
        <v>888029</v>
      </c>
      <c r="AS146" s="835">
        <v>0</v>
      </c>
      <c r="AT146" s="835">
        <v>0</v>
      </c>
      <c r="AU146" s="835">
        <v>0</v>
      </c>
      <c r="AV146" s="835">
        <v>0</v>
      </c>
      <c r="AW146" s="835">
        <v>0</v>
      </c>
      <c r="AX146" s="835">
        <v>0</v>
      </c>
      <c r="AY146" s="835">
        <v>0</v>
      </c>
      <c r="AZ146" s="835">
        <v>0</v>
      </c>
      <c r="BA146" s="835">
        <v>0</v>
      </c>
      <c r="BB146" s="835">
        <v>0</v>
      </c>
      <c r="BC146" s="835">
        <v>0</v>
      </c>
      <c r="BD146" s="835">
        <v>0</v>
      </c>
      <c r="BE146" s="835">
        <v>0</v>
      </c>
      <c r="BF146" s="835">
        <v>0</v>
      </c>
      <c r="BG146" s="835">
        <v>0</v>
      </c>
      <c r="BH146" s="835">
        <v>0</v>
      </c>
      <c r="BI146" s="835">
        <v>0</v>
      </c>
      <c r="BJ146" s="835">
        <v>0</v>
      </c>
      <c r="BK146" s="835">
        <v>0</v>
      </c>
      <c r="BL146" s="835">
        <v>15606</v>
      </c>
      <c r="BM146" s="835">
        <v>0</v>
      </c>
      <c r="BN146" s="835">
        <v>0</v>
      </c>
      <c r="BO146" s="835">
        <v>0</v>
      </c>
      <c r="BP146" s="835">
        <v>0</v>
      </c>
      <c r="BQ146" s="835">
        <v>0</v>
      </c>
      <c r="BR146" s="835">
        <v>0</v>
      </c>
      <c r="BS146" s="835">
        <v>0</v>
      </c>
      <c r="BT146" s="835">
        <v>0</v>
      </c>
      <c r="BU146" s="835">
        <v>0</v>
      </c>
      <c r="BV146" s="835">
        <v>16900</v>
      </c>
      <c r="BW146" s="835">
        <v>0</v>
      </c>
      <c r="BX146" s="835">
        <v>0</v>
      </c>
      <c r="BY146" s="835">
        <v>0</v>
      </c>
      <c r="BZ146" s="835">
        <v>0</v>
      </c>
      <c r="CA146" s="835">
        <v>2003</v>
      </c>
      <c r="CB146" s="835">
        <v>0</v>
      </c>
    </row>
    <row r="147" spans="1:80" x14ac:dyDescent="0.25">
      <c r="A147" s="787">
        <v>388</v>
      </c>
      <c r="B147" s="846">
        <v>388</v>
      </c>
      <c r="C147" s="832" t="s">
        <v>256</v>
      </c>
      <c r="D147" s="860" t="s">
        <v>531</v>
      </c>
      <c r="E147" s="829">
        <v>1886924</v>
      </c>
      <c r="F147" s="798">
        <v>10717053</v>
      </c>
      <c r="G147" s="798">
        <v>309475</v>
      </c>
      <c r="H147" s="798">
        <v>43349386</v>
      </c>
      <c r="I147" s="798">
        <v>3716958</v>
      </c>
      <c r="J147" s="798">
        <v>265107</v>
      </c>
      <c r="K147" s="800">
        <v>1030846</v>
      </c>
      <c r="L147" s="835">
        <v>1664323</v>
      </c>
      <c r="M147" s="835">
        <v>43332911</v>
      </c>
      <c r="N147" s="830">
        <v>88725</v>
      </c>
      <c r="O147" s="830">
        <v>991390</v>
      </c>
      <c r="P147" s="830">
        <v>1468349</v>
      </c>
      <c r="Q147" s="830">
        <v>31226004</v>
      </c>
      <c r="R147" s="830">
        <v>14872963</v>
      </c>
      <c r="S147" s="830">
        <v>6247084</v>
      </c>
      <c r="T147" s="830">
        <v>14125811</v>
      </c>
      <c r="U147" s="830">
        <v>140205</v>
      </c>
      <c r="V147" s="830">
        <v>23035709</v>
      </c>
      <c r="W147" s="830">
        <v>27808</v>
      </c>
      <c r="X147" s="830">
        <v>9963871</v>
      </c>
      <c r="Y147" s="830">
        <v>13978130</v>
      </c>
      <c r="Z147" s="830">
        <v>4658012</v>
      </c>
      <c r="AA147" s="835">
        <v>1637293</v>
      </c>
      <c r="AB147" s="835">
        <v>4454179</v>
      </c>
      <c r="AC147" s="835">
        <v>1098626</v>
      </c>
      <c r="AD147" s="835">
        <v>258635</v>
      </c>
      <c r="AE147" s="835">
        <v>1012088</v>
      </c>
      <c r="AF147" s="835">
        <v>3248796</v>
      </c>
      <c r="AG147" s="835">
        <v>126601</v>
      </c>
      <c r="AH147" s="835">
        <v>38374</v>
      </c>
      <c r="AI147" s="835">
        <v>155661</v>
      </c>
      <c r="AJ147" s="835">
        <v>2470254</v>
      </c>
      <c r="AK147" s="835">
        <v>7214881</v>
      </c>
      <c r="AL147" s="835">
        <v>184316</v>
      </c>
      <c r="AM147" s="835">
        <v>22963</v>
      </c>
      <c r="AN147" s="835">
        <v>14001497</v>
      </c>
      <c r="AO147" s="835">
        <v>17557762</v>
      </c>
      <c r="AP147" s="835">
        <v>283848</v>
      </c>
      <c r="AQ147" s="835">
        <v>3789607</v>
      </c>
      <c r="AR147" s="835">
        <v>22115774</v>
      </c>
      <c r="AS147" s="835">
        <v>2499349</v>
      </c>
      <c r="AT147" s="835">
        <v>538931</v>
      </c>
      <c r="AU147" s="835">
        <v>3956580</v>
      </c>
      <c r="AV147" s="835">
        <v>11106249</v>
      </c>
      <c r="AW147" s="835">
        <v>86097</v>
      </c>
      <c r="AX147" s="835">
        <v>566601</v>
      </c>
      <c r="AY147" s="835">
        <v>2861011</v>
      </c>
      <c r="AZ147" s="835">
        <v>3309878</v>
      </c>
      <c r="BA147" s="835">
        <v>3637315</v>
      </c>
      <c r="BB147" s="835">
        <v>108364</v>
      </c>
      <c r="BC147" s="835">
        <v>2040369</v>
      </c>
      <c r="BD147" s="835">
        <v>396623</v>
      </c>
      <c r="BE147" s="835">
        <v>76985</v>
      </c>
      <c r="BF147" s="835">
        <v>30962778</v>
      </c>
      <c r="BG147" s="835">
        <v>289202</v>
      </c>
      <c r="BH147" s="835">
        <v>53851</v>
      </c>
      <c r="BI147" s="835">
        <v>3548809</v>
      </c>
      <c r="BJ147" s="835">
        <v>2320365</v>
      </c>
      <c r="BK147" s="835">
        <v>541978</v>
      </c>
      <c r="BL147" s="835">
        <v>8459533</v>
      </c>
      <c r="BM147" s="835">
        <v>4155449</v>
      </c>
      <c r="BN147" s="835">
        <v>33210</v>
      </c>
      <c r="BO147" s="835">
        <v>6682098</v>
      </c>
      <c r="BP147" s="835">
        <v>1594764</v>
      </c>
      <c r="BQ147" s="835">
        <v>826773</v>
      </c>
      <c r="BR147" s="835">
        <v>1937283</v>
      </c>
      <c r="BS147" s="835">
        <v>1230399</v>
      </c>
      <c r="BT147" s="835">
        <v>20785050</v>
      </c>
      <c r="BU147" s="835">
        <v>1907280</v>
      </c>
      <c r="BV147" s="835">
        <v>2642556</v>
      </c>
      <c r="BW147" s="835">
        <v>811412</v>
      </c>
      <c r="BX147" s="835">
        <v>657748</v>
      </c>
      <c r="BY147" s="835">
        <v>28332</v>
      </c>
      <c r="BZ147" s="835">
        <v>26543</v>
      </c>
      <c r="CA147" s="835">
        <v>16163256</v>
      </c>
      <c r="CB147" s="835">
        <v>63953</v>
      </c>
    </row>
    <row r="148" spans="1:80" x14ac:dyDescent="0.25">
      <c r="A148" s="787">
        <v>389</v>
      </c>
      <c r="B148" s="846">
        <v>389</v>
      </c>
      <c r="C148" s="832" t="s">
        <v>263</v>
      </c>
      <c r="D148" s="860" t="s">
        <v>532</v>
      </c>
      <c r="E148" s="829">
        <v>0</v>
      </c>
      <c r="F148" s="798">
        <v>0</v>
      </c>
      <c r="G148" s="798">
        <v>0</v>
      </c>
      <c r="H148" s="798">
        <v>0</v>
      </c>
      <c r="I148" s="798">
        <v>0</v>
      </c>
      <c r="J148" s="798">
        <v>0</v>
      </c>
      <c r="K148" s="800">
        <v>0</v>
      </c>
      <c r="L148" s="835">
        <v>0</v>
      </c>
      <c r="M148" s="835">
        <v>0</v>
      </c>
      <c r="N148" s="830">
        <v>0</v>
      </c>
      <c r="O148" s="830">
        <v>0</v>
      </c>
      <c r="P148" s="830">
        <v>0</v>
      </c>
      <c r="Q148" s="830">
        <v>0</v>
      </c>
      <c r="R148" s="830">
        <v>0</v>
      </c>
      <c r="S148" s="830">
        <v>0</v>
      </c>
      <c r="T148" s="830">
        <v>0</v>
      </c>
      <c r="U148" s="830">
        <v>0</v>
      </c>
      <c r="V148" s="830">
        <v>0</v>
      </c>
      <c r="W148" s="830">
        <v>0</v>
      </c>
      <c r="X148" s="830">
        <v>0</v>
      </c>
      <c r="Y148" s="830">
        <v>0</v>
      </c>
      <c r="Z148" s="830">
        <v>0</v>
      </c>
      <c r="AA148" s="835">
        <v>0</v>
      </c>
      <c r="AB148" s="835">
        <v>0</v>
      </c>
      <c r="AC148" s="835">
        <v>0</v>
      </c>
      <c r="AD148" s="835">
        <v>0</v>
      </c>
      <c r="AE148" s="835">
        <v>0</v>
      </c>
      <c r="AF148" s="835">
        <v>0</v>
      </c>
      <c r="AG148" s="835">
        <v>0</v>
      </c>
      <c r="AH148" s="835">
        <v>0</v>
      </c>
      <c r="AI148" s="835">
        <v>0</v>
      </c>
      <c r="AJ148" s="835">
        <v>0</v>
      </c>
      <c r="AK148" s="835">
        <v>-116630</v>
      </c>
      <c r="AL148" s="835">
        <v>0</v>
      </c>
      <c r="AM148" s="835">
        <v>0</v>
      </c>
      <c r="AN148" s="835">
        <v>972920</v>
      </c>
      <c r="AO148" s="835">
        <v>0</v>
      </c>
      <c r="AP148" s="835">
        <v>0</v>
      </c>
      <c r="AQ148" s="835">
        <v>0</v>
      </c>
      <c r="AR148" s="835">
        <v>0</v>
      </c>
      <c r="AS148" s="835">
        <v>0</v>
      </c>
      <c r="AT148" s="835">
        <v>0</v>
      </c>
      <c r="AU148" s="835">
        <v>0</v>
      </c>
      <c r="AV148" s="835">
        <v>0</v>
      </c>
      <c r="AW148" s="835">
        <v>0</v>
      </c>
      <c r="AX148" s="835">
        <v>0</v>
      </c>
      <c r="AY148" s="835">
        <v>0</v>
      </c>
      <c r="AZ148" s="835">
        <v>0</v>
      </c>
      <c r="BA148" s="835">
        <v>0</v>
      </c>
      <c r="BB148" s="835">
        <v>0</v>
      </c>
      <c r="BC148" s="835">
        <v>0</v>
      </c>
      <c r="BD148" s="835">
        <v>0</v>
      </c>
      <c r="BE148" s="835">
        <v>0</v>
      </c>
      <c r="BF148" s="835">
        <v>0</v>
      </c>
      <c r="BG148" s="835">
        <v>0</v>
      </c>
      <c r="BH148" s="835">
        <v>0</v>
      </c>
      <c r="BI148" s="835">
        <v>0</v>
      </c>
      <c r="BJ148" s="835">
        <v>0</v>
      </c>
      <c r="BK148" s="835">
        <v>0</v>
      </c>
      <c r="BL148" s="835">
        <v>0</v>
      </c>
      <c r="BM148" s="835">
        <v>0</v>
      </c>
      <c r="BN148" s="835">
        <v>0</v>
      </c>
      <c r="BO148" s="835">
        <v>0</v>
      </c>
      <c r="BP148" s="835">
        <v>0</v>
      </c>
      <c r="BQ148" s="835">
        <v>0</v>
      </c>
      <c r="BR148" s="835">
        <v>0</v>
      </c>
      <c r="BS148" s="835">
        <v>0</v>
      </c>
      <c r="BT148" s="835">
        <v>0</v>
      </c>
      <c r="BU148" s="835">
        <v>0</v>
      </c>
      <c r="BV148" s="835">
        <v>0</v>
      </c>
      <c r="BW148" s="835">
        <v>0</v>
      </c>
      <c r="BX148" s="835">
        <v>0</v>
      </c>
      <c r="BY148" s="835">
        <v>0</v>
      </c>
      <c r="BZ148" s="835">
        <v>0</v>
      </c>
      <c r="CA148" s="835">
        <v>0</v>
      </c>
      <c r="CB148" s="835">
        <v>0</v>
      </c>
    </row>
    <row r="149" spans="1:80" x14ac:dyDescent="0.25">
      <c r="A149" s="787">
        <v>391</v>
      </c>
      <c r="B149" s="846">
        <v>391</v>
      </c>
      <c r="C149" s="832" t="s">
        <v>268</v>
      </c>
      <c r="D149" s="860" t="s">
        <v>533</v>
      </c>
      <c r="E149" s="829">
        <v>175445</v>
      </c>
      <c r="F149" s="798">
        <v>3014901</v>
      </c>
      <c r="G149" s="798">
        <v>22217</v>
      </c>
      <c r="H149" s="798">
        <v>5193550</v>
      </c>
      <c r="I149" s="798">
        <v>394259</v>
      </c>
      <c r="J149" s="798">
        <v>52337</v>
      </c>
      <c r="K149" s="800">
        <v>121200</v>
      </c>
      <c r="L149" s="835">
        <v>639050</v>
      </c>
      <c r="M149" s="835">
        <v>2050612</v>
      </c>
      <c r="N149" s="830">
        <v>9305</v>
      </c>
      <c r="O149" s="830">
        <v>87370</v>
      </c>
      <c r="P149" s="830">
        <v>134149</v>
      </c>
      <c r="Q149" s="830">
        <v>2523845</v>
      </c>
      <c r="R149" s="830">
        <v>2200799</v>
      </c>
      <c r="S149" s="830">
        <v>583943</v>
      </c>
      <c r="T149" s="830">
        <v>952245</v>
      </c>
      <c r="U149" s="830">
        <v>129397</v>
      </c>
      <c r="V149" s="830">
        <v>3933403</v>
      </c>
      <c r="W149" s="830">
        <v>3030</v>
      </c>
      <c r="X149" s="830">
        <v>1067740</v>
      </c>
      <c r="Y149" s="830">
        <v>2210045</v>
      </c>
      <c r="Z149" s="830">
        <v>345154</v>
      </c>
      <c r="AA149" s="835">
        <v>126042</v>
      </c>
      <c r="AB149" s="835">
        <v>630563</v>
      </c>
      <c r="AC149" s="835">
        <v>85290</v>
      </c>
      <c r="AD149" s="835">
        <v>853</v>
      </c>
      <c r="AE149" s="835">
        <v>110323</v>
      </c>
      <c r="AF149" s="835">
        <v>315747</v>
      </c>
      <c r="AG149" s="835">
        <v>9844</v>
      </c>
      <c r="AH149" s="835">
        <v>4896</v>
      </c>
      <c r="AI149" s="835">
        <v>6725</v>
      </c>
      <c r="AJ149" s="835">
        <v>225563</v>
      </c>
      <c r="AK149" s="835">
        <v>350672</v>
      </c>
      <c r="AL149" s="835">
        <v>4923</v>
      </c>
      <c r="AM149" s="835">
        <v>2831</v>
      </c>
      <c r="AN149" s="835">
        <v>1155744</v>
      </c>
      <c r="AO149" s="835">
        <v>1545421</v>
      </c>
      <c r="AP149" s="835">
        <v>15371</v>
      </c>
      <c r="AQ149" s="835">
        <v>356970</v>
      </c>
      <c r="AR149" s="835">
        <v>2686824</v>
      </c>
      <c r="AS149" s="835">
        <v>271361</v>
      </c>
      <c r="AT149" s="835">
        <v>37765</v>
      </c>
      <c r="AU149" s="835">
        <v>499188</v>
      </c>
      <c r="AV149" s="835">
        <v>1045057</v>
      </c>
      <c r="AW149" s="835">
        <v>4340</v>
      </c>
      <c r="AX149" s="835">
        <v>25906</v>
      </c>
      <c r="AY149" s="835">
        <v>266521</v>
      </c>
      <c r="AZ149" s="835">
        <v>297011</v>
      </c>
      <c r="BA149" s="835">
        <v>1374357</v>
      </c>
      <c r="BB149" s="835">
        <v>35613</v>
      </c>
      <c r="BC149" s="835">
        <v>152772</v>
      </c>
      <c r="BD149" s="835">
        <v>24420</v>
      </c>
      <c r="BE149" s="835">
        <v>9238</v>
      </c>
      <c r="BF149" s="835">
        <v>1864883</v>
      </c>
      <c r="BG149" s="835">
        <v>17894</v>
      </c>
      <c r="BH149" s="835">
        <v>8410</v>
      </c>
      <c r="BI149" s="835">
        <v>287926</v>
      </c>
      <c r="BJ149" s="835">
        <v>152267</v>
      </c>
      <c r="BK149" s="835">
        <v>95023</v>
      </c>
      <c r="BL149" s="835">
        <v>702429</v>
      </c>
      <c r="BM149" s="835">
        <v>1268227</v>
      </c>
      <c r="BN149" s="835">
        <v>5800</v>
      </c>
      <c r="BO149" s="835">
        <v>973098</v>
      </c>
      <c r="BP149" s="835">
        <v>149513</v>
      </c>
      <c r="BQ149" s="835">
        <v>86421</v>
      </c>
      <c r="BR149" s="835">
        <v>152335</v>
      </c>
      <c r="BS149" s="835">
        <v>36942</v>
      </c>
      <c r="BT149" s="835">
        <v>1577609</v>
      </c>
      <c r="BU149" s="835">
        <v>154596</v>
      </c>
      <c r="BV149" s="835">
        <v>209050</v>
      </c>
      <c r="BW149" s="835">
        <v>61340</v>
      </c>
      <c r="BX149" s="835">
        <v>625304</v>
      </c>
      <c r="BY149" s="835">
        <v>1055</v>
      </c>
      <c r="BZ149" s="835">
        <v>5170</v>
      </c>
      <c r="CA149" s="835">
        <v>2673951</v>
      </c>
      <c r="CB149" s="835">
        <v>3758</v>
      </c>
    </row>
    <row r="150" spans="1:80" x14ac:dyDescent="0.25">
      <c r="A150" s="787">
        <v>500</v>
      </c>
      <c r="B150" s="846">
        <v>500</v>
      </c>
      <c r="C150" s="832" t="s">
        <v>250</v>
      </c>
      <c r="D150" s="860" t="s">
        <v>534</v>
      </c>
      <c r="E150" s="829">
        <v>1443859</v>
      </c>
      <c r="F150" s="798">
        <v>4320390</v>
      </c>
      <c r="G150" s="798">
        <v>50980</v>
      </c>
      <c r="H150" s="798">
        <v>10745167</v>
      </c>
      <c r="I150" s="798">
        <v>674957</v>
      </c>
      <c r="J150" s="798">
        <v>111704</v>
      </c>
      <c r="K150" s="800">
        <v>74017</v>
      </c>
      <c r="L150" s="835">
        <v>69262</v>
      </c>
      <c r="M150" s="835">
        <v>17409504</v>
      </c>
      <c r="N150" s="830">
        <v>32103</v>
      </c>
      <c r="O150" s="830">
        <v>152308</v>
      </c>
      <c r="P150" s="830">
        <v>130098</v>
      </c>
      <c r="Q150" s="830">
        <v>6553652</v>
      </c>
      <c r="R150" s="830">
        <v>3297442</v>
      </c>
      <c r="S150" s="830">
        <v>50845</v>
      </c>
      <c r="T150" s="830">
        <v>294937</v>
      </c>
      <c r="U150" s="830">
        <v>148698</v>
      </c>
      <c r="V150" s="830">
        <v>0</v>
      </c>
      <c r="W150" s="830">
        <v>100767</v>
      </c>
      <c r="X150" s="830">
        <v>2676172</v>
      </c>
      <c r="Y150" s="830">
        <v>1290428</v>
      </c>
      <c r="Z150" s="830">
        <v>3798633</v>
      </c>
      <c r="AA150" s="835">
        <v>577623</v>
      </c>
      <c r="AB150" s="835">
        <v>155224</v>
      </c>
      <c r="AC150" s="835">
        <v>207575</v>
      </c>
      <c r="AD150" s="835">
        <v>9585</v>
      </c>
      <c r="AE150" s="835">
        <v>247534</v>
      </c>
      <c r="AF150" s="835">
        <v>1137919</v>
      </c>
      <c r="AG150" s="835">
        <v>9989</v>
      </c>
      <c r="AH150" s="835">
        <v>15295</v>
      </c>
      <c r="AI150" s="835">
        <v>154449</v>
      </c>
      <c r="AJ150" s="835">
        <v>0</v>
      </c>
      <c r="AK150" s="835">
        <v>5372823</v>
      </c>
      <c r="AL150" s="835">
        <v>71341</v>
      </c>
      <c r="AM150" s="835">
        <v>0</v>
      </c>
      <c r="AN150" s="835">
        <v>2773606</v>
      </c>
      <c r="AO150" s="835">
        <v>272164</v>
      </c>
      <c r="AP150" s="835">
        <v>78659</v>
      </c>
      <c r="AQ150" s="835">
        <v>635601</v>
      </c>
      <c r="AR150" s="835">
        <v>229726</v>
      </c>
      <c r="AS150" s="835">
        <v>625356</v>
      </c>
      <c r="AT150" s="835">
        <v>79163</v>
      </c>
      <c r="AU150" s="835">
        <v>278605</v>
      </c>
      <c r="AV150" s="835">
        <v>676028</v>
      </c>
      <c r="AW150" s="835">
        <v>27476</v>
      </c>
      <c r="AX150" s="835">
        <v>69447</v>
      </c>
      <c r="AY150" s="835">
        <v>1441333</v>
      </c>
      <c r="AZ150" s="835">
        <v>704821</v>
      </c>
      <c r="BA150" s="835">
        <v>172365</v>
      </c>
      <c r="BB150" s="835">
        <v>27627</v>
      </c>
      <c r="BC150" s="835">
        <v>573272</v>
      </c>
      <c r="BD150" s="835">
        <v>222480</v>
      </c>
      <c r="BE150" s="835">
        <v>7925</v>
      </c>
      <c r="BF150" s="835">
        <v>253529</v>
      </c>
      <c r="BG150" s="835">
        <v>59757</v>
      </c>
      <c r="BH150" s="835">
        <v>21643</v>
      </c>
      <c r="BI150" s="835">
        <v>10158</v>
      </c>
      <c r="BJ150" s="835">
        <v>147021</v>
      </c>
      <c r="BK150" s="835">
        <v>94593</v>
      </c>
      <c r="BL150" s="835">
        <v>213460</v>
      </c>
      <c r="BM150" s="835">
        <v>2186</v>
      </c>
      <c r="BN150" s="835">
        <v>0</v>
      </c>
      <c r="BO150" s="835">
        <v>398399</v>
      </c>
      <c r="BP150" s="835">
        <v>101181</v>
      </c>
      <c r="BQ150" s="835">
        <v>110424</v>
      </c>
      <c r="BR150" s="835">
        <v>149980</v>
      </c>
      <c r="BS150" s="835">
        <v>110620</v>
      </c>
      <c r="BT150" s="835">
        <v>5394290</v>
      </c>
      <c r="BU150" s="835">
        <v>92269</v>
      </c>
      <c r="BV150" s="835">
        <v>107647</v>
      </c>
      <c r="BW150" s="835">
        <v>362</v>
      </c>
      <c r="BX150" s="835">
        <v>82878</v>
      </c>
      <c r="BY150" s="835">
        <v>18554</v>
      </c>
      <c r="BZ150" s="835">
        <v>22034</v>
      </c>
      <c r="CA150" s="835">
        <v>878614</v>
      </c>
      <c r="CB150" s="835">
        <v>30730</v>
      </c>
    </row>
    <row r="151" spans="1:80" x14ac:dyDescent="0.25">
      <c r="A151" s="860"/>
      <c r="B151" s="846">
        <v>501</v>
      </c>
      <c r="C151" s="832" t="s">
        <v>252</v>
      </c>
      <c r="D151" s="860" t="s">
        <v>535</v>
      </c>
      <c r="E151" s="829">
        <v>0</v>
      </c>
      <c r="F151" s="798">
        <v>0</v>
      </c>
      <c r="G151" s="798">
        <v>0</v>
      </c>
      <c r="H151" s="798">
        <v>0</v>
      </c>
      <c r="I151" s="798">
        <v>0</v>
      </c>
      <c r="J151" s="798">
        <v>0</v>
      </c>
      <c r="K151" s="800">
        <v>0</v>
      </c>
      <c r="L151" s="835">
        <v>0</v>
      </c>
      <c r="M151" s="835">
        <v>0</v>
      </c>
      <c r="N151" s="830">
        <v>0</v>
      </c>
      <c r="O151" s="830">
        <v>0</v>
      </c>
      <c r="P151" s="830">
        <v>0</v>
      </c>
      <c r="Q151" s="830">
        <v>0</v>
      </c>
      <c r="R151" s="830">
        <v>0</v>
      </c>
      <c r="S151" s="830">
        <v>0</v>
      </c>
      <c r="T151" s="830">
        <v>0</v>
      </c>
      <c r="U151" s="830">
        <v>0</v>
      </c>
      <c r="V151" s="830">
        <v>0</v>
      </c>
      <c r="W151" s="830">
        <v>0</v>
      </c>
      <c r="X151" s="830">
        <v>0</v>
      </c>
      <c r="Y151" s="830">
        <v>0</v>
      </c>
      <c r="Z151" s="830">
        <v>0</v>
      </c>
      <c r="AA151" s="835">
        <v>0</v>
      </c>
      <c r="AB151" s="835">
        <v>0</v>
      </c>
      <c r="AC151" s="835">
        <v>0</v>
      </c>
      <c r="AD151" s="835">
        <v>0</v>
      </c>
      <c r="AE151" s="835">
        <v>0</v>
      </c>
      <c r="AF151" s="835">
        <v>0</v>
      </c>
      <c r="AG151" s="835">
        <v>0</v>
      </c>
      <c r="AH151" s="835">
        <v>0</v>
      </c>
      <c r="AI151" s="835">
        <v>0</v>
      </c>
      <c r="AJ151" s="835">
        <v>0</v>
      </c>
      <c r="AK151" s="835">
        <v>0</v>
      </c>
      <c r="AL151" s="835">
        <v>0</v>
      </c>
      <c r="AM151" s="835">
        <v>0</v>
      </c>
      <c r="AN151" s="835">
        <v>0</v>
      </c>
      <c r="AO151" s="835">
        <v>0</v>
      </c>
      <c r="AP151" s="835">
        <v>0</v>
      </c>
      <c r="AQ151" s="835">
        <v>0</v>
      </c>
      <c r="AR151" s="835">
        <v>0</v>
      </c>
      <c r="AS151" s="835">
        <v>0</v>
      </c>
      <c r="AT151" s="835">
        <v>0</v>
      </c>
      <c r="AU151" s="835">
        <v>0</v>
      </c>
      <c r="AV151" s="835">
        <v>0</v>
      </c>
      <c r="AW151" s="835">
        <v>0</v>
      </c>
      <c r="AX151" s="835">
        <v>0</v>
      </c>
      <c r="AY151" s="835">
        <v>0</v>
      </c>
      <c r="AZ151" s="835">
        <v>0</v>
      </c>
      <c r="BA151" s="835">
        <v>0</v>
      </c>
      <c r="BB151" s="835">
        <v>0</v>
      </c>
      <c r="BC151" s="835">
        <v>0</v>
      </c>
      <c r="BD151" s="835">
        <v>0</v>
      </c>
      <c r="BE151" s="835">
        <v>0</v>
      </c>
      <c r="BF151" s="835">
        <v>0</v>
      </c>
      <c r="BG151" s="835">
        <v>0</v>
      </c>
      <c r="BH151" s="835">
        <v>0</v>
      </c>
      <c r="BI151" s="835">
        <v>0</v>
      </c>
      <c r="BJ151" s="835">
        <v>0</v>
      </c>
      <c r="BK151" s="835">
        <v>0</v>
      </c>
      <c r="BL151" s="835">
        <v>0</v>
      </c>
      <c r="BM151" s="835">
        <v>0</v>
      </c>
      <c r="BN151" s="835">
        <v>0</v>
      </c>
      <c r="BO151" s="835">
        <v>0</v>
      </c>
      <c r="BP151" s="835">
        <v>0</v>
      </c>
      <c r="BQ151" s="835">
        <v>0</v>
      </c>
      <c r="BR151" s="835">
        <v>0</v>
      </c>
      <c r="BS151" s="835">
        <v>0</v>
      </c>
      <c r="BT151" s="835">
        <v>0</v>
      </c>
      <c r="BU151" s="835">
        <v>0</v>
      </c>
      <c r="BV151" s="835">
        <v>0</v>
      </c>
      <c r="BW151" s="835">
        <v>0</v>
      </c>
      <c r="BX151" s="835">
        <v>0</v>
      </c>
      <c r="BY151" s="835">
        <v>0</v>
      </c>
      <c r="BZ151" s="835">
        <v>0</v>
      </c>
      <c r="CA151" s="835">
        <v>0</v>
      </c>
      <c r="CB151" s="835">
        <v>0</v>
      </c>
    </row>
    <row r="152" spans="1:80" x14ac:dyDescent="0.25">
      <c r="A152" s="787">
        <v>502</v>
      </c>
      <c r="B152" s="846">
        <v>502</v>
      </c>
      <c r="C152" s="832" t="s">
        <v>253</v>
      </c>
      <c r="D152" s="860" t="s">
        <v>536</v>
      </c>
      <c r="E152" s="829">
        <v>0</v>
      </c>
      <c r="F152" s="798">
        <v>3250839</v>
      </c>
      <c r="G152" s="798">
        <v>216857</v>
      </c>
      <c r="H152" s="798">
        <v>31604552</v>
      </c>
      <c r="I152" s="798">
        <v>6357360</v>
      </c>
      <c r="J152" s="798">
        <v>200762</v>
      </c>
      <c r="K152" s="800">
        <v>4859622</v>
      </c>
      <c r="L152" s="835">
        <v>636048</v>
      </c>
      <c r="M152" s="835">
        <v>10863708</v>
      </c>
      <c r="N152" s="830">
        <v>0</v>
      </c>
      <c r="O152" s="830">
        <v>1609287</v>
      </c>
      <c r="P152" s="830">
        <v>754074</v>
      </c>
      <c r="Q152" s="830">
        <v>1601826</v>
      </c>
      <c r="R152" s="830">
        <v>7064117</v>
      </c>
      <c r="S152" s="830">
        <v>6590169</v>
      </c>
      <c r="T152" s="830">
        <v>10983620</v>
      </c>
      <c r="U152" s="830">
        <v>2662</v>
      </c>
      <c r="V152" s="830">
        <v>32150306</v>
      </c>
      <c r="W152" s="830">
        <v>0</v>
      </c>
      <c r="X152" s="830">
        <v>0</v>
      </c>
      <c r="Y152" s="830">
        <v>603414</v>
      </c>
      <c r="Z152" s="830">
        <v>2091314</v>
      </c>
      <c r="AA152" s="835">
        <v>1450104</v>
      </c>
      <c r="AB152" s="835">
        <v>281583</v>
      </c>
      <c r="AC152" s="835">
        <v>0</v>
      </c>
      <c r="AD152" s="835">
        <v>48850</v>
      </c>
      <c r="AE152" s="835">
        <v>0</v>
      </c>
      <c r="AF152" s="835">
        <v>742792</v>
      </c>
      <c r="AG152" s="835">
        <v>52524</v>
      </c>
      <c r="AH152" s="835">
        <v>0</v>
      </c>
      <c r="AI152" s="835">
        <v>0</v>
      </c>
      <c r="AJ152" s="835">
        <v>701305</v>
      </c>
      <c r="AK152" s="835">
        <v>9144347</v>
      </c>
      <c r="AL152" s="835">
        <v>341018</v>
      </c>
      <c r="AM152" s="835">
        <v>0</v>
      </c>
      <c r="AN152" s="835">
        <v>13293772</v>
      </c>
      <c r="AO152" s="835">
        <v>6225709</v>
      </c>
      <c r="AP152" s="835">
        <v>50486</v>
      </c>
      <c r="AQ152" s="835">
        <v>0</v>
      </c>
      <c r="AR152" s="835">
        <v>27666303</v>
      </c>
      <c r="AS152" s="835">
        <v>1123564</v>
      </c>
      <c r="AT152" s="835">
        <v>212411</v>
      </c>
      <c r="AU152" s="835">
        <v>1402573</v>
      </c>
      <c r="AV152" s="835">
        <v>11408610</v>
      </c>
      <c r="AW152" s="835">
        <v>918168</v>
      </c>
      <c r="AX152" s="835">
        <v>215874</v>
      </c>
      <c r="AY152" s="835">
        <v>0</v>
      </c>
      <c r="AZ152" s="835">
        <v>197155</v>
      </c>
      <c r="BA152" s="835">
        <v>3500588</v>
      </c>
      <c r="BB152" s="835">
        <v>0</v>
      </c>
      <c r="BC152" s="835">
        <v>394678</v>
      </c>
      <c r="BD152" s="835">
        <v>5156206</v>
      </c>
      <c r="BE152" s="835">
        <v>0</v>
      </c>
      <c r="BF152" s="835">
        <v>10183604</v>
      </c>
      <c r="BG152" s="835">
        <v>198096</v>
      </c>
      <c r="BH152" s="835">
        <v>0</v>
      </c>
      <c r="BI152" s="835">
        <v>957884</v>
      </c>
      <c r="BJ152" s="835">
        <v>1670367</v>
      </c>
      <c r="BK152" s="835">
        <v>0</v>
      </c>
      <c r="BL152" s="835">
        <v>5861531</v>
      </c>
      <c r="BM152" s="835">
        <v>1954659</v>
      </c>
      <c r="BN152" s="835">
        <v>0</v>
      </c>
      <c r="BO152" s="835">
        <v>1645707</v>
      </c>
      <c r="BP152" s="835">
        <v>3135936</v>
      </c>
      <c r="BQ152" s="835">
        <v>764963</v>
      </c>
      <c r="BR152" s="835">
        <v>3107869</v>
      </c>
      <c r="BS152" s="835">
        <v>0</v>
      </c>
      <c r="BT152" s="835">
        <v>0</v>
      </c>
      <c r="BU152" s="835">
        <v>883782</v>
      </c>
      <c r="BV152" s="835">
        <v>1418846</v>
      </c>
      <c r="BW152" s="835">
        <v>11536</v>
      </c>
      <c r="BX152" s="835">
        <v>755639</v>
      </c>
      <c r="BY152" s="835">
        <v>0</v>
      </c>
      <c r="BZ152" s="835">
        <v>0</v>
      </c>
      <c r="CA152" s="835">
        <v>9227258</v>
      </c>
      <c r="CB152" s="835">
        <v>0</v>
      </c>
    </row>
    <row r="153" spans="1:80" x14ac:dyDescent="0.25">
      <c r="A153" s="787">
        <v>503</v>
      </c>
      <c r="B153" s="846">
        <v>503</v>
      </c>
      <c r="C153" s="832" t="s">
        <v>254</v>
      </c>
      <c r="D153" s="860" t="s">
        <v>537</v>
      </c>
      <c r="E153" s="829">
        <v>0</v>
      </c>
      <c r="F153" s="798">
        <v>0</v>
      </c>
      <c r="G153" s="798">
        <v>7583</v>
      </c>
      <c r="H153" s="798">
        <v>1917682</v>
      </c>
      <c r="I153" s="798">
        <v>1626250</v>
      </c>
      <c r="J153" s="798">
        <v>23686</v>
      </c>
      <c r="K153" s="800">
        <v>67550</v>
      </c>
      <c r="L153" s="835">
        <v>2708</v>
      </c>
      <c r="M153" s="835">
        <v>26324501</v>
      </c>
      <c r="N153" s="830">
        <v>0</v>
      </c>
      <c r="O153" s="830">
        <v>143386</v>
      </c>
      <c r="P153" s="830">
        <v>47305</v>
      </c>
      <c r="Q153" s="830">
        <v>0</v>
      </c>
      <c r="R153" s="830">
        <v>670322</v>
      </c>
      <c r="S153" s="830">
        <v>412887</v>
      </c>
      <c r="T153" s="830">
        <v>243140</v>
      </c>
      <c r="U153" s="830">
        <v>0</v>
      </c>
      <c r="V153" s="830">
        <v>1613334</v>
      </c>
      <c r="W153" s="830">
        <v>0</v>
      </c>
      <c r="X153" s="830">
        <v>0</v>
      </c>
      <c r="Y153" s="830">
        <v>0</v>
      </c>
      <c r="Z153" s="830">
        <v>0</v>
      </c>
      <c r="AA153" s="835">
        <v>206600</v>
      </c>
      <c r="AB153" s="835">
        <v>0</v>
      </c>
      <c r="AC153" s="835">
        <v>0</v>
      </c>
      <c r="AD153" s="835">
        <v>0</v>
      </c>
      <c r="AE153" s="835">
        <v>0</v>
      </c>
      <c r="AF153" s="835">
        <v>261691</v>
      </c>
      <c r="AG153" s="835">
        <v>1950</v>
      </c>
      <c r="AH153" s="835">
        <v>0</v>
      </c>
      <c r="AI153" s="835">
        <v>0</v>
      </c>
      <c r="AJ153" s="835">
        <v>3610</v>
      </c>
      <c r="AK153" s="835">
        <v>881579</v>
      </c>
      <c r="AL153" s="835">
        <v>13115</v>
      </c>
      <c r="AM153" s="835">
        <v>0</v>
      </c>
      <c r="AN153" s="835">
        <v>3262574</v>
      </c>
      <c r="AO153" s="835">
        <v>7942437</v>
      </c>
      <c r="AP153" s="835">
        <v>10650</v>
      </c>
      <c r="AQ153" s="835">
        <v>0</v>
      </c>
      <c r="AR153" s="835">
        <v>1132906</v>
      </c>
      <c r="AS153" s="835">
        <v>42270</v>
      </c>
      <c r="AT153" s="835">
        <v>19748</v>
      </c>
      <c r="AU153" s="835">
        <v>129901</v>
      </c>
      <c r="AV153" s="835">
        <v>372934</v>
      </c>
      <c r="AW153" s="835">
        <v>40000</v>
      </c>
      <c r="AX153" s="835">
        <v>17764</v>
      </c>
      <c r="AY153" s="835">
        <v>36785</v>
      </c>
      <c r="AZ153" s="835">
        <v>66471</v>
      </c>
      <c r="BA153" s="835">
        <v>883543</v>
      </c>
      <c r="BB153" s="835">
        <v>0</v>
      </c>
      <c r="BC153" s="835">
        <v>84089</v>
      </c>
      <c r="BD153" s="835">
        <v>1028390</v>
      </c>
      <c r="BE153" s="835">
        <v>0</v>
      </c>
      <c r="BF153" s="835">
        <v>1749015</v>
      </c>
      <c r="BG153" s="835">
        <v>39216</v>
      </c>
      <c r="BH153" s="835">
        <v>0</v>
      </c>
      <c r="BI153" s="835">
        <v>0</v>
      </c>
      <c r="BJ153" s="835">
        <v>0</v>
      </c>
      <c r="BK153" s="835">
        <v>51404</v>
      </c>
      <c r="BL153" s="835">
        <v>144366</v>
      </c>
      <c r="BM153" s="835">
        <v>169597</v>
      </c>
      <c r="BN153" s="835">
        <v>0</v>
      </c>
      <c r="BO153" s="835">
        <v>241113</v>
      </c>
      <c r="BP153" s="835">
        <v>74495</v>
      </c>
      <c r="BQ153" s="835">
        <v>39790</v>
      </c>
      <c r="BR153" s="835">
        <v>61262</v>
      </c>
      <c r="BS153" s="835">
        <v>0</v>
      </c>
      <c r="BT153" s="835">
        <v>0</v>
      </c>
      <c r="BU153" s="835">
        <v>0</v>
      </c>
      <c r="BV153" s="835">
        <v>161301</v>
      </c>
      <c r="BW153" s="835">
        <v>0</v>
      </c>
      <c r="BX153" s="835">
        <v>24332</v>
      </c>
      <c r="BY153" s="835">
        <v>0</v>
      </c>
      <c r="BZ153" s="835">
        <v>0</v>
      </c>
      <c r="CA153" s="835">
        <v>503249</v>
      </c>
      <c r="CB153" s="835">
        <v>0</v>
      </c>
    </row>
    <row r="154" spans="1:80" x14ac:dyDescent="0.25">
      <c r="A154" s="787">
        <v>504</v>
      </c>
      <c r="B154" s="846">
        <v>504</v>
      </c>
      <c r="C154" s="832" t="s">
        <v>258</v>
      </c>
      <c r="D154" s="860" t="s">
        <v>538</v>
      </c>
      <c r="E154" s="829">
        <v>43840</v>
      </c>
      <c r="F154" s="798">
        <v>890754</v>
      </c>
      <c r="G154" s="798">
        <v>16060</v>
      </c>
      <c r="H154" s="798">
        <v>3769253</v>
      </c>
      <c r="I154" s="798">
        <v>176865</v>
      </c>
      <c r="J154" s="798">
        <v>17270</v>
      </c>
      <c r="K154" s="800">
        <v>54138</v>
      </c>
      <c r="L154" s="835">
        <v>73296</v>
      </c>
      <c r="M154" s="835">
        <v>1084439</v>
      </c>
      <c r="N154" s="830">
        <v>8414</v>
      </c>
      <c r="O154" s="830">
        <v>65109</v>
      </c>
      <c r="P154" s="830">
        <v>49837</v>
      </c>
      <c r="Q154" s="830">
        <v>2026108</v>
      </c>
      <c r="R154" s="830">
        <v>30812</v>
      </c>
      <c r="S154" s="830">
        <v>1334237</v>
      </c>
      <c r="T154" s="830">
        <v>1079741</v>
      </c>
      <c r="U154" s="830">
        <v>23635</v>
      </c>
      <c r="V154" s="830">
        <v>2754156</v>
      </c>
      <c r="W154" s="830">
        <v>13010</v>
      </c>
      <c r="X154" s="830">
        <v>313935</v>
      </c>
      <c r="Y154" s="830">
        <v>297256</v>
      </c>
      <c r="Z154" s="830">
        <v>327475</v>
      </c>
      <c r="AA154" s="835">
        <v>219349</v>
      </c>
      <c r="AB154" s="835">
        <v>310952</v>
      </c>
      <c r="AC154" s="835">
        <v>99711</v>
      </c>
      <c r="AD154" s="835">
        <v>0</v>
      </c>
      <c r="AE154" s="835">
        <v>93637</v>
      </c>
      <c r="AF154" s="835">
        <v>231709</v>
      </c>
      <c r="AG154" s="835">
        <v>5868</v>
      </c>
      <c r="AH154" s="835">
        <v>3906</v>
      </c>
      <c r="AI154" s="835">
        <v>30541</v>
      </c>
      <c r="AJ154" s="835">
        <v>101658</v>
      </c>
      <c r="AK154" s="835">
        <v>463378</v>
      </c>
      <c r="AL154" s="835">
        <v>119675</v>
      </c>
      <c r="AM154" s="835">
        <v>0</v>
      </c>
      <c r="AN154" s="835">
        <v>11175</v>
      </c>
      <c r="AO154" s="835">
        <v>1219937</v>
      </c>
      <c r="AP154" s="835">
        <v>17426</v>
      </c>
      <c r="AQ154" s="835">
        <v>360642</v>
      </c>
      <c r="AR154" s="835">
        <v>962406</v>
      </c>
      <c r="AS154" s="835">
        <v>155594</v>
      </c>
      <c r="AT154" s="835">
        <v>30630</v>
      </c>
      <c r="AU154" s="835">
        <v>177605</v>
      </c>
      <c r="AV154" s="835">
        <v>545794</v>
      </c>
      <c r="AW154" s="835">
        <v>5050</v>
      </c>
      <c r="AX154" s="835">
        <v>24090</v>
      </c>
      <c r="AY154" s="835">
        <v>111748</v>
      </c>
      <c r="AZ154" s="835">
        <v>230145</v>
      </c>
      <c r="BA154" s="835">
        <v>478485</v>
      </c>
      <c r="BB154" s="835">
        <v>49634</v>
      </c>
      <c r="BC154" s="835">
        <v>99795</v>
      </c>
      <c r="BD154" s="835">
        <v>30748</v>
      </c>
      <c r="BE154" s="835">
        <v>6332</v>
      </c>
      <c r="BF154" s="835">
        <v>2165532</v>
      </c>
      <c r="BG154" s="835">
        <v>14475</v>
      </c>
      <c r="BH154" s="835">
        <v>4328</v>
      </c>
      <c r="BI154" s="835">
        <v>174221</v>
      </c>
      <c r="BJ154" s="835">
        <v>97126</v>
      </c>
      <c r="BK154" s="835">
        <v>35481</v>
      </c>
      <c r="BL154" s="835">
        <v>389778</v>
      </c>
      <c r="BM154" s="835">
        <v>60837</v>
      </c>
      <c r="BN154" s="835">
        <v>0</v>
      </c>
      <c r="BO154" s="835">
        <v>520814</v>
      </c>
      <c r="BP154" s="835">
        <v>110939</v>
      </c>
      <c r="BQ154" s="835">
        <v>22761</v>
      </c>
      <c r="BR154" s="835">
        <v>75948</v>
      </c>
      <c r="BS154" s="835">
        <v>0</v>
      </c>
      <c r="BT154" s="835">
        <v>1195821</v>
      </c>
      <c r="BU154" s="835">
        <v>189789</v>
      </c>
      <c r="BV154" s="835">
        <v>205124</v>
      </c>
      <c r="BW154" s="835">
        <v>124777</v>
      </c>
      <c r="BX154" s="835">
        <v>17714</v>
      </c>
      <c r="BY154" s="835">
        <v>3784</v>
      </c>
      <c r="BZ154" s="835">
        <v>4562</v>
      </c>
      <c r="CA154" s="835">
        <v>934764</v>
      </c>
      <c r="CB154" s="835">
        <v>6508</v>
      </c>
    </row>
    <row r="155" spans="1:80" x14ac:dyDescent="0.25">
      <c r="A155" s="787">
        <v>505</v>
      </c>
      <c r="B155" s="846">
        <v>505</v>
      </c>
      <c r="C155" s="832" t="s">
        <v>259</v>
      </c>
      <c r="D155" s="860" t="s">
        <v>539</v>
      </c>
      <c r="E155" s="829">
        <v>0</v>
      </c>
      <c r="F155" s="798">
        <v>3282668</v>
      </c>
      <c r="G155" s="798">
        <v>20000</v>
      </c>
      <c r="H155" s="798">
        <v>2016629</v>
      </c>
      <c r="I155" s="798">
        <v>21824</v>
      </c>
      <c r="J155" s="798">
        <v>4757</v>
      </c>
      <c r="K155" s="800">
        <v>0</v>
      </c>
      <c r="L155" s="835">
        <v>0</v>
      </c>
      <c r="M155" s="835">
        <v>3227513</v>
      </c>
      <c r="N155" s="830">
        <v>0</v>
      </c>
      <c r="O155" s="830">
        <v>0</v>
      </c>
      <c r="P155" s="830">
        <v>16000</v>
      </c>
      <c r="Q155" s="830">
        <v>996330</v>
      </c>
      <c r="R155" s="830">
        <v>1128265</v>
      </c>
      <c r="S155" s="830">
        <v>1750</v>
      </c>
      <c r="T155" s="830">
        <v>0</v>
      </c>
      <c r="U155" s="830">
        <v>0</v>
      </c>
      <c r="V155" s="830">
        <v>0</v>
      </c>
      <c r="W155" s="830">
        <v>0</v>
      </c>
      <c r="X155" s="830">
        <v>8066583</v>
      </c>
      <c r="Y155" s="830">
        <v>19165527</v>
      </c>
      <c r="Z155" s="830">
        <v>0</v>
      </c>
      <c r="AA155" s="835">
        <v>0</v>
      </c>
      <c r="AB155" s="835">
        <v>350000</v>
      </c>
      <c r="AC155" s="835">
        <v>0</v>
      </c>
      <c r="AD155" s="835">
        <v>8598</v>
      </c>
      <c r="AE155" s="835">
        <v>0</v>
      </c>
      <c r="AF155" s="835">
        <v>519659</v>
      </c>
      <c r="AG155" s="835">
        <v>0</v>
      </c>
      <c r="AH155" s="835">
        <v>0</v>
      </c>
      <c r="AI155" s="835">
        <v>0</v>
      </c>
      <c r="AJ155" s="835">
        <v>94810</v>
      </c>
      <c r="AK155" s="835">
        <v>0</v>
      </c>
      <c r="AL155" s="835">
        <v>0</v>
      </c>
      <c r="AM155" s="835">
        <v>0</v>
      </c>
      <c r="AN155" s="835">
        <v>502333</v>
      </c>
      <c r="AO155" s="835">
        <v>806915</v>
      </c>
      <c r="AP155" s="835">
        <v>0</v>
      </c>
      <c r="AQ155" s="835">
        <v>24597</v>
      </c>
      <c r="AR155" s="835">
        <v>128393</v>
      </c>
      <c r="AS155" s="835">
        <v>0</v>
      </c>
      <c r="AT155" s="835">
        <v>15547</v>
      </c>
      <c r="AU155" s="835">
        <v>0</v>
      </c>
      <c r="AV155" s="835">
        <v>156106</v>
      </c>
      <c r="AW155" s="835">
        <v>28363</v>
      </c>
      <c r="AX155" s="835">
        <v>33334</v>
      </c>
      <c r="AY155" s="835">
        <v>346681</v>
      </c>
      <c r="AZ155" s="835">
        <v>0</v>
      </c>
      <c r="BA155" s="835">
        <v>1095286</v>
      </c>
      <c r="BB155" s="835">
        <v>0</v>
      </c>
      <c r="BC155" s="835">
        <v>0</v>
      </c>
      <c r="BD155" s="835">
        <v>0</v>
      </c>
      <c r="BE155" s="835">
        <v>0</v>
      </c>
      <c r="BF155" s="835">
        <v>76361</v>
      </c>
      <c r="BG155" s="835">
        <v>0</v>
      </c>
      <c r="BH155" s="835">
        <v>0</v>
      </c>
      <c r="BI155" s="835">
        <v>0</v>
      </c>
      <c r="BJ155" s="835">
        <v>0</v>
      </c>
      <c r="BK155" s="835">
        <v>0</v>
      </c>
      <c r="BL155" s="835">
        <v>9400</v>
      </c>
      <c r="BM155" s="835">
        <v>798240</v>
      </c>
      <c r="BN155" s="835">
        <v>0</v>
      </c>
      <c r="BO155" s="835">
        <v>97556</v>
      </c>
      <c r="BP155" s="835">
        <v>25000</v>
      </c>
      <c r="BQ155" s="835">
        <v>0</v>
      </c>
      <c r="BR155" s="835">
        <v>0</v>
      </c>
      <c r="BS155" s="835">
        <v>60600</v>
      </c>
      <c r="BT155" s="835">
        <v>1669942</v>
      </c>
      <c r="BU155" s="835">
        <v>0</v>
      </c>
      <c r="BV155" s="835">
        <v>0</v>
      </c>
      <c r="BW155" s="835">
        <v>0</v>
      </c>
      <c r="BX155" s="835">
        <v>0</v>
      </c>
      <c r="BY155" s="835">
        <v>0</v>
      </c>
      <c r="BZ155" s="835">
        <v>0</v>
      </c>
      <c r="CA155" s="835">
        <v>3380460</v>
      </c>
      <c r="CB155" s="835">
        <v>0</v>
      </c>
    </row>
    <row r="156" spans="1:80" x14ac:dyDescent="0.25">
      <c r="A156" s="787">
        <v>506</v>
      </c>
      <c r="B156" s="846">
        <v>506</v>
      </c>
      <c r="C156" s="832" t="s">
        <v>265</v>
      </c>
      <c r="D156" s="860" t="s">
        <v>540</v>
      </c>
      <c r="E156" s="829">
        <v>406932</v>
      </c>
      <c r="F156" s="798">
        <v>15651878</v>
      </c>
      <c r="G156" s="798">
        <v>511950</v>
      </c>
      <c r="H156" s="798">
        <v>22892016</v>
      </c>
      <c r="I156" s="798">
        <v>3244155</v>
      </c>
      <c r="J156" s="798">
        <v>379817</v>
      </c>
      <c r="K156" s="800">
        <v>2592980</v>
      </c>
      <c r="L156" s="835">
        <v>683244</v>
      </c>
      <c r="M156" s="835">
        <v>14828218</v>
      </c>
      <c r="N156" s="830">
        <v>191701</v>
      </c>
      <c r="O156" s="830">
        <v>454969</v>
      </c>
      <c r="P156" s="830">
        <v>312289</v>
      </c>
      <c r="Q156" s="830">
        <v>11038715</v>
      </c>
      <c r="R156" s="830">
        <v>13391173</v>
      </c>
      <c r="S156" s="830">
        <v>2957273</v>
      </c>
      <c r="T156" s="830">
        <v>6003720</v>
      </c>
      <c r="U156" s="830">
        <v>18102</v>
      </c>
      <c r="V156" s="830">
        <v>7555759</v>
      </c>
      <c r="W156" s="830">
        <v>165639</v>
      </c>
      <c r="X156" s="830">
        <v>6932435</v>
      </c>
      <c r="Y156" s="830">
        <v>7304558</v>
      </c>
      <c r="Z156" s="830">
        <v>3592726</v>
      </c>
      <c r="AA156" s="835">
        <v>1242035</v>
      </c>
      <c r="AB156" s="835">
        <v>2528184</v>
      </c>
      <c r="AC156" s="835">
        <v>1036311</v>
      </c>
      <c r="AD156" s="835">
        <v>218867</v>
      </c>
      <c r="AE156" s="835">
        <v>845089</v>
      </c>
      <c r="AF156" s="835">
        <v>182747</v>
      </c>
      <c r="AG156" s="835">
        <v>112293</v>
      </c>
      <c r="AH156" s="835">
        <v>55059</v>
      </c>
      <c r="AI156" s="835">
        <v>145232</v>
      </c>
      <c r="AJ156" s="835">
        <v>1686460</v>
      </c>
      <c r="AK156" s="835">
        <v>3297188</v>
      </c>
      <c r="AL156" s="835">
        <v>252852</v>
      </c>
      <c r="AM156" s="835">
        <v>111748</v>
      </c>
      <c r="AN156" s="835">
        <v>9739908</v>
      </c>
      <c r="AO156" s="835">
        <v>9051528</v>
      </c>
      <c r="AP156" s="835">
        <v>452815</v>
      </c>
      <c r="AQ156" s="835">
        <v>6092760</v>
      </c>
      <c r="AR156" s="835">
        <v>8744928</v>
      </c>
      <c r="AS156" s="835">
        <v>2289450</v>
      </c>
      <c r="AT156" s="835">
        <v>278616</v>
      </c>
      <c r="AU156" s="835">
        <v>3881817</v>
      </c>
      <c r="AV156" s="835">
        <v>4586802</v>
      </c>
      <c r="AW156" s="835">
        <v>131297</v>
      </c>
      <c r="AX156" s="835">
        <v>412634</v>
      </c>
      <c r="AY156" s="835">
        <v>2240427</v>
      </c>
      <c r="AZ156" s="835">
        <v>1344139</v>
      </c>
      <c r="BA156" s="835">
        <v>1024537</v>
      </c>
      <c r="BB156" s="835">
        <v>81282</v>
      </c>
      <c r="BC156" s="835">
        <v>829059</v>
      </c>
      <c r="BD156" s="835">
        <v>1547421</v>
      </c>
      <c r="BE156" s="835">
        <v>352716</v>
      </c>
      <c r="BF156" s="835">
        <v>4704983</v>
      </c>
      <c r="BG156" s="835">
        <v>342208</v>
      </c>
      <c r="BH156" s="835">
        <v>118272</v>
      </c>
      <c r="BI156" s="835">
        <v>2421960</v>
      </c>
      <c r="BJ156" s="835">
        <v>2749319</v>
      </c>
      <c r="BK156" s="835">
        <v>344042</v>
      </c>
      <c r="BL156" s="835">
        <v>2211782</v>
      </c>
      <c r="BM156" s="835">
        <v>4426443</v>
      </c>
      <c r="BN156" s="835">
        <v>118476</v>
      </c>
      <c r="BO156" s="835">
        <v>2726781</v>
      </c>
      <c r="BP156" s="835">
        <v>2854926</v>
      </c>
      <c r="BQ156" s="835">
        <v>1467052</v>
      </c>
      <c r="BR156" s="835">
        <v>1133484</v>
      </c>
      <c r="BS156" s="835">
        <v>1461503</v>
      </c>
      <c r="BT156" s="835">
        <v>9988663</v>
      </c>
      <c r="BU156" s="835">
        <v>1508156</v>
      </c>
      <c r="BV156" s="835">
        <v>1415343</v>
      </c>
      <c r="BW156" s="835">
        <v>107904</v>
      </c>
      <c r="BX156" s="835">
        <v>1374158</v>
      </c>
      <c r="BY156" s="835">
        <v>145957</v>
      </c>
      <c r="BZ156" s="835">
        <v>178596</v>
      </c>
      <c r="CA156" s="835">
        <v>10470171</v>
      </c>
      <c r="CB156" s="835">
        <v>71300</v>
      </c>
    </row>
    <row r="157" spans="1:80" x14ac:dyDescent="0.25">
      <c r="A157" s="787">
        <v>507</v>
      </c>
      <c r="B157" s="846">
        <v>507</v>
      </c>
      <c r="C157" s="832" t="s">
        <v>283</v>
      </c>
      <c r="D157" s="860" t="s">
        <v>541</v>
      </c>
      <c r="E157" s="829">
        <v>0</v>
      </c>
      <c r="F157" s="798">
        <v>0</v>
      </c>
      <c r="G157" s="798">
        <v>0</v>
      </c>
      <c r="H157" s="798">
        <v>0</v>
      </c>
      <c r="I157" s="798">
        <v>9317</v>
      </c>
      <c r="J157" s="798">
        <v>0</v>
      </c>
      <c r="K157" s="800">
        <v>0</v>
      </c>
      <c r="L157" s="835">
        <v>0</v>
      </c>
      <c r="M157" s="835">
        <v>0</v>
      </c>
      <c r="N157" s="830">
        <v>0</v>
      </c>
      <c r="O157" s="830">
        <v>0</v>
      </c>
      <c r="P157" s="830">
        <v>0</v>
      </c>
      <c r="Q157" s="830">
        <v>0</v>
      </c>
      <c r="R157" s="830">
        <v>0</v>
      </c>
      <c r="S157" s="830">
        <v>0</v>
      </c>
      <c r="T157" s="830">
        <v>0</v>
      </c>
      <c r="U157" s="830">
        <v>0</v>
      </c>
      <c r="V157" s="830">
        <v>0</v>
      </c>
      <c r="W157" s="830">
        <v>0</v>
      </c>
      <c r="X157" s="830">
        <v>0</v>
      </c>
      <c r="Y157" s="830">
        <v>0</v>
      </c>
      <c r="Z157" s="830">
        <v>0</v>
      </c>
      <c r="AA157" s="835">
        <v>46727</v>
      </c>
      <c r="AB157" s="835">
        <v>0</v>
      </c>
      <c r="AC157" s="835">
        <v>0</v>
      </c>
      <c r="AD157" s="835">
        <v>0</v>
      </c>
      <c r="AE157" s="835">
        <v>34701</v>
      </c>
      <c r="AF157" s="835">
        <v>-1</v>
      </c>
      <c r="AG157" s="835">
        <v>1</v>
      </c>
      <c r="AH157" s="835">
        <v>0</v>
      </c>
      <c r="AI157" s="835">
        <v>0</v>
      </c>
      <c r="AJ157" s="835">
        <v>0</v>
      </c>
      <c r="AK157" s="835">
        <v>0</v>
      </c>
      <c r="AL157" s="835">
        <v>0</v>
      </c>
      <c r="AM157" s="835">
        <v>0</v>
      </c>
      <c r="AN157" s="835">
        <v>0</v>
      </c>
      <c r="AO157" s="835">
        <v>0</v>
      </c>
      <c r="AP157" s="835">
        <v>0</v>
      </c>
      <c r="AQ157" s="835">
        <v>0</v>
      </c>
      <c r="AR157" s="835">
        <v>0</v>
      </c>
      <c r="AS157" s="835">
        <v>0</v>
      </c>
      <c r="AT157" s="835">
        <v>0</v>
      </c>
      <c r="AU157" s="835">
        <v>0</v>
      </c>
      <c r="AV157" s="835">
        <v>8569</v>
      </c>
      <c r="AW157" s="835">
        <v>0</v>
      </c>
      <c r="AX157" s="835">
        <v>0</v>
      </c>
      <c r="AY157" s="835">
        <v>0</v>
      </c>
      <c r="AZ157" s="835">
        <v>0</v>
      </c>
      <c r="BA157" s="835">
        <v>0</v>
      </c>
      <c r="BB157" s="835">
        <v>1</v>
      </c>
      <c r="BC157" s="835">
        <v>0</v>
      </c>
      <c r="BD157" s="835">
        <v>0</v>
      </c>
      <c r="BE157" s="835">
        <v>0</v>
      </c>
      <c r="BF157" s="835">
        <v>0</v>
      </c>
      <c r="BG157" s="835">
        <v>417957</v>
      </c>
      <c r="BH157" s="835">
        <v>0</v>
      </c>
      <c r="BI157" s="835">
        <v>0</v>
      </c>
      <c r="BJ157" s="835">
        <v>0</v>
      </c>
      <c r="BK157" s="835">
        <v>0</v>
      </c>
      <c r="BL157" s="835">
        <v>0</v>
      </c>
      <c r="BM157" s="835">
        <v>0</v>
      </c>
      <c r="BN157" s="835">
        <v>0</v>
      </c>
      <c r="BO157" s="835">
        <v>0</v>
      </c>
      <c r="BP157" s="835">
        <v>0</v>
      </c>
      <c r="BQ157" s="835">
        <v>1</v>
      </c>
      <c r="BR157" s="835">
        <v>0</v>
      </c>
      <c r="BS157" s="835">
        <v>0</v>
      </c>
      <c r="BT157" s="835">
        <v>0</v>
      </c>
      <c r="BU157" s="835">
        <v>0</v>
      </c>
      <c r="BV157" s="835">
        <v>0</v>
      </c>
      <c r="BW157" s="835">
        <v>0</v>
      </c>
      <c r="BX157" s="835">
        <v>0</v>
      </c>
      <c r="BY157" s="835">
        <v>0</v>
      </c>
      <c r="BZ157" s="835">
        <v>162</v>
      </c>
      <c r="CA157" s="835">
        <v>0</v>
      </c>
      <c r="CB157" s="835">
        <v>0</v>
      </c>
    </row>
    <row r="158" spans="1:80" x14ac:dyDescent="0.25">
      <c r="A158" s="787">
        <v>508</v>
      </c>
      <c r="B158" s="846">
        <v>508</v>
      </c>
      <c r="C158" s="832" t="s">
        <v>280</v>
      </c>
      <c r="D158" s="860" t="s">
        <v>542</v>
      </c>
      <c r="E158" s="829">
        <v>0</v>
      </c>
      <c r="F158" s="798">
        <v>0</v>
      </c>
      <c r="G158" s="798">
        <v>0</v>
      </c>
      <c r="H158" s="798">
        <v>0</v>
      </c>
      <c r="I158" s="798">
        <v>0</v>
      </c>
      <c r="J158" s="798">
        <v>0</v>
      </c>
      <c r="K158" s="800">
        <v>0</v>
      </c>
      <c r="L158" s="835">
        <v>0</v>
      </c>
      <c r="M158" s="835">
        <v>0</v>
      </c>
      <c r="N158" s="830">
        <v>0</v>
      </c>
      <c r="O158" s="830">
        <v>0</v>
      </c>
      <c r="P158" s="830">
        <v>0</v>
      </c>
      <c r="Q158" s="830">
        <v>0</v>
      </c>
      <c r="R158" s="830">
        <v>0</v>
      </c>
      <c r="S158" s="830">
        <v>0</v>
      </c>
      <c r="T158" s="830">
        <v>0</v>
      </c>
      <c r="U158" s="830">
        <v>0</v>
      </c>
      <c r="V158" s="830">
        <v>0</v>
      </c>
      <c r="W158" s="830">
        <v>0</v>
      </c>
      <c r="X158" s="830">
        <v>0</v>
      </c>
      <c r="Y158" s="830">
        <v>0</v>
      </c>
      <c r="Z158" s="830">
        <v>0</v>
      </c>
      <c r="AA158" s="835">
        <v>0</v>
      </c>
      <c r="AB158" s="835">
        <v>0</v>
      </c>
      <c r="AC158" s="835">
        <v>0</v>
      </c>
      <c r="AD158" s="835">
        <v>0</v>
      </c>
      <c r="AE158" s="835">
        <v>0</v>
      </c>
      <c r="AF158" s="835">
        <v>0</v>
      </c>
      <c r="AG158" s="835">
        <v>0</v>
      </c>
      <c r="AH158" s="835">
        <v>0</v>
      </c>
      <c r="AI158" s="835">
        <v>0</v>
      </c>
      <c r="AJ158" s="835">
        <v>0</v>
      </c>
      <c r="AK158" s="835">
        <v>0</v>
      </c>
      <c r="AL158" s="835">
        <v>0</v>
      </c>
      <c r="AM158" s="835">
        <v>0</v>
      </c>
      <c r="AN158" s="835">
        <v>0</v>
      </c>
      <c r="AO158" s="835">
        <v>0</v>
      </c>
      <c r="AP158" s="835">
        <v>0</v>
      </c>
      <c r="AQ158" s="835">
        <v>0</v>
      </c>
      <c r="AR158" s="835">
        <v>0</v>
      </c>
      <c r="AS158" s="835">
        <v>0</v>
      </c>
      <c r="AT158" s="835">
        <v>0</v>
      </c>
      <c r="AU158" s="835">
        <v>0</v>
      </c>
      <c r="AV158" s="835">
        <v>0</v>
      </c>
      <c r="AW158" s="835">
        <v>0</v>
      </c>
      <c r="AX158" s="835">
        <v>0</v>
      </c>
      <c r="AY158" s="835">
        <v>0</v>
      </c>
      <c r="AZ158" s="835">
        <v>0</v>
      </c>
      <c r="BA158" s="835">
        <v>0</v>
      </c>
      <c r="BB158" s="835">
        <v>0</v>
      </c>
      <c r="BC158" s="835">
        <v>0</v>
      </c>
      <c r="BD158" s="835">
        <v>0</v>
      </c>
      <c r="BE158" s="835">
        <v>0</v>
      </c>
      <c r="BF158" s="835">
        <v>0</v>
      </c>
      <c r="BG158" s="835">
        <v>0</v>
      </c>
      <c r="BH158" s="835">
        <v>0</v>
      </c>
      <c r="BI158" s="835">
        <v>0</v>
      </c>
      <c r="BJ158" s="835">
        <v>0</v>
      </c>
      <c r="BK158" s="835">
        <v>0</v>
      </c>
      <c r="BL158" s="835">
        <v>0</v>
      </c>
      <c r="BM158" s="835">
        <v>0</v>
      </c>
      <c r="BN158" s="835">
        <v>0</v>
      </c>
      <c r="BO158" s="835">
        <v>0</v>
      </c>
      <c r="BP158" s="835">
        <v>0</v>
      </c>
      <c r="BQ158" s="835">
        <v>0</v>
      </c>
      <c r="BR158" s="835">
        <v>0</v>
      </c>
      <c r="BS158" s="835">
        <v>0</v>
      </c>
      <c r="BT158" s="835">
        <v>0</v>
      </c>
      <c r="BU158" s="835">
        <v>0</v>
      </c>
      <c r="BV158" s="835">
        <v>0</v>
      </c>
      <c r="BW158" s="835">
        <v>0</v>
      </c>
      <c r="BX158" s="835">
        <v>0</v>
      </c>
      <c r="BY158" s="835">
        <v>0</v>
      </c>
      <c r="BZ158" s="835">
        <v>0</v>
      </c>
      <c r="CA158" s="835">
        <v>0</v>
      </c>
      <c r="CB158" s="835">
        <v>0</v>
      </c>
    </row>
    <row r="159" spans="1:80" x14ac:dyDescent="0.25">
      <c r="A159" s="787">
        <v>509</v>
      </c>
      <c r="B159" s="846">
        <v>509</v>
      </c>
      <c r="C159" s="832" t="s">
        <v>281</v>
      </c>
      <c r="D159" s="860" t="s">
        <v>543</v>
      </c>
      <c r="E159" s="829">
        <v>0</v>
      </c>
      <c r="F159" s="798">
        <v>0</v>
      </c>
      <c r="G159" s="798">
        <v>0</v>
      </c>
      <c r="H159" s="798">
        <v>2186485</v>
      </c>
      <c r="I159" s="798">
        <v>0</v>
      </c>
      <c r="J159" s="798">
        <v>0</v>
      </c>
      <c r="K159" s="800">
        <v>0</v>
      </c>
      <c r="L159" s="835">
        <v>0</v>
      </c>
      <c r="M159" s="835">
        <v>0</v>
      </c>
      <c r="N159" s="830">
        <v>0</v>
      </c>
      <c r="O159" s="830">
        <v>0</v>
      </c>
      <c r="P159" s="830">
        <v>0</v>
      </c>
      <c r="Q159" s="830">
        <v>0</v>
      </c>
      <c r="R159" s="830">
        <v>0</v>
      </c>
      <c r="S159" s="830">
        <v>0</v>
      </c>
      <c r="T159" s="830">
        <v>0</v>
      </c>
      <c r="U159" s="830">
        <v>0</v>
      </c>
      <c r="V159" s="830">
        <v>0</v>
      </c>
      <c r="W159" s="830">
        <v>0</v>
      </c>
      <c r="X159" s="830">
        <v>0</v>
      </c>
      <c r="Y159" s="830">
        <v>0</v>
      </c>
      <c r="Z159" s="830">
        <v>0</v>
      </c>
      <c r="AA159" s="835">
        <v>0</v>
      </c>
      <c r="AB159" s="835">
        <v>0</v>
      </c>
      <c r="AC159" s="835">
        <v>0</v>
      </c>
      <c r="AD159" s="835">
        <v>0</v>
      </c>
      <c r="AE159" s="835">
        <v>0</v>
      </c>
      <c r="AF159" s="835">
        <v>0</v>
      </c>
      <c r="AG159" s="835">
        <v>0</v>
      </c>
      <c r="AH159" s="835">
        <v>0</v>
      </c>
      <c r="AI159" s="835">
        <v>0</v>
      </c>
      <c r="AJ159" s="835">
        <v>0</v>
      </c>
      <c r="AK159" s="835">
        <v>0</v>
      </c>
      <c r="AL159" s="835">
        <v>0</v>
      </c>
      <c r="AM159" s="835">
        <v>0</v>
      </c>
      <c r="AN159" s="835">
        <v>0</v>
      </c>
      <c r="AO159" s="835">
        <v>0</v>
      </c>
      <c r="AP159" s="835">
        <v>0</v>
      </c>
      <c r="AQ159" s="835">
        <v>0</v>
      </c>
      <c r="AR159" s="835">
        <v>0</v>
      </c>
      <c r="AS159" s="835">
        <v>0</v>
      </c>
      <c r="AT159" s="835">
        <v>0</v>
      </c>
      <c r="AU159" s="835">
        <v>0</v>
      </c>
      <c r="AV159" s="835">
        <v>0</v>
      </c>
      <c r="AW159" s="835">
        <v>0</v>
      </c>
      <c r="AX159" s="835">
        <v>0</v>
      </c>
      <c r="AY159" s="835">
        <v>0</v>
      </c>
      <c r="AZ159" s="835">
        <v>0</v>
      </c>
      <c r="BA159" s="835">
        <v>0</v>
      </c>
      <c r="BB159" s="835">
        <v>0</v>
      </c>
      <c r="BC159" s="835">
        <v>0</v>
      </c>
      <c r="BD159" s="835">
        <v>0</v>
      </c>
      <c r="BE159" s="835">
        <v>0</v>
      </c>
      <c r="BF159" s="835">
        <v>0</v>
      </c>
      <c r="BG159" s="835">
        <v>0</v>
      </c>
      <c r="BH159" s="835">
        <v>0</v>
      </c>
      <c r="BI159" s="835">
        <v>0</v>
      </c>
      <c r="BJ159" s="835">
        <v>0</v>
      </c>
      <c r="BK159" s="835">
        <v>0</v>
      </c>
      <c r="BL159" s="835">
        <v>0</v>
      </c>
      <c r="BM159" s="835">
        <v>0</v>
      </c>
      <c r="BN159" s="835">
        <v>0</v>
      </c>
      <c r="BO159" s="835">
        <v>0</v>
      </c>
      <c r="BP159" s="835">
        <v>0</v>
      </c>
      <c r="BQ159" s="835">
        <v>0</v>
      </c>
      <c r="BR159" s="835">
        <v>0</v>
      </c>
      <c r="BS159" s="835">
        <v>0</v>
      </c>
      <c r="BT159" s="835">
        <v>0</v>
      </c>
      <c r="BU159" s="835">
        <v>0</v>
      </c>
      <c r="BV159" s="835">
        <v>0</v>
      </c>
      <c r="BW159" s="835">
        <v>0</v>
      </c>
      <c r="BX159" s="835">
        <v>0</v>
      </c>
      <c r="BY159" s="835">
        <v>0</v>
      </c>
      <c r="BZ159" s="835">
        <v>0</v>
      </c>
      <c r="CA159" s="835">
        <v>0</v>
      </c>
      <c r="CB159" s="835">
        <v>0</v>
      </c>
    </row>
    <row r="160" spans="1:80" x14ac:dyDescent="0.25">
      <c r="A160" s="787">
        <v>510</v>
      </c>
      <c r="B160" s="846">
        <v>510</v>
      </c>
      <c r="C160" s="832" t="s">
        <v>287</v>
      </c>
      <c r="D160" s="860" t="s">
        <v>544</v>
      </c>
      <c r="E160" s="829">
        <v>0</v>
      </c>
      <c r="F160" s="798">
        <v>0</v>
      </c>
      <c r="G160" s="798">
        <v>0</v>
      </c>
      <c r="H160" s="798">
        <v>278160</v>
      </c>
      <c r="I160" s="798">
        <v>10642</v>
      </c>
      <c r="J160" s="798">
        <v>0</v>
      </c>
      <c r="K160" s="800">
        <v>0</v>
      </c>
      <c r="L160" s="835">
        <v>36064</v>
      </c>
      <c r="M160" s="835">
        <v>0</v>
      </c>
      <c r="N160" s="830">
        <v>0</v>
      </c>
      <c r="O160" s="830">
        <v>0</v>
      </c>
      <c r="P160" s="830">
        <v>0</v>
      </c>
      <c r="Q160" s="830">
        <v>0</v>
      </c>
      <c r="R160" s="830">
        <v>169750</v>
      </c>
      <c r="S160" s="830">
        <v>61100</v>
      </c>
      <c r="T160" s="830">
        <v>451830</v>
      </c>
      <c r="U160" s="830">
        <v>0</v>
      </c>
      <c r="V160" s="830">
        <v>316401</v>
      </c>
      <c r="W160" s="830">
        <v>0</v>
      </c>
      <c r="X160" s="830">
        <v>0</v>
      </c>
      <c r="Y160" s="830">
        <v>0</v>
      </c>
      <c r="Z160" s="830">
        <v>0</v>
      </c>
      <c r="AA160" s="835">
        <v>62091</v>
      </c>
      <c r="AB160" s="835">
        <v>32265</v>
      </c>
      <c r="AC160" s="835">
        <v>0</v>
      </c>
      <c r="AD160" s="835">
        <v>0</v>
      </c>
      <c r="AE160" s="835">
        <v>4945</v>
      </c>
      <c r="AF160" s="835">
        <v>0</v>
      </c>
      <c r="AG160" s="835">
        <v>0</v>
      </c>
      <c r="AH160" s="835">
        <v>0</v>
      </c>
      <c r="AI160" s="835">
        <v>0</v>
      </c>
      <c r="AJ160" s="835">
        <v>0</v>
      </c>
      <c r="AK160" s="835">
        <v>134623</v>
      </c>
      <c r="AL160" s="835">
        <v>0</v>
      </c>
      <c r="AM160" s="835">
        <v>0</v>
      </c>
      <c r="AN160" s="835">
        <v>0</v>
      </c>
      <c r="AO160" s="835">
        <v>149158</v>
      </c>
      <c r="AP160" s="835">
        <v>0</v>
      </c>
      <c r="AQ160" s="835">
        <v>0</v>
      </c>
      <c r="AR160" s="835">
        <v>361704</v>
      </c>
      <c r="AS160" s="835">
        <v>4692</v>
      </c>
      <c r="AT160" s="835">
        <v>0</v>
      </c>
      <c r="AU160" s="835">
        <v>24815</v>
      </c>
      <c r="AV160" s="835">
        <v>75138</v>
      </c>
      <c r="AW160" s="835">
        <v>0</v>
      </c>
      <c r="AX160" s="835">
        <v>0</v>
      </c>
      <c r="AY160" s="835">
        <v>0</v>
      </c>
      <c r="AZ160" s="835">
        <v>81260</v>
      </c>
      <c r="BA160" s="835">
        <v>8244</v>
      </c>
      <c r="BB160" s="835">
        <v>0</v>
      </c>
      <c r="BC160" s="835">
        <v>26766</v>
      </c>
      <c r="BD160" s="835">
        <v>4783</v>
      </c>
      <c r="BE160" s="835">
        <v>0</v>
      </c>
      <c r="BF160" s="835">
        <v>711356</v>
      </c>
      <c r="BG160" s="835">
        <v>2520</v>
      </c>
      <c r="BH160" s="835">
        <v>0</v>
      </c>
      <c r="BI160" s="835">
        <v>108010</v>
      </c>
      <c r="BJ160" s="835">
        <v>1628</v>
      </c>
      <c r="BK160" s="835">
        <v>0</v>
      </c>
      <c r="BL160" s="835">
        <v>198562</v>
      </c>
      <c r="BM160" s="835">
        <v>0</v>
      </c>
      <c r="BN160" s="835">
        <v>0</v>
      </c>
      <c r="BO160" s="835">
        <v>60370</v>
      </c>
      <c r="BP160" s="835">
        <v>75121</v>
      </c>
      <c r="BQ160" s="835">
        <v>52140</v>
      </c>
      <c r="BR160" s="835">
        <v>57790</v>
      </c>
      <c r="BS160" s="835">
        <v>0</v>
      </c>
      <c r="BT160" s="835">
        <v>0</v>
      </c>
      <c r="BU160" s="835">
        <v>20124</v>
      </c>
      <c r="BV160" s="835">
        <v>42565</v>
      </c>
      <c r="BW160" s="835">
        <v>3746</v>
      </c>
      <c r="BX160" s="835">
        <v>1025</v>
      </c>
      <c r="BY160" s="835">
        <v>0</v>
      </c>
      <c r="BZ160" s="835">
        <v>0</v>
      </c>
      <c r="CA160" s="835">
        <v>1310</v>
      </c>
      <c r="CB160" s="835">
        <v>0</v>
      </c>
    </row>
    <row r="161" spans="1:80" x14ac:dyDescent="0.25">
      <c r="A161" s="787">
        <v>511</v>
      </c>
      <c r="B161" s="846">
        <v>511</v>
      </c>
      <c r="C161" s="832" t="s">
        <v>292</v>
      </c>
      <c r="D161" s="860" t="s">
        <v>545</v>
      </c>
      <c r="E161" s="829">
        <v>0</v>
      </c>
      <c r="F161" s="798">
        <v>0</v>
      </c>
      <c r="G161" s="798">
        <v>0</v>
      </c>
      <c r="H161" s="798">
        <v>0</v>
      </c>
      <c r="I161" s="798">
        <v>0</v>
      </c>
      <c r="J161" s="798">
        <v>0</v>
      </c>
      <c r="K161" s="800">
        <v>0</v>
      </c>
      <c r="L161" s="835">
        <v>0</v>
      </c>
      <c r="M161" s="835">
        <v>0</v>
      </c>
      <c r="N161" s="830">
        <v>0</v>
      </c>
      <c r="O161" s="830">
        <v>0</v>
      </c>
      <c r="P161" s="830">
        <v>0</v>
      </c>
      <c r="Q161" s="830">
        <v>0</v>
      </c>
      <c r="R161" s="830">
        <v>0</v>
      </c>
      <c r="S161" s="830">
        <v>0</v>
      </c>
      <c r="T161" s="830">
        <v>466883</v>
      </c>
      <c r="U161" s="830">
        <v>0</v>
      </c>
      <c r="V161" s="830">
        <v>1017907</v>
      </c>
      <c r="W161" s="830">
        <v>0</v>
      </c>
      <c r="X161" s="830">
        <v>0</v>
      </c>
      <c r="Y161" s="830">
        <v>0</v>
      </c>
      <c r="Z161" s="830">
        <v>0</v>
      </c>
      <c r="AA161" s="835">
        <v>261849</v>
      </c>
      <c r="AB161" s="835">
        <v>0</v>
      </c>
      <c r="AC161" s="835">
        <v>0</v>
      </c>
      <c r="AD161" s="835">
        <v>0</v>
      </c>
      <c r="AE161" s="835">
        <v>0</v>
      </c>
      <c r="AF161" s="835">
        <v>0</v>
      </c>
      <c r="AG161" s="835">
        <v>0</v>
      </c>
      <c r="AH161" s="835">
        <v>0</v>
      </c>
      <c r="AI161" s="835">
        <v>0</v>
      </c>
      <c r="AJ161" s="835">
        <v>0</v>
      </c>
      <c r="AK161" s="835">
        <v>1128552</v>
      </c>
      <c r="AL161" s="835">
        <v>0</v>
      </c>
      <c r="AM161" s="835">
        <v>0</v>
      </c>
      <c r="AN161" s="835">
        <v>0</v>
      </c>
      <c r="AO161" s="835">
        <v>0</v>
      </c>
      <c r="AP161" s="835">
        <v>0</v>
      </c>
      <c r="AQ161" s="835">
        <v>0</v>
      </c>
      <c r="AR161" s="835">
        <v>1360717</v>
      </c>
      <c r="AS161" s="835">
        <v>0</v>
      </c>
      <c r="AT161" s="835">
        <v>0</v>
      </c>
      <c r="AU161" s="835">
        <v>0</v>
      </c>
      <c r="AV161" s="835">
        <v>74355</v>
      </c>
      <c r="AW161" s="835">
        <v>0</v>
      </c>
      <c r="AX161" s="835">
        <v>0</v>
      </c>
      <c r="AY161" s="835">
        <v>0</v>
      </c>
      <c r="AZ161" s="835">
        <v>0</v>
      </c>
      <c r="BA161" s="835">
        <v>0</v>
      </c>
      <c r="BB161" s="835">
        <v>0</v>
      </c>
      <c r="BC161" s="835">
        <v>0</v>
      </c>
      <c r="BD161" s="835">
        <v>67272</v>
      </c>
      <c r="BE161" s="835">
        <v>0</v>
      </c>
      <c r="BF161" s="835">
        <v>651994</v>
      </c>
      <c r="BG161" s="835">
        <v>15185</v>
      </c>
      <c r="BH161" s="835">
        <v>0</v>
      </c>
      <c r="BI161" s="835">
        <v>0</v>
      </c>
      <c r="BJ161" s="835">
        <v>0</v>
      </c>
      <c r="BK161" s="835">
        <v>0</v>
      </c>
      <c r="BL161" s="835">
        <v>470354</v>
      </c>
      <c r="BM161" s="835">
        <v>0</v>
      </c>
      <c r="BN161" s="835">
        <v>0</v>
      </c>
      <c r="BO161" s="835">
        <v>0</v>
      </c>
      <c r="BP161" s="835">
        <v>0</v>
      </c>
      <c r="BQ161" s="835">
        <v>0</v>
      </c>
      <c r="BR161" s="835">
        <v>0</v>
      </c>
      <c r="BS161" s="835">
        <v>0</v>
      </c>
      <c r="BT161" s="835">
        <v>0</v>
      </c>
      <c r="BU161" s="835">
        <v>0</v>
      </c>
      <c r="BV161" s="835">
        <v>0</v>
      </c>
      <c r="BW161" s="835">
        <v>0</v>
      </c>
      <c r="BX161" s="835">
        <v>0</v>
      </c>
      <c r="BY161" s="835">
        <v>0</v>
      </c>
      <c r="BZ161" s="835">
        <v>0</v>
      </c>
      <c r="CA161" s="835">
        <v>0</v>
      </c>
      <c r="CB161" s="835">
        <v>0</v>
      </c>
    </row>
    <row r="162" spans="1:80" x14ac:dyDescent="0.25">
      <c r="A162" s="787">
        <v>512</v>
      </c>
      <c r="B162" s="846">
        <v>512</v>
      </c>
      <c r="C162" s="832" t="s">
        <v>319</v>
      </c>
      <c r="D162" s="860" t="s">
        <v>546</v>
      </c>
      <c r="E162" s="829">
        <v>0</v>
      </c>
      <c r="F162" s="798">
        <v>0</v>
      </c>
      <c r="G162" s="798">
        <v>0</v>
      </c>
      <c r="H162" s="798">
        <v>0</v>
      </c>
      <c r="I162" s="798">
        <v>0</v>
      </c>
      <c r="J162" s="798">
        <v>0</v>
      </c>
      <c r="K162" s="800">
        <v>0</v>
      </c>
      <c r="L162" s="835">
        <v>0</v>
      </c>
      <c r="M162" s="835">
        <v>0</v>
      </c>
      <c r="N162" s="830">
        <v>0</v>
      </c>
      <c r="O162" s="830">
        <v>0</v>
      </c>
      <c r="P162" s="830">
        <v>0</v>
      </c>
      <c r="Q162" s="830">
        <v>0</v>
      </c>
      <c r="R162" s="830">
        <v>261926</v>
      </c>
      <c r="S162" s="830">
        <v>0</v>
      </c>
      <c r="T162" s="830">
        <v>233533</v>
      </c>
      <c r="U162" s="830">
        <v>0</v>
      </c>
      <c r="V162" s="830">
        <v>0</v>
      </c>
      <c r="W162" s="830">
        <v>0</v>
      </c>
      <c r="X162" s="830">
        <v>84824</v>
      </c>
      <c r="Y162" s="830">
        <v>0</v>
      </c>
      <c r="Z162" s="830">
        <v>0</v>
      </c>
      <c r="AA162" s="835">
        <v>0</v>
      </c>
      <c r="AB162" s="835">
        <v>20219</v>
      </c>
      <c r="AC162" s="835">
        <v>0</v>
      </c>
      <c r="AD162" s="835">
        <v>0</v>
      </c>
      <c r="AE162" s="835">
        <v>0</v>
      </c>
      <c r="AF162" s="835">
        <v>0</v>
      </c>
      <c r="AG162" s="835">
        <v>0</v>
      </c>
      <c r="AH162" s="835">
        <v>0</v>
      </c>
      <c r="AI162" s="835">
        <v>0</v>
      </c>
      <c r="AJ162" s="835">
        <v>0</v>
      </c>
      <c r="AK162" s="835">
        <v>110308</v>
      </c>
      <c r="AL162" s="835">
        <v>0</v>
      </c>
      <c r="AM162" s="835">
        <v>0</v>
      </c>
      <c r="AN162" s="835">
        <v>0</v>
      </c>
      <c r="AO162" s="835">
        <v>1941</v>
      </c>
      <c r="AP162" s="835">
        <v>0</v>
      </c>
      <c r="AQ162" s="835">
        <v>0</v>
      </c>
      <c r="AR162" s="835">
        <v>0</v>
      </c>
      <c r="AS162" s="835">
        <v>0</v>
      </c>
      <c r="AT162" s="835">
        <v>35414</v>
      </c>
      <c r="AU162" s="835">
        <v>0</v>
      </c>
      <c r="AV162" s="835">
        <v>0</v>
      </c>
      <c r="AW162" s="835">
        <v>0</v>
      </c>
      <c r="AX162" s="835">
        <v>0</v>
      </c>
      <c r="AY162" s="835">
        <v>0</v>
      </c>
      <c r="AZ162" s="835">
        <v>0</v>
      </c>
      <c r="BA162" s="835">
        <v>10288</v>
      </c>
      <c r="BB162" s="835">
        <v>0</v>
      </c>
      <c r="BC162" s="835">
        <v>0</v>
      </c>
      <c r="BD162" s="835">
        <v>0</v>
      </c>
      <c r="BE162" s="835">
        <v>0</v>
      </c>
      <c r="BF162" s="835">
        <v>41280</v>
      </c>
      <c r="BG162" s="835">
        <v>0</v>
      </c>
      <c r="BH162" s="835">
        <v>0</v>
      </c>
      <c r="BI162" s="835">
        <v>97682</v>
      </c>
      <c r="BJ162" s="835">
        <v>0</v>
      </c>
      <c r="BK162" s="835">
        <v>0</v>
      </c>
      <c r="BL162" s="835">
        <v>0</v>
      </c>
      <c r="BM162" s="835">
        <v>0</v>
      </c>
      <c r="BN162" s="835">
        <v>0</v>
      </c>
      <c r="BO162" s="835">
        <v>0</v>
      </c>
      <c r="BP162" s="835">
        <v>0</v>
      </c>
      <c r="BQ162" s="835">
        <v>0</v>
      </c>
      <c r="BR162" s="835">
        <v>0</v>
      </c>
      <c r="BS162" s="835">
        <v>0</v>
      </c>
      <c r="BT162" s="835">
        <v>0</v>
      </c>
      <c r="BU162" s="835">
        <v>0</v>
      </c>
      <c r="BV162" s="835">
        <v>0</v>
      </c>
      <c r="BW162" s="835">
        <v>800</v>
      </c>
      <c r="BX162" s="835">
        <v>471000</v>
      </c>
      <c r="BY162" s="835">
        <v>0</v>
      </c>
      <c r="BZ162" s="835">
        <v>0</v>
      </c>
      <c r="CA162" s="835">
        <v>0</v>
      </c>
      <c r="CB162" s="835">
        <v>0</v>
      </c>
    </row>
    <row r="163" spans="1:80" x14ac:dyDescent="0.25">
      <c r="A163" s="787">
        <v>513</v>
      </c>
      <c r="B163" s="846">
        <v>513</v>
      </c>
      <c r="C163" s="832" t="s">
        <v>330</v>
      </c>
      <c r="D163" s="860" t="s">
        <v>547</v>
      </c>
      <c r="E163" s="829">
        <v>0</v>
      </c>
      <c r="F163" s="798">
        <v>0</v>
      </c>
      <c r="G163" s="798">
        <v>0</v>
      </c>
      <c r="H163" s="798">
        <v>0</v>
      </c>
      <c r="I163" s="798">
        <v>0</v>
      </c>
      <c r="J163" s="798">
        <v>0</v>
      </c>
      <c r="K163" s="800">
        <v>0</v>
      </c>
      <c r="L163" s="835">
        <v>0</v>
      </c>
      <c r="M163" s="835">
        <v>0</v>
      </c>
      <c r="N163" s="830">
        <v>0</v>
      </c>
      <c r="O163" s="830">
        <v>0</v>
      </c>
      <c r="P163" s="830">
        <v>0</v>
      </c>
      <c r="Q163" s="830">
        <v>0</v>
      </c>
      <c r="R163" s="830">
        <v>0</v>
      </c>
      <c r="S163" s="830">
        <v>0</v>
      </c>
      <c r="T163" s="830">
        <v>0</v>
      </c>
      <c r="U163" s="830">
        <v>0</v>
      </c>
      <c r="V163" s="830">
        <v>0</v>
      </c>
      <c r="W163" s="830">
        <v>0</v>
      </c>
      <c r="X163" s="830">
        <v>0</v>
      </c>
      <c r="Y163" s="830">
        <v>0</v>
      </c>
      <c r="Z163" s="830">
        <v>0</v>
      </c>
      <c r="AA163" s="835">
        <v>0</v>
      </c>
      <c r="AB163" s="835">
        <v>0</v>
      </c>
      <c r="AC163" s="835">
        <v>0</v>
      </c>
      <c r="AD163" s="835">
        <v>0</v>
      </c>
      <c r="AE163" s="835">
        <v>0</v>
      </c>
      <c r="AF163" s="835">
        <v>0</v>
      </c>
      <c r="AG163" s="835">
        <v>0</v>
      </c>
      <c r="AH163" s="835">
        <v>0</v>
      </c>
      <c r="AI163" s="835">
        <v>0</v>
      </c>
      <c r="AJ163" s="835">
        <v>0</v>
      </c>
      <c r="AK163" s="835">
        <v>0</v>
      </c>
      <c r="AL163" s="835">
        <v>0</v>
      </c>
      <c r="AM163" s="835">
        <v>0</v>
      </c>
      <c r="AN163" s="835">
        <v>0</v>
      </c>
      <c r="AO163" s="835">
        <v>0</v>
      </c>
      <c r="AP163" s="835">
        <v>0</v>
      </c>
      <c r="AQ163" s="835">
        <v>0</v>
      </c>
      <c r="AR163" s="835">
        <v>0</v>
      </c>
      <c r="AS163" s="835">
        <v>0</v>
      </c>
      <c r="AT163" s="835">
        <v>0</v>
      </c>
      <c r="AU163" s="835">
        <v>0</v>
      </c>
      <c r="AV163" s="835">
        <v>0</v>
      </c>
      <c r="AW163" s="835">
        <v>0</v>
      </c>
      <c r="AX163" s="835">
        <v>0</v>
      </c>
      <c r="AY163" s="835">
        <v>0</v>
      </c>
      <c r="AZ163" s="835">
        <v>0</v>
      </c>
      <c r="BA163" s="835">
        <v>0</v>
      </c>
      <c r="BB163" s="835">
        <v>0</v>
      </c>
      <c r="BC163" s="835">
        <v>0</v>
      </c>
      <c r="BD163" s="835">
        <v>0</v>
      </c>
      <c r="BE163" s="835">
        <v>0</v>
      </c>
      <c r="BF163" s="835">
        <v>0</v>
      </c>
      <c r="BG163" s="835">
        <v>0</v>
      </c>
      <c r="BH163" s="835">
        <v>0</v>
      </c>
      <c r="BI163" s="835">
        <v>0</v>
      </c>
      <c r="BJ163" s="835">
        <v>0</v>
      </c>
      <c r="BK163" s="835">
        <v>0</v>
      </c>
      <c r="BL163" s="835">
        <v>0</v>
      </c>
      <c r="BM163" s="835">
        <v>0</v>
      </c>
      <c r="BN163" s="835">
        <v>0</v>
      </c>
      <c r="BO163" s="835">
        <v>0</v>
      </c>
      <c r="BP163" s="835">
        <v>0</v>
      </c>
      <c r="BQ163" s="835">
        <v>0</v>
      </c>
      <c r="BR163" s="835">
        <v>0</v>
      </c>
      <c r="BS163" s="835">
        <v>0</v>
      </c>
      <c r="BT163" s="835">
        <v>0</v>
      </c>
      <c r="BU163" s="835">
        <v>0</v>
      </c>
      <c r="BV163" s="835">
        <v>0</v>
      </c>
      <c r="BW163" s="835">
        <v>0</v>
      </c>
      <c r="BX163" s="835">
        <v>0</v>
      </c>
      <c r="BY163" s="835">
        <v>0</v>
      </c>
      <c r="BZ163" s="835">
        <v>0</v>
      </c>
      <c r="CA163" s="835">
        <v>0</v>
      </c>
      <c r="CB163" s="835">
        <v>0</v>
      </c>
    </row>
    <row r="164" spans="1:80" x14ac:dyDescent="0.25">
      <c r="A164" s="787">
        <v>514</v>
      </c>
      <c r="B164" s="846">
        <v>514</v>
      </c>
      <c r="C164" s="832" t="s">
        <v>331</v>
      </c>
      <c r="D164" s="860" t="s">
        <v>548</v>
      </c>
      <c r="E164" s="829">
        <v>0</v>
      </c>
      <c r="F164" s="798">
        <v>0</v>
      </c>
      <c r="G164" s="798">
        <v>0</v>
      </c>
      <c r="H164" s="798">
        <v>0</v>
      </c>
      <c r="I164" s="798">
        <v>0</v>
      </c>
      <c r="J164" s="798">
        <v>0</v>
      </c>
      <c r="K164" s="800">
        <v>0</v>
      </c>
      <c r="L164" s="835">
        <v>0</v>
      </c>
      <c r="M164" s="835">
        <v>0</v>
      </c>
      <c r="N164" s="830">
        <v>0</v>
      </c>
      <c r="O164" s="830">
        <v>0</v>
      </c>
      <c r="P164" s="830">
        <v>0</v>
      </c>
      <c r="Q164" s="830">
        <v>0</v>
      </c>
      <c r="R164" s="830">
        <v>0</v>
      </c>
      <c r="S164" s="830">
        <v>0</v>
      </c>
      <c r="T164" s="830">
        <v>2308057</v>
      </c>
      <c r="U164" s="830">
        <v>0</v>
      </c>
      <c r="V164" s="830">
        <v>2428000</v>
      </c>
      <c r="W164" s="830">
        <v>0</v>
      </c>
      <c r="X164" s="830">
        <v>0</v>
      </c>
      <c r="Y164" s="830">
        <v>0</v>
      </c>
      <c r="Z164" s="830">
        <v>0</v>
      </c>
      <c r="AA164" s="835">
        <v>70000</v>
      </c>
      <c r="AB164" s="835">
        <v>0</v>
      </c>
      <c r="AC164" s="835">
        <v>0</v>
      </c>
      <c r="AD164" s="835">
        <v>0</v>
      </c>
      <c r="AE164" s="835">
        <v>0</v>
      </c>
      <c r="AF164" s="835">
        <v>0</v>
      </c>
      <c r="AG164" s="835">
        <v>0</v>
      </c>
      <c r="AH164" s="835">
        <v>0</v>
      </c>
      <c r="AI164" s="835">
        <v>0</v>
      </c>
      <c r="AJ164" s="835">
        <v>0</v>
      </c>
      <c r="AK164" s="835">
        <v>65429</v>
      </c>
      <c r="AL164" s="835">
        <v>0</v>
      </c>
      <c r="AM164" s="835">
        <v>0</v>
      </c>
      <c r="AN164" s="835">
        <v>0</v>
      </c>
      <c r="AO164" s="835">
        <v>0</v>
      </c>
      <c r="AP164" s="835">
        <v>0</v>
      </c>
      <c r="AQ164" s="835">
        <v>0</v>
      </c>
      <c r="AR164" s="835">
        <v>1433688</v>
      </c>
      <c r="AS164" s="835">
        <v>0</v>
      </c>
      <c r="AT164" s="835">
        <v>0</v>
      </c>
      <c r="AU164" s="835">
        <v>0</v>
      </c>
      <c r="AV164" s="835">
        <v>25975</v>
      </c>
      <c r="AW164" s="835">
        <v>0</v>
      </c>
      <c r="AX164" s="835">
        <v>0</v>
      </c>
      <c r="AY164" s="835">
        <v>0</v>
      </c>
      <c r="AZ164" s="835">
        <v>0</v>
      </c>
      <c r="BA164" s="835">
        <v>368724</v>
      </c>
      <c r="BB164" s="835">
        <v>0</v>
      </c>
      <c r="BC164" s="835">
        <v>0</v>
      </c>
      <c r="BD164" s="835">
        <v>0</v>
      </c>
      <c r="BE164" s="835">
        <v>0</v>
      </c>
      <c r="BF164" s="835">
        <v>1404320</v>
      </c>
      <c r="BG164" s="835">
        <v>0</v>
      </c>
      <c r="BH164" s="835">
        <v>0</v>
      </c>
      <c r="BI164" s="835">
        <v>0</v>
      </c>
      <c r="BJ164" s="835">
        <v>0</v>
      </c>
      <c r="BK164" s="835">
        <v>0</v>
      </c>
      <c r="BL164" s="835">
        <v>130000</v>
      </c>
      <c r="BM164" s="835">
        <v>0</v>
      </c>
      <c r="BN164" s="835">
        <v>0</v>
      </c>
      <c r="BO164" s="835">
        <v>0</v>
      </c>
      <c r="BP164" s="835">
        <v>0</v>
      </c>
      <c r="BQ164" s="835">
        <v>0</v>
      </c>
      <c r="BR164" s="835">
        <v>0</v>
      </c>
      <c r="BS164" s="835">
        <v>0</v>
      </c>
      <c r="BT164" s="835">
        <v>0</v>
      </c>
      <c r="BU164" s="835">
        <v>0</v>
      </c>
      <c r="BV164" s="835">
        <v>0</v>
      </c>
      <c r="BW164" s="835">
        <v>0</v>
      </c>
      <c r="BX164" s="835">
        <v>0</v>
      </c>
      <c r="BY164" s="835">
        <v>0</v>
      </c>
      <c r="BZ164" s="835">
        <v>0</v>
      </c>
      <c r="CA164" s="835">
        <v>0</v>
      </c>
      <c r="CB164" s="835">
        <v>0</v>
      </c>
    </row>
    <row r="165" spans="1:80" x14ac:dyDescent="0.25">
      <c r="A165" s="787">
        <v>515</v>
      </c>
      <c r="B165" s="846">
        <v>515</v>
      </c>
      <c r="C165" s="832" t="s">
        <v>344</v>
      </c>
      <c r="D165" s="860" t="s">
        <v>549</v>
      </c>
      <c r="E165" s="829">
        <v>0</v>
      </c>
      <c r="F165" s="798">
        <v>0</v>
      </c>
      <c r="G165" s="798">
        <v>0</v>
      </c>
      <c r="H165" s="798">
        <v>114724608</v>
      </c>
      <c r="I165" s="798">
        <v>1379770</v>
      </c>
      <c r="J165" s="798">
        <v>0</v>
      </c>
      <c r="K165" s="800">
        <v>0</v>
      </c>
      <c r="L165" s="835">
        <v>0</v>
      </c>
      <c r="M165" s="835">
        <v>22895344</v>
      </c>
      <c r="N165" s="830">
        <v>0</v>
      </c>
      <c r="O165" s="830">
        <v>0</v>
      </c>
      <c r="P165" s="830">
        <v>87396</v>
      </c>
      <c r="Q165" s="830">
        <v>0</v>
      </c>
      <c r="R165" s="830">
        <v>742321</v>
      </c>
      <c r="S165" s="830">
        <v>494360</v>
      </c>
      <c r="T165" s="830">
        <v>14522183</v>
      </c>
      <c r="U165" s="830">
        <v>0</v>
      </c>
      <c r="V165" s="830">
        <v>41898079</v>
      </c>
      <c r="W165" s="830">
        <v>0</v>
      </c>
      <c r="X165" s="830">
        <v>0</v>
      </c>
      <c r="Y165" s="830">
        <v>0</v>
      </c>
      <c r="Z165" s="830">
        <v>193162</v>
      </c>
      <c r="AA165" s="835">
        <v>0</v>
      </c>
      <c r="AB165" s="835">
        <v>0</v>
      </c>
      <c r="AC165" s="835">
        <v>0</v>
      </c>
      <c r="AD165" s="835">
        <v>0</v>
      </c>
      <c r="AE165" s="835">
        <v>0</v>
      </c>
      <c r="AF165" s="835">
        <v>219072</v>
      </c>
      <c r="AG165" s="835">
        <v>0</v>
      </c>
      <c r="AH165" s="835">
        <v>0</v>
      </c>
      <c r="AI165" s="835">
        <v>0</v>
      </c>
      <c r="AJ165" s="835">
        <v>0</v>
      </c>
      <c r="AK165" s="835">
        <v>0</v>
      </c>
      <c r="AL165" s="835">
        <v>73000</v>
      </c>
      <c r="AM165" s="835">
        <v>0</v>
      </c>
      <c r="AN165" s="835">
        <v>0</v>
      </c>
      <c r="AO165" s="835">
        <v>0</v>
      </c>
      <c r="AP165" s="835">
        <v>0</v>
      </c>
      <c r="AQ165" s="835">
        <v>0</v>
      </c>
      <c r="AR165" s="835">
        <v>851923</v>
      </c>
      <c r="AS165" s="835">
        <v>430644</v>
      </c>
      <c r="AT165" s="835">
        <v>33338</v>
      </c>
      <c r="AU165" s="835">
        <v>206953</v>
      </c>
      <c r="AV165" s="835">
        <v>14215117</v>
      </c>
      <c r="AW165" s="835">
        <v>108060</v>
      </c>
      <c r="AX165" s="835">
        <v>48825</v>
      </c>
      <c r="AY165" s="835">
        <v>0</v>
      </c>
      <c r="AZ165" s="835">
        <v>0</v>
      </c>
      <c r="BA165" s="835">
        <v>834343</v>
      </c>
      <c r="BB165" s="835">
        <v>0</v>
      </c>
      <c r="BC165" s="835">
        <v>16683</v>
      </c>
      <c r="BD165" s="835">
        <v>0</v>
      </c>
      <c r="BE165" s="835">
        <v>0</v>
      </c>
      <c r="BF165" s="835">
        <v>18580814</v>
      </c>
      <c r="BG165" s="835">
        <v>0</v>
      </c>
      <c r="BH165" s="835">
        <v>0</v>
      </c>
      <c r="BI165" s="835">
        <v>0</v>
      </c>
      <c r="BJ165" s="835">
        <v>0</v>
      </c>
      <c r="BK165" s="835">
        <v>0</v>
      </c>
      <c r="BL165" s="835">
        <v>0</v>
      </c>
      <c r="BM165" s="835">
        <v>0</v>
      </c>
      <c r="BN165" s="835">
        <v>0</v>
      </c>
      <c r="BO165" s="835">
        <v>7521010</v>
      </c>
      <c r="BP165" s="835">
        <v>671860</v>
      </c>
      <c r="BQ165" s="835">
        <v>0</v>
      </c>
      <c r="BR165" s="835">
        <v>364151</v>
      </c>
      <c r="BS165" s="835">
        <v>0</v>
      </c>
      <c r="BT165" s="835">
        <v>0</v>
      </c>
      <c r="BU165" s="835">
        <v>2483050</v>
      </c>
      <c r="BV165" s="835">
        <v>0</v>
      </c>
      <c r="BW165" s="835">
        <v>0</v>
      </c>
      <c r="BX165" s="835">
        <v>0</v>
      </c>
      <c r="BY165" s="835">
        <v>0</v>
      </c>
      <c r="BZ165" s="835">
        <v>0</v>
      </c>
      <c r="CA165" s="835">
        <v>8343212</v>
      </c>
      <c r="CB165" s="835">
        <v>0</v>
      </c>
    </row>
    <row r="166" spans="1:80" x14ac:dyDescent="0.25">
      <c r="A166" s="787">
        <v>516</v>
      </c>
      <c r="B166" s="846">
        <v>516</v>
      </c>
      <c r="C166" s="832" t="s">
        <v>345</v>
      </c>
      <c r="D166" s="860" t="s">
        <v>550</v>
      </c>
      <c r="E166" s="829">
        <v>0</v>
      </c>
      <c r="F166" s="798">
        <v>0</v>
      </c>
      <c r="G166" s="798">
        <v>2743411</v>
      </c>
      <c r="H166" s="798">
        <v>132028786</v>
      </c>
      <c r="I166" s="798">
        <v>12335825</v>
      </c>
      <c r="J166" s="798">
        <v>1900586</v>
      </c>
      <c r="K166" s="800">
        <v>10450708</v>
      </c>
      <c r="L166" s="835">
        <v>8112744</v>
      </c>
      <c r="M166" s="835">
        <v>93555484</v>
      </c>
      <c r="N166" s="830">
        <v>0</v>
      </c>
      <c r="O166" s="830">
        <v>5050232</v>
      </c>
      <c r="P166" s="830">
        <v>6476409</v>
      </c>
      <c r="Q166" s="830">
        <v>0</v>
      </c>
      <c r="R166" s="830">
        <v>20698012</v>
      </c>
      <c r="S166" s="830">
        <v>39439433</v>
      </c>
      <c r="T166" s="830">
        <v>29847375</v>
      </c>
      <c r="U166" s="830">
        <v>3487307</v>
      </c>
      <c r="V166" s="830">
        <v>68318427</v>
      </c>
      <c r="W166" s="830">
        <v>0</v>
      </c>
      <c r="X166" s="830">
        <v>0</v>
      </c>
      <c r="Y166" s="830">
        <v>0</v>
      </c>
      <c r="Z166" s="830">
        <v>9446032</v>
      </c>
      <c r="AA166" s="835">
        <v>14873440</v>
      </c>
      <c r="AB166" s="835">
        <v>10332893</v>
      </c>
      <c r="AC166" s="835">
        <v>0</v>
      </c>
      <c r="AD166" s="835">
        <v>766283</v>
      </c>
      <c r="AE166" s="835">
        <v>14222748</v>
      </c>
      <c r="AF166" s="835">
        <v>18587269</v>
      </c>
      <c r="AG166" s="835">
        <v>1286321</v>
      </c>
      <c r="AH166" s="835">
        <v>0</v>
      </c>
      <c r="AI166" s="835">
        <v>0</v>
      </c>
      <c r="AJ166" s="835">
        <v>2944212</v>
      </c>
      <c r="AK166" s="835">
        <v>60102561</v>
      </c>
      <c r="AL166" s="835">
        <v>2131288</v>
      </c>
      <c r="AM166" s="835">
        <v>0</v>
      </c>
      <c r="AN166" s="835">
        <v>47514897</v>
      </c>
      <c r="AO166" s="835">
        <v>68694716</v>
      </c>
      <c r="AP166" s="835">
        <v>1375337</v>
      </c>
      <c r="AQ166" s="835">
        <v>0</v>
      </c>
      <c r="AR166" s="835">
        <v>72374512</v>
      </c>
      <c r="AS166" s="835">
        <v>9650211</v>
      </c>
      <c r="AT166" s="835">
        <v>5958333</v>
      </c>
      <c r="AU166" s="835">
        <v>6453039</v>
      </c>
      <c r="AV166" s="835">
        <v>46922926</v>
      </c>
      <c r="AW166" s="835">
        <v>1742830</v>
      </c>
      <c r="AX166" s="835">
        <v>7227037</v>
      </c>
      <c r="AY166" s="835">
        <v>13628125</v>
      </c>
      <c r="AZ166" s="835">
        <v>16118395</v>
      </c>
      <c r="BA166" s="835">
        <v>23631191</v>
      </c>
      <c r="BB166" s="835">
        <v>0</v>
      </c>
      <c r="BC166" s="835">
        <v>6682033</v>
      </c>
      <c r="BD166" s="835">
        <v>4687990</v>
      </c>
      <c r="BE166" s="835">
        <v>0</v>
      </c>
      <c r="BF166" s="835">
        <v>64544244</v>
      </c>
      <c r="BG166" s="835">
        <v>5041807</v>
      </c>
      <c r="BH166" s="835">
        <v>0</v>
      </c>
      <c r="BI166" s="835">
        <v>11178111</v>
      </c>
      <c r="BJ166" s="835">
        <v>8263598</v>
      </c>
      <c r="BK166" s="835">
        <v>6605242</v>
      </c>
      <c r="BL166" s="835">
        <v>18868199</v>
      </c>
      <c r="BM166" s="835">
        <v>10701564</v>
      </c>
      <c r="BN166" s="835">
        <v>0</v>
      </c>
      <c r="BO166" s="835">
        <v>24243427</v>
      </c>
      <c r="BP166" s="835">
        <v>14131997</v>
      </c>
      <c r="BQ166" s="835">
        <v>12255143</v>
      </c>
      <c r="BR166" s="835">
        <v>5549916</v>
      </c>
      <c r="BS166" s="835">
        <v>0</v>
      </c>
      <c r="BT166" s="835">
        <v>0</v>
      </c>
      <c r="BU166" s="835">
        <v>2704000</v>
      </c>
      <c r="BV166" s="835">
        <v>23442820</v>
      </c>
      <c r="BW166" s="835">
        <v>5905822</v>
      </c>
      <c r="BX166" s="835">
        <v>1691705</v>
      </c>
      <c r="BY166" s="835">
        <v>0</v>
      </c>
      <c r="BZ166" s="835">
        <v>0</v>
      </c>
      <c r="CA166" s="835">
        <v>54816817</v>
      </c>
      <c r="CB166" s="835">
        <v>0</v>
      </c>
    </row>
    <row r="167" spans="1:80" x14ac:dyDescent="0.25">
      <c r="A167" s="787">
        <v>517</v>
      </c>
      <c r="B167" s="846">
        <v>517</v>
      </c>
      <c r="C167" s="832" t="s">
        <v>346</v>
      </c>
      <c r="D167" s="860" t="s">
        <v>551</v>
      </c>
      <c r="E167" s="829">
        <v>0</v>
      </c>
      <c r="F167" s="798">
        <v>0</v>
      </c>
      <c r="G167" s="798">
        <v>0</v>
      </c>
      <c r="H167" s="798">
        <v>0</v>
      </c>
      <c r="I167" s="798">
        <v>0</v>
      </c>
      <c r="J167" s="798">
        <v>0</v>
      </c>
      <c r="K167" s="800">
        <v>0</v>
      </c>
      <c r="L167" s="835">
        <v>0</v>
      </c>
      <c r="M167" s="835">
        <v>0</v>
      </c>
      <c r="N167" s="830">
        <v>0</v>
      </c>
      <c r="O167" s="830">
        <v>0</v>
      </c>
      <c r="P167" s="830">
        <v>0</v>
      </c>
      <c r="Q167" s="830">
        <v>0</v>
      </c>
      <c r="R167" s="830">
        <v>0</v>
      </c>
      <c r="S167" s="830">
        <v>0</v>
      </c>
      <c r="T167" s="830">
        <v>0</v>
      </c>
      <c r="U167" s="830">
        <v>0</v>
      </c>
      <c r="V167" s="830">
        <v>438889</v>
      </c>
      <c r="W167" s="830">
        <v>0</v>
      </c>
      <c r="X167" s="830">
        <v>0</v>
      </c>
      <c r="Y167" s="830">
        <v>0</v>
      </c>
      <c r="Z167" s="830">
        <v>0</v>
      </c>
      <c r="AA167" s="835">
        <v>0</v>
      </c>
      <c r="AB167" s="835">
        <v>0</v>
      </c>
      <c r="AC167" s="835">
        <v>0</v>
      </c>
      <c r="AD167" s="835">
        <v>0</v>
      </c>
      <c r="AE167" s="835">
        <v>0</v>
      </c>
      <c r="AF167" s="835">
        <v>0</v>
      </c>
      <c r="AG167" s="835">
        <v>0</v>
      </c>
      <c r="AH167" s="835">
        <v>0</v>
      </c>
      <c r="AI167" s="835">
        <v>0</v>
      </c>
      <c r="AJ167" s="835">
        <v>0</v>
      </c>
      <c r="AK167" s="835">
        <v>0</v>
      </c>
      <c r="AL167" s="835">
        <v>0</v>
      </c>
      <c r="AM167" s="835">
        <v>0</v>
      </c>
      <c r="AN167" s="835">
        <v>0</v>
      </c>
      <c r="AO167" s="835">
        <v>0</v>
      </c>
      <c r="AP167" s="835">
        <v>0</v>
      </c>
      <c r="AQ167" s="835">
        <v>0</v>
      </c>
      <c r="AR167" s="835">
        <v>0</v>
      </c>
      <c r="AS167" s="835">
        <v>56277</v>
      </c>
      <c r="AT167" s="835">
        <v>0</v>
      </c>
      <c r="AU167" s="835">
        <v>0</v>
      </c>
      <c r="AV167" s="835">
        <v>0</v>
      </c>
      <c r="AW167" s="835">
        <v>0</v>
      </c>
      <c r="AX167" s="835">
        <v>0</v>
      </c>
      <c r="AY167" s="835">
        <v>0</v>
      </c>
      <c r="AZ167" s="835">
        <v>0</v>
      </c>
      <c r="BA167" s="835">
        <v>0</v>
      </c>
      <c r="BB167" s="835">
        <v>0</v>
      </c>
      <c r="BC167" s="835">
        <v>0</v>
      </c>
      <c r="BD167" s="835">
        <v>0</v>
      </c>
      <c r="BE167" s="835">
        <v>0</v>
      </c>
      <c r="BF167" s="835">
        <v>0</v>
      </c>
      <c r="BG167" s="835">
        <v>0</v>
      </c>
      <c r="BH167" s="835">
        <v>0</v>
      </c>
      <c r="BI167" s="835">
        <v>0</v>
      </c>
      <c r="BJ167" s="835">
        <v>0</v>
      </c>
      <c r="BK167" s="835">
        <v>0</v>
      </c>
      <c r="BL167" s="835">
        <v>0</v>
      </c>
      <c r="BM167" s="835">
        <v>0</v>
      </c>
      <c r="BN167" s="835">
        <v>0</v>
      </c>
      <c r="BO167" s="835">
        <v>0</v>
      </c>
      <c r="BP167" s="835">
        <v>0</v>
      </c>
      <c r="BQ167" s="835">
        <v>0</v>
      </c>
      <c r="BR167" s="835">
        <v>0</v>
      </c>
      <c r="BS167" s="835">
        <v>0</v>
      </c>
      <c r="BT167" s="835">
        <v>0</v>
      </c>
      <c r="BU167" s="835">
        <v>0</v>
      </c>
      <c r="BV167" s="835">
        <v>0</v>
      </c>
      <c r="BW167" s="835">
        <v>0</v>
      </c>
      <c r="BX167" s="835">
        <v>0</v>
      </c>
      <c r="BY167" s="835">
        <v>0</v>
      </c>
      <c r="BZ167" s="835">
        <v>0</v>
      </c>
      <c r="CA167" s="835">
        <v>0</v>
      </c>
      <c r="CB167" s="835">
        <v>0</v>
      </c>
    </row>
    <row r="168" spans="1:80" x14ac:dyDescent="0.25">
      <c r="A168" s="787">
        <v>518</v>
      </c>
      <c r="B168" s="846">
        <v>518</v>
      </c>
      <c r="C168" s="832" t="s">
        <v>347</v>
      </c>
      <c r="D168" s="860" t="s">
        <v>552</v>
      </c>
      <c r="E168" s="829">
        <v>0</v>
      </c>
      <c r="F168" s="798">
        <v>0</v>
      </c>
      <c r="G168" s="798">
        <v>48409</v>
      </c>
      <c r="H168" s="798">
        <v>9422044</v>
      </c>
      <c r="I168" s="798">
        <v>9854678</v>
      </c>
      <c r="J168" s="798">
        <v>66375</v>
      </c>
      <c r="K168" s="800">
        <v>333979</v>
      </c>
      <c r="L168" s="835">
        <v>0</v>
      </c>
      <c r="M168" s="835">
        <v>3570285</v>
      </c>
      <c r="N168" s="830">
        <v>0</v>
      </c>
      <c r="O168" s="830">
        <v>502853</v>
      </c>
      <c r="P168" s="830">
        <v>1973102</v>
      </c>
      <c r="Q168" s="830">
        <v>0</v>
      </c>
      <c r="R168" s="830">
        <v>1190576</v>
      </c>
      <c r="S168" s="830">
        <v>1844063</v>
      </c>
      <c r="T168" s="830">
        <v>61835211</v>
      </c>
      <c r="U168" s="830">
        <v>0</v>
      </c>
      <c r="V168" s="830">
        <v>5239927</v>
      </c>
      <c r="W168" s="830">
        <v>0</v>
      </c>
      <c r="X168" s="830">
        <v>0</v>
      </c>
      <c r="Y168" s="830">
        <v>0</v>
      </c>
      <c r="Z168" s="830">
        <v>728900</v>
      </c>
      <c r="AA168" s="835">
        <v>1211814</v>
      </c>
      <c r="AB168" s="835">
        <v>476238</v>
      </c>
      <c r="AC168" s="835">
        <v>0</v>
      </c>
      <c r="AD168" s="835">
        <v>60561</v>
      </c>
      <c r="AE168" s="835">
        <v>385355</v>
      </c>
      <c r="AF168" s="835">
        <v>1602760</v>
      </c>
      <c r="AG168" s="835">
        <v>11089</v>
      </c>
      <c r="AH168" s="835">
        <v>0</v>
      </c>
      <c r="AI168" s="835">
        <v>0</v>
      </c>
      <c r="AJ168" s="835">
        <v>170532</v>
      </c>
      <c r="AK168" s="835">
        <v>4138563</v>
      </c>
      <c r="AL168" s="835">
        <v>127645</v>
      </c>
      <c r="AM168" s="835">
        <v>0</v>
      </c>
      <c r="AN168" s="835">
        <v>3778780</v>
      </c>
      <c r="AO168" s="835">
        <v>7369700</v>
      </c>
      <c r="AP168" s="835">
        <v>55810</v>
      </c>
      <c r="AQ168" s="835">
        <v>0</v>
      </c>
      <c r="AR168" s="835">
        <v>1995095</v>
      </c>
      <c r="AS168" s="835">
        <v>651293</v>
      </c>
      <c r="AT168" s="835">
        <v>82313</v>
      </c>
      <c r="AU168" s="835">
        <v>807098</v>
      </c>
      <c r="AV168" s="835">
        <v>8365811</v>
      </c>
      <c r="AW168" s="835">
        <v>20574</v>
      </c>
      <c r="AX168" s="835">
        <v>819424</v>
      </c>
      <c r="AY168" s="835">
        <v>98926</v>
      </c>
      <c r="AZ168" s="835">
        <v>506942</v>
      </c>
      <c r="BA168" s="835">
        <v>3046216</v>
      </c>
      <c r="BB168" s="835">
        <v>0</v>
      </c>
      <c r="BC168" s="835">
        <v>545690</v>
      </c>
      <c r="BD168" s="835">
        <v>61891</v>
      </c>
      <c r="BE168" s="835">
        <v>0</v>
      </c>
      <c r="BF168" s="835">
        <v>14966507</v>
      </c>
      <c r="BG168" s="835">
        <v>203904</v>
      </c>
      <c r="BH168" s="835">
        <v>0</v>
      </c>
      <c r="BI168" s="835">
        <v>1029461</v>
      </c>
      <c r="BJ168" s="835">
        <v>367269</v>
      </c>
      <c r="BK168" s="835">
        <v>284851</v>
      </c>
      <c r="BL168" s="835">
        <v>1745423</v>
      </c>
      <c r="BM168" s="835">
        <v>494042</v>
      </c>
      <c r="BN168" s="835">
        <v>0</v>
      </c>
      <c r="BO168" s="835">
        <v>4148559</v>
      </c>
      <c r="BP168" s="835">
        <v>491654</v>
      </c>
      <c r="BQ168" s="835">
        <v>128562</v>
      </c>
      <c r="BR168" s="835">
        <v>649025</v>
      </c>
      <c r="BS168" s="835">
        <v>0</v>
      </c>
      <c r="BT168" s="835">
        <v>0</v>
      </c>
      <c r="BU168" s="835">
        <v>1924502</v>
      </c>
      <c r="BV168" s="835">
        <v>1011139</v>
      </c>
      <c r="BW168" s="835">
        <v>357381</v>
      </c>
      <c r="BX168" s="835">
        <v>0</v>
      </c>
      <c r="BY168" s="835">
        <v>0</v>
      </c>
      <c r="BZ168" s="835">
        <v>0</v>
      </c>
      <c r="CA168" s="835">
        <v>1677485</v>
      </c>
      <c r="CB168" s="835">
        <v>0</v>
      </c>
    </row>
    <row r="169" spans="1:80" x14ac:dyDescent="0.25">
      <c r="A169" s="787">
        <v>519</v>
      </c>
      <c r="B169" s="846">
        <v>519</v>
      </c>
      <c r="C169" s="832" t="s">
        <v>348</v>
      </c>
      <c r="D169" s="860" t="s">
        <v>553</v>
      </c>
      <c r="E169" s="829">
        <v>0</v>
      </c>
      <c r="F169" s="798">
        <v>0</v>
      </c>
      <c r="G169" s="798">
        <v>0</v>
      </c>
      <c r="H169" s="798">
        <v>4014949</v>
      </c>
      <c r="I169" s="798">
        <v>12110</v>
      </c>
      <c r="J169" s="798">
        <v>0</v>
      </c>
      <c r="K169" s="800">
        <v>0</v>
      </c>
      <c r="L169" s="835">
        <v>0</v>
      </c>
      <c r="M169" s="835">
        <v>369318</v>
      </c>
      <c r="N169" s="830">
        <v>0</v>
      </c>
      <c r="O169" s="830">
        <v>0</v>
      </c>
      <c r="P169" s="830">
        <v>1748</v>
      </c>
      <c r="Q169" s="830">
        <v>0</v>
      </c>
      <c r="R169" s="830">
        <v>2799</v>
      </c>
      <c r="S169" s="830">
        <v>8520</v>
      </c>
      <c r="T169" s="830">
        <v>158739</v>
      </c>
      <c r="U169" s="830">
        <v>0</v>
      </c>
      <c r="V169" s="830">
        <v>984696</v>
      </c>
      <c r="W169" s="830">
        <v>0</v>
      </c>
      <c r="X169" s="830">
        <v>0</v>
      </c>
      <c r="Y169" s="830">
        <v>0</v>
      </c>
      <c r="Z169" s="830">
        <v>4829</v>
      </c>
      <c r="AA169" s="835">
        <v>0</v>
      </c>
      <c r="AB169" s="835">
        <v>0</v>
      </c>
      <c r="AC169" s="835">
        <v>0</v>
      </c>
      <c r="AD169" s="835">
        <v>0</v>
      </c>
      <c r="AE169" s="835">
        <v>0</v>
      </c>
      <c r="AF169" s="835">
        <v>10953</v>
      </c>
      <c r="AG169" s="835">
        <v>0</v>
      </c>
      <c r="AH169" s="835">
        <v>0</v>
      </c>
      <c r="AI169" s="835">
        <v>0</v>
      </c>
      <c r="AJ169" s="835">
        <v>0</v>
      </c>
      <c r="AK169" s="835">
        <v>0</v>
      </c>
      <c r="AL169" s="835">
        <v>0</v>
      </c>
      <c r="AM169" s="835">
        <v>0</v>
      </c>
      <c r="AN169" s="835">
        <v>0</v>
      </c>
      <c r="AO169" s="835">
        <v>0</v>
      </c>
      <c r="AP169" s="835">
        <v>0</v>
      </c>
      <c r="AQ169" s="835">
        <v>0</v>
      </c>
      <c r="AR169" s="835">
        <v>10816</v>
      </c>
      <c r="AS169" s="835">
        <v>10490</v>
      </c>
      <c r="AT169" s="835">
        <v>452</v>
      </c>
      <c r="AU169" s="835">
        <v>5075</v>
      </c>
      <c r="AV169" s="835">
        <v>334625</v>
      </c>
      <c r="AW169" s="835">
        <v>2874</v>
      </c>
      <c r="AX169" s="835">
        <v>1628</v>
      </c>
      <c r="AY169" s="835">
        <v>0</v>
      </c>
      <c r="AZ169" s="835">
        <v>0</v>
      </c>
      <c r="BA169" s="835">
        <v>20859</v>
      </c>
      <c r="BB169" s="835">
        <v>0</v>
      </c>
      <c r="BC169" s="835">
        <v>0</v>
      </c>
      <c r="BD169" s="835">
        <v>0</v>
      </c>
      <c r="BE169" s="835">
        <v>0</v>
      </c>
      <c r="BF169" s="835">
        <v>262312</v>
      </c>
      <c r="BG169" s="835">
        <v>0</v>
      </c>
      <c r="BH169" s="835">
        <v>0</v>
      </c>
      <c r="BI169" s="835">
        <v>0</v>
      </c>
      <c r="BJ169" s="835">
        <v>0</v>
      </c>
      <c r="BK169" s="835">
        <v>0</v>
      </c>
      <c r="BL169" s="835">
        <v>0</v>
      </c>
      <c r="BM169" s="835">
        <v>0</v>
      </c>
      <c r="BN169" s="835">
        <v>0</v>
      </c>
      <c r="BO169" s="835">
        <v>133721</v>
      </c>
      <c r="BP169" s="835">
        <v>17104</v>
      </c>
      <c r="BQ169" s="835">
        <v>0</v>
      </c>
      <c r="BR169" s="835">
        <v>9546</v>
      </c>
      <c r="BS169" s="835">
        <v>0</v>
      </c>
      <c r="BT169" s="835">
        <v>0</v>
      </c>
      <c r="BU169" s="835">
        <v>1400</v>
      </c>
      <c r="BV169" s="835">
        <v>0</v>
      </c>
      <c r="BW169" s="835">
        <v>0</v>
      </c>
      <c r="BX169" s="835">
        <v>0</v>
      </c>
      <c r="BY169" s="835">
        <v>0</v>
      </c>
      <c r="BZ169" s="835">
        <v>0</v>
      </c>
      <c r="CA169" s="835">
        <v>169474</v>
      </c>
      <c r="CB169" s="835">
        <v>0</v>
      </c>
    </row>
    <row r="170" spans="1:80" x14ac:dyDescent="0.25">
      <c r="A170" s="787">
        <v>520</v>
      </c>
      <c r="B170" s="846">
        <v>520</v>
      </c>
      <c r="C170" s="832" t="s">
        <v>349</v>
      </c>
      <c r="D170" s="860" t="s">
        <v>554</v>
      </c>
      <c r="E170" s="829">
        <v>0</v>
      </c>
      <c r="F170" s="798">
        <v>0</v>
      </c>
      <c r="G170" s="798">
        <v>65232</v>
      </c>
      <c r="H170" s="798">
        <v>5218836</v>
      </c>
      <c r="I170" s="798">
        <v>246855</v>
      </c>
      <c r="J170" s="798">
        <v>15663</v>
      </c>
      <c r="K170" s="800">
        <v>211499</v>
      </c>
      <c r="L170" s="835">
        <v>150056</v>
      </c>
      <c r="M170" s="835">
        <v>1811191</v>
      </c>
      <c r="N170" s="830">
        <v>0</v>
      </c>
      <c r="O170" s="830">
        <v>96082</v>
      </c>
      <c r="P170" s="830">
        <v>166298</v>
      </c>
      <c r="Q170" s="830">
        <v>0</v>
      </c>
      <c r="R170" s="830">
        <v>531245</v>
      </c>
      <c r="S170" s="830">
        <v>949378</v>
      </c>
      <c r="T170" s="830">
        <v>658930</v>
      </c>
      <c r="U170" s="830">
        <v>89418</v>
      </c>
      <c r="V170" s="830">
        <v>1487736</v>
      </c>
      <c r="W170" s="830">
        <v>0</v>
      </c>
      <c r="X170" s="830">
        <v>0</v>
      </c>
      <c r="Y170" s="830">
        <v>0</v>
      </c>
      <c r="Z170" s="830">
        <v>152864</v>
      </c>
      <c r="AA170" s="835">
        <v>330622</v>
      </c>
      <c r="AB170" s="835">
        <v>294710</v>
      </c>
      <c r="AC170" s="835">
        <v>0</v>
      </c>
      <c r="AD170" s="835">
        <v>3240</v>
      </c>
      <c r="AE170" s="835">
        <v>300476</v>
      </c>
      <c r="AF170" s="835">
        <v>401197</v>
      </c>
      <c r="AG170" s="835">
        <v>25726</v>
      </c>
      <c r="AH170" s="835">
        <v>0</v>
      </c>
      <c r="AI170" s="835">
        <v>0</v>
      </c>
      <c r="AJ170" s="835">
        <v>55698</v>
      </c>
      <c r="AK170" s="835">
        <v>1320863</v>
      </c>
      <c r="AL170" s="835">
        <v>52740</v>
      </c>
      <c r="AM170" s="835">
        <v>0</v>
      </c>
      <c r="AN170" s="835">
        <v>1233087</v>
      </c>
      <c r="AO170" s="835">
        <v>1167217</v>
      </c>
      <c r="AP170" s="835">
        <v>4247</v>
      </c>
      <c r="AQ170" s="835">
        <v>0</v>
      </c>
      <c r="AR170" s="835">
        <v>1065060</v>
      </c>
      <c r="AS170" s="835">
        <v>201701</v>
      </c>
      <c r="AT170" s="835">
        <v>113402</v>
      </c>
      <c r="AU170" s="835">
        <v>180143</v>
      </c>
      <c r="AV170" s="835">
        <v>1103512</v>
      </c>
      <c r="AW170" s="835">
        <v>58094</v>
      </c>
      <c r="AX170" s="835">
        <v>170189</v>
      </c>
      <c r="AY170" s="835">
        <v>272563</v>
      </c>
      <c r="AZ170" s="835">
        <v>334360</v>
      </c>
      <c r="BA170" s="835">
        <v>441527</v>
      </c>
      <c r="BB170" s="835">
        <v>0</v>
      </c>
      <c r="BC170" s="835">
        <v>118416</v>
      </c>
      <c r="BD170" s="835">
        <v>102497</v>
      </c>
      <c r="BE170" s="835">
        <v>0</v>
      </c>
      <c r="BF170" s="835">
        <v>1108000</v>
      </c>
      <c r="BG170" s="835">
        <v>103844</v>
      </c>
      <c r="BH170" s="835">
        <v>0</v>
      </c>
      <c r="BI170" s="835">
        <v>217541</v>
      </c>
      <c r="BJ170" s="835">
        <v>166075</v>
      </c>
      <c r="BK170" s="835">
        <v>198484</v>
      </c>
      <c r="BL170" s="835">
        <v>307039</v>
      </c>
      <c r="BM170" s="835">
        <v>259581</v>
      </c>
      <c r="BN170" s="835">
        <v>0</v>
      </c>
      <c r="BO170" s="835">
        <v>567290</v>
      </c>
      <c r="BP170" s="835">
        <v>242477</v>
      </c>
      <c r="BQ170" s="835">
        <v>267861</v>
      </c>
      <c r="BR170" s="835">
        <v>105907</v>
      </c>
      <c r="BS170" s="835">
        <v>0</v>
      </c>
      <c r="BT170" s="835">
        <v>0</v>
      </c>
      <c r="BU170" s="835">
        <v>60509</v>
      </c>
      <c r="BV170" s="835">
        <v>462956</v>
      </c>
      <c r="BW170" s="835">
        <v>133784</v>
      </c>
      <c r="BX170" s="835">
        <v>33834</v>
      </c>
      <c r="BY170" s="835">
        <v>0</v>
      </c>
      <c r="BZ170" s="835">
        <v>0</v>
      </c>
      <c r="CA170" s="835">
        <v>1010420</v>
      </c>
      <c r="CB170" s="835">
        <v>0</v>
      </c>
    </row>
    <row r="171" spans="1:80" x14ac:dyDescent="0.25">
      <c r="A171" s="787">
        <v>521</v>
      </c>
      <c r="B171" s="846">
        <v>521</v>
      </c>
      <c r="C171" s="832" t="s">
        <v>350</v>
      </c>
      <c r="D171" s="860" t="s">
        <v>555</v>
      </c>
      <c r="E171" s="829">
        <v>0</v>
      </c>
      <c r="F171" s="798">
        <v>0</v>
      </c>
      <c r="G171" s="798">
        <v>0</v>
      </c>
      <c r="H171" s="798">
        <v>0</v>
      </c>
      <c r="I171" s="798">
        <v>0</v>
      </c>
      <c r="J171" s="798">
        <v>0</v>
      </c>
      <c r="K171" s="800">
        <v>0</v>
      </c>
      <c r="L171" s="835">
        <v>0</v>
      </c>
      <c r="M171" s="835">
        <v>0</v>
      </c>
      <c r="N171" s="830">
        <v>0</v>
      </c>
      <c r="O171" s="830">
        <v>0</v>
      </c>
      <c r="P171" s="830">
        <v>0</v>
      </c>
      <c r="Q171" s="830">
        <v>0</v>
      </c>
      <c r="R171" s="830">
        <v>0</v>
      </c>
      <c r="S171" s="830">
        <v>0</v>
      </c>
      <c r="T171" s="830">
        <v>0</v>
      </c>
      <c r="U171" s="830">
        <v>0</v>
      </c>
      <c r="V171" s="830">
        <v>21766</v>
      </c>
      <c r="W171" s="830">
        <v>0</v>
      </c>
      <c r="X171" s="830">
        <v>0</v>
      </c>
      <c r="Y171" s="830">
        <v>0</v>
      </c>
      <c r="Z171" s="830">
        <v>0</v>
      </c>
      <c r="AA171" s="835">
        <v>0</v>
      </c>
      <c r="AB171" s="835">
        <v>0</v>
      </c>
      <c r="AC171" s="835">
        <v>0</v>
      </c>
      <c r="AD171" s="835">
        <v>0</v>
      </c>
      <c r="AE171" s="835">
        <v>0</v>
      </c>
      <c r="AF171" s="835">
        <v>0</v>
      </c>
      <c r="AG171" s="835">
        <v>0</v>
      </c>
      <c r="AH171" s="835">
        <v>0</v>
      </c>
      <c r="AI171" s="835">
        <v>0</v>
      </c>
      <c r="AJ171" s="835">
        <v>0</v>
      </c>
      <c r="AK171" s="835">
        <v>0</v>
      </c>
      <c r="AL171" s="835">
        <v>0</v>
      </c>
      <c r="AM171" s="835">
        <v>0</v>
      </c>
      <c r="AN171" s="835">
        <v>0</v>
      </c>
      <c r="AO171" s="835">
        <v>0</v>
      </c>
      <c r="AP171" s="835">
        <v>0</v>
      </c>
      <c r="AQ171" s="835">
        <v>0</v>
      </c>
      <c r="AR171" s="835">
        <v>0</v>
      </c>
      <c r="AS171" s="835">
        <v>1838</v>
      </c>
      <c r="AT171" s="835">
        <v>0</v>
      </c>
      <c r="AU171" s="835">
        <v>0</v>
      </c>
      <c r="AV171" s="835">
        <v>0</v>
      </c>
      <c r="AW171" s="835">
        <v>0</v>
      </c>
      <c r="AX171" s="835">
        <v>0</v>
      </c>
      <c r="AY171" s="835">
        <v>0</v>
      </c>
      <c r="AZ171" s="835">
        <v>0</v>
      </c>
      <c r="BA171" s="835">
        <v>0</v>
      </c>
      <c r="BB171" s="835">
        <v>0</v>
      </c>
      <c r="BC171" s="835">
        <v>0</v>
      </c>
      <c r="BD171" s="835">
        <v>0</v>
      </c>
      <c r="BE171" s="835">
        <v>0</v>
      </c>
      <c r="BF171" s="835">
        <v>0</v>
      </c>
      <c r="BG171" s="835">
        <v>0</v>
      </c>
      <c r="BH171" s="835">
        <v>0</v>
      </c>
      <c r="BI171" s="835">
        <v>0</v>
      </c>
      <c r="BJ171" s="835">
        <v>0</v>
      </c>
      <c r="BK171" s="835">
        <v>0</v>
      </c>
      <c r="BL171" s="835">
        <v>0</v>
      </c>
      <c r="BM171" s="835">
        <v>0</v>
      </c>
      <c r="BN171" s="835">
        <v>0</v>
      </c>
      <c r="BO171" s="835">
        <v>0</v>
      </c>
      <c r="BP171" s="835">
        <v>0</v>
      </c>
      <c r="BQ171" s="835">
        <v>0</v>
      </c>
      <c r="BR171" s="835">
        <v>0</v>
      </c>
      <c r="BS171" s="835">
        <v>0</v>
      </c>
      <c r="BT171" s="835">
        <v>0</v>
      </c>
      <c r="BU171" s="835">
        <v>0</v>
      </c>
      <c r="BV171" s="835">
        <v>0</v>
      </c>
      <c r="BW171" s="835">
        <v>0</v>
      </c>
      <c r="BX171" s="835">
        <v>0</v>
      </c>
      <c r="BY171" s="835">
        <v>0</v>
      </c>
      <c r="BZ171" s="835">
        <v>0</v>
      </c>
      <c r="CA171" s="835">
        <v>0</v>
      </c>
      <c r="CB171" s="835">
        <v>0</v>
      </c>
    </row>
    <row r="172" spans="1:80" x14ac:dyDescent="0.25">
      <c r="A172" s="787">
        <v>522</v>
      </c>
      <c r="B172" s="846">
        <v>522</v>
      </c>
      <c r="C172" s="832" t="s">
        <v>351</v>
      </c>
      <c r="D172" s="860" t="s">
        <v>556</v>
      </c>
      <c r="E172" s="829">
        <v>0</v>
      </c>
      <c r="F172" s="798">
        <v>0</v>
      </c>
      <c r="G172" s="798">
        <v>5751</v>
      </c>
      <c r="H172" s="798">
        <v>451392</v>
      </c>
      <c r="I172" s="798">
        <v>295091</v>
      </c>
      <c r="J172" s="798">
        <v>3735</v>
      </c>
      <c r="K172" s="800">
        <v>25532</v>
      </c>
      <c r="L172" s="835">
        <v>0</v>
      </c>
      <c r="M172" s="835">
        <v>349107</v>
      </c>
      <c r="N172" s="830">
        <v>0</v>
      </c>
      <c r="O172" s="830">
        <v>20279</v>
      </c>
      <c r="P172" s="830">
        <v>51079</v>
      </c>
      <c r="Q172" s="830">
        <v>0</v>
      </c>
      <c r="R172" s="830">
        <v>119989</v>
      </c>
      <c r="S172" s="830">
        <v>60634</v>
      </c>
      <c r="T172" s="830">
        <v>1373731</v>
      </c>
      <c r="U172" s="830">
        <v>0</v>
      </c>
      <c r="V172" s="830">
        <v>363528</v>
      </c>
      <c r="W172" s="830">
        <v>0</v>
      </c>
      <c r="X172" s="830">
        <v>0</v>
      </c>
      <c r="Y172" s="830">
        <v>0</v>
      </c>
      <c r="Z172" s="830">
        <v>46651</v>
      </c>
      <c r="AA172" s="835">
        <v>75167</v>
      </c>
      <c r="AB172" s="835">
        <v>8917</v>
      </c>
      <c r="AC172" s="835">
        <v>0</v>
      </c>
      <c r="AD172" s="835">
        <v>3607</v>
      </c>
      <c r="AE172" s="835">
        <v>12186</v>
      </c>
      <c r="AF172" s="835">
        <v>148367</v>
      </c>
      <c r="AG172" s="835">
        <v>0</v>
      </c>
      <c r="AH172" s="835">
        <v>0</v>
      </c>
      <c r="AI172" s="835">
        <v>0</v>
      </c>
      <c r="AJ172" s="835">
        <v>10705</v>
      </c>
      <c r="AK172" s="835">
        <v>202961</v>
      </c>
      <c r="AL172" s="835">
        <v>2868</v>
      </c>
      <c r="AM172" s="835">
        <v>0</v>
      </c>
      <c r="AN172" s="835">
        <v>375767</v>
      </c>
      <c r="AO172" s="835">
        <v>185112</v>
      </c>
      <c r="AP172" s="835">
        <v>7089</v>
      </c>
      <c r="AQ172" s="835">
        <v>0</v>
      </c>
      <c r="AR172" s="835">
        <v>155441</v>
      </c>
      <c r="AS172" s="835">
        <v>42852</v>
      </c>
      <c r="AT172" s="835">
        <v>662</v>
      </c>
      <c r="AU172" s="835">
        <v>51832</v>
      </c>
      <c r="AV172" s="835">
        <v>182673</v>
      </c>
      <c r="AW172" s="835">
        <v>0</v>
      </c>
      <c r="AX172" s="835">
        <v>40803</v>
      </c>
      <c r="AY172" s="835">
        <v>9381</v>
      </c>
      <c r="AZ172" s="835">
        <v>9080</v>
      </c>
      <c r="BA172" s="835">
        <v>65187</v>
      </c>
      <c r="BB172" s="835">
        <v>0</v>
      </c>
      <c r="BC172" s="835">
        <v>11871</v>
      </c>
      <c r="BD172" s="835">
        <v>7736</v>
      </c>
      <c r="BE172" s="835">
        <v>0</v>
      </c>
      <c r="BF172" s="835">
        <v>422428</v>
      </c>
      <c r="BG172" s="835">
        <v>3496</v>
      </c>
      <c r="BH172" s="835">
        <v>0</v>
      </c>
      <c r="BI172" s="835">
        <v>90348</v>
      </c>
      <c r="BJ172" s="835">
        <v>22117</v>
      </c>
      <c r="BK172" s="835">
        <v>653</v>
      </c>
      <c r="BL172" s="835">
        <v>28689</v>
      </c>
      <c r="BM172" s="835">
        <v>39775</v>
      </c>
      <c r="BN172" s="835">
        <v>0</v>
      </c>
      <c r="BO172" s="835">
        <v>181820</v>
      </c>
      <c r="BP172" s="835">
        <v>21421</v>
      </c>
      <c r="BQ172" s="835">
        <v>10325</v>
      </c>
      <c r="BR172" s="835">
        <v>37614</v>
      </c>
      <c r="BS172" s="835">
        <v>0</v>
      </c>
      <c r="BT172" s="835">
        <v>0</v>
      </c>
      <c r="BU172" s="835">
        <v>140135</v>
      </c>
      <c r="BV172" s="835">
        <v>79264</v>
      </c>
      <c r="BW172" s="835">
        <v>7489</v>
      </c>
      <c r="BX172" s="835">
        <v>0</v>
      </c>
      <c r="BY172" s="835">
        <v>0</v>
      </c>
      <c r="BZ172" s="835">
        <v>0</v>
      </c>
      <c r="CA172" s="835">
        <v>88593</v>
      </c>
      <c r="CB172" s="835">
        <v>0</v>
      </c>
    </row>
    <row r="173" spans="1:80" x14ac:dyDescent="0.25">
      <c r="A173" s="787">
        <v>523</v>
      </c>
      <c r="B173" s="846">
        <v>523</v>
      </c>
      <c r="C173" s="832" t="s">
        <v>352</v>
      </c>
      <c r="D173" s="860" t="s">
        <v>557</v>
      </c>
      <c r="E173" s="829">
        <v>0</v>
      </c>
      <c r="F173" s="798">
        <v>0</v>
      </c>
      <c r="G173" s="798">
        <v>0</v>
      </c>
      <c r="H173" s="798">
        <v>84541624</v>
      </c>
      <c r="I173" s="798">
        <v>91876</v>
      </c>
      <c r="J173" s="798">
        <v>0</v>
      </c>
      <c r="K173" s="800">
        <v>0</v>
      </c>
      <c r="L173" s="835">
        <v>0</v>
      </c>
      <c r="M173" s="835">
        <v>9510042</v>
      </c>
      <c r="N173" s="830">
        <v>0</v>
      </c>
      <c r="O173" s="830">
        <v>0</v>
      </c>
      <c r="P173" s="830">
        <v>2039</v>
      </c>
      <c r="Q173" s="830">
        <v>0</v>
      </c>
      <c r="R173" s="830">
        <v>385759</v>
      </c>
      <c r="S173" s="830">
        <v>302141</v>
      </c>
      <c r="T173" s="830">
        <v>12450179</v>
      </c>
      <c r="U173" s="830">
        <v>0</v>
      </c>
      <c r="V173" s="830">
        <v>12659823</v>
      </c>
      <c r="W173" s="830">
        <v>0</v>
      </c>
      <c r="X173" s="830">
        <v>0</v>
      </c>
      <c r="Y173" s="830">
        <v>0</v>
      </c>
      <c r="Z173" s="830">
        <v>84179</v>
      </c>
      <c r="AA173" s="835">
        <v>0</v>
      </c>
      <c r="AB173" s="835">
        <v>0</v>
      </c>
      <c r="AC173" s="835">
        <v>0</v>
      </c>
      <c r="AD173" s="835">
        <v>0</v>
      </c>
      <c r="AE173" s="835">
        <v>0</v>
      </c>
      <c r="AF173" s="835">
        <v>105705</v>
      </c>
      <c r="AG173" s="835">
        <v>0</v>
      </c>
      <c r="AH173" s="835">
        <v>0</v>
      </c>
      <c r="AI173" s="835">
        <v>0</v>
      </c>
      <c r="AJ173" s="835">
        <v>0</v>
      </c>
      <c r="AK173" s="835">
        <v>0</v>
      </c>
      <c r="AL173" s="835">
        <v>73000</v>
      </c>
      <c r="AM173" s="835">
        <v>0</v>
      </c>
      <c r="AN173" s="835">
        <v>0</v>
      </c>
      <c r="AO173" s="835">
        <v>0</v>
      </c>
      <c r="AP173" s="835">
        <v>0</v>
      </c>
      <c r="AQ173" s="835">
        <v>0</v>
      </c>
      <c r="AR173" s="835">
        <v>290799</v>
      </c>
      <c r="AS173" s="835">
        <v>308313</v>
      </c>
      <c r="AT173" s="835">
        <v>9252</v>
      </c>
      <c r="AU173" s="835">
        <v>156103</v>
      </c>
      <c r="AV173" s="835">
        <v>6568027</v>
      </c>
      <c r="AW173" s="835">
        <v>66169</v>
      </c>
      <c r="AX173" s="835">
        <v>9572</v>
      </c>
      <c r="AY173" s="835">
        <v>0</v>
      </c>
      <c r="AZ173" s="835">
        <v>0</v>
      </c>
      <c r="BA173" s="835">
        <v>146010</v>
      </c>
      <c r="BB173" s="835">
        <v>0</v>
      </c>
      <c r="BC173" s="835">
        <v>16683</v>
      </c>
      <c r="BD173" s="835">
        <v>0</v>
      </c>
      <c r="BE173" s="835">
        <v>0</v>
      </c>
      <c r="BF173" s="835">
        <v>8266605</v>
      </c>
      <c r="BG173" s="835">
        <v>0</v>
      </c>
      <c r="BH173" s="835">
        <v>0</v>
      </c>
      <c r="BI173" s="835">
        <v>0</v>
      </c>
      <c r="BJ173" s="835">
        <v>0</v>
      </c>
      <c r="BK173" s="835">
        <v>0</v>
      </c>
      <c r="BL173" s="835">
        <v>0</v>
      </c>
      <c r="BM173" s="835">
        <v>0</v>
      </c>
      <c r="BN173" s="835">
        <v>0</v>
      </c>
      <c r="BO173" s="835">
        <v>4966756</v>
      </c>
      <c r="BP173" s="835">
        <v>158633</v>
      </c>
      <c r="BQ173" s="835">
        <v>0</v>
      </c>
      <c r="BR173" s="835">
        <v>227808</v>
      </c>
      <c r="BS173" s="835">
        <v>0</v>
      </c>
      <c r="BT173" s="835">
        <v>0</v>
      </c>
      <c r="BU173" s="835">
        <v>32683</v>
      </c>
      <c r="BV173" s="835">
        <v>0</v>
      </c>
      <c r="BW173" s="835">
        <v>0</v>
      </c>
      <c r="BX173" s="835">
        <v>0</v>
      </c>
      <c r="BY173" s="835">
        <v>0</v>
      </c>
      <c r="BZ173" s="835">
        <v>0</v>
      </c>
      <c r="CA173" s="835">
        <v>3131681</v>
      </c>
      <c r="CB173" s="835">
        <v>0</v>
      </c>
    </row>
    <row r="174" spans="1:80" x14ac:dyDescent="0.25">
      <c r="A174" s="787">
        <v>524</v>
      </c>
      <c r="B174" s="846">
        <v>524</v>
      </c>
      <c r="C174" s="832" t="s">
        <v>353</v>
      </c>
      <c r="D174" s="860" t="s">
        <v>558</v>
      </c>
      <c r="E174" s="829">
        <v>0</v>
      </c>
      <c r="F174" s="798">
        <v>0</v>
      </c>
      <c r="G174" s="798">
        <v>2041100</v>
      </c>
      <c r="H174" s="798">
        <v>70892876</v>
      </c>
      <c r="I174" s="798">
        <v>6044972</v>
      </c>
      <c r="J174" s="798">
        <v>1584838</v>
      </c>
      <c r="K174" s="800">
        <v>5087950</v>
      </c>
      <c r="L174" s="835">
        <v>2343576</v>
      </c>
      <c r="M174" s="835">
        <v>34882217</v>
      </c>
      <c r="N174" s="830">
        <v>0</v>
      </c>
      <c r="O174" s="830">
        <v>3194615</v>
      </c>
      <c r="P174" s="830">
        <v>2573162</v>
      </c>
      <c r="Q174" s="830">
        <v>0</v>
      </c>
      <c r="R174" s="830">
        <v>10341907</v>
      </c>
      <c r="S174" s="830">
        <v>13257617</v>
      </c>
      <c r="T174" s="830">
        <v>4258274</v>
      </c>
      <c r="U174" s="830">
        <v>973301</v>
      </c>
      <c r="V174" s="830">
        <v>33041037</v>
      </c>
      <c r="W174" s="830">
        <v>0</v>
      </c>
      <c r="X174" s="830">
        <v>0</v>
      </c>
      <c r="Y174" s="830">
        <v>0</v>
      </c>
      <c r="Z174" s="830">
        <v>3743359</v>
      </c>
      <c r="AA174" s="835">
        <v>8108359</v>
      </c>
      <c r="AB174" s="835">
        <v>3379433</v>
      </c>
      <c r="AC174" s="835">
        <v>0</v>
      </c>
      <c r="AD174" s="835">
        <v>703710</v>
      </c>
      <c r="AE174" s="835">
        <v>5967473</v>
      </c>
      <c r="AF174" s="835">
        <v>7935652</v>
      </c>
      <c r="AG174" s="835">
        <v>621690</v>
      </c>
      <c r="AH174" s="835">
        <v>0</v>
      </c>
      <c r="AI174" s="835">
        <v>0</v>
      </c>
      <c r="AJ174" s="835">
        <v>1348948</v>
      </c>
      <c r="AK174" s="835">
        <v>29024266</v>
      </c>
      <c r="AL174" s="835">
        <v>631522</v>
      </c>
      <c r="AM174" s="835">
        <v>0</v>
      </c>
      <c r="AN174" s="835">
        <v>10706831</v>
      </c>
      <c r="AO174" s="835">
        <v>25592013</v>
      </c>
      <c r="AP174" s="835">
        <v>1156230</v>
      </c>
      <c r="AQ174" s="835">
        <v>0</v>
      </c>
      <c r="AR174" s="835">
        <v>36991914</v>
      </c>
      <c r="AS174" s="835">
        <v>5532877</v>
      </c>
      <c r="AT174" s="835">
        <v>1359700</v>
      </c>
      <c r="AU174" s="835">
        <v>2796200</v>
      </c>
      <c r="AV174" s="835">
        <v>27671687</v>
      </c>
      <c r="AW174" s="835">
        <v>1059876</v>
      </c>
      <c r="AX174" s="835">
        <v>2996257</v>
      </c>
      <c r="AY174" s="835">
        <v>4164985</v>
      </c>
      <c r="AZ174" s="835">
        <v>9353784</v>
      </c>
      <c r="BA174" s="835">
        <v>10766655</v>
      </c>
      <c r="BB174" s="835">
        <v>0</v>
      </c>
      <c r="BC174" s="835">
        <v>4226935</v>
      </c>
      <c r="BD174" s="835">
        <v>3361535</v>
      </c>
      <c r="BE174" s="835">
        <v>0</v>
      </c>
      <c r="BF174" s="835">
        <v>27574573</v>
      </c>
      <c r="BG174" s="835">
        <v>2345929</v>
      </c>
      <c r="BH174" s="835">
        <v>0</v>
      </c>
      <c r="BI174" s="835">
        <v>6744836</v>
      </c>
      <c r="BJ174" s="835">
        <v>2772953</v>
      </c>
      <c r="BK174" s="835">
        <v>3276816</v>
      </c>
      <c r="BL174" s="835">
        <v>11301354</v>
      </c>
      <c r="BM174" s="835">
        <v>5616194</v>
      </c>
      <c r="BN174" s="835">
        <v>0</v>
      </c>
      <c r="BO174" s="835">
        <v>8673612</v>
      </c>
      <c r="BP174" s="835">
        <v>6760411</v>
      </c>
      <c r="BQ174" s="835">
        <v>6856948</v>
      </c>
      <c r="BR174" s="835">
        <v>2012729</v>
      </c>
      <c r="BS174" s="835">
        <v>0</v>
      </c>
      <c r="BT174" s="835">
        <v>0</v>
      </c>
      <c r="BU174" s="835">
        <v>1361915</v>
      </c>
      <c r="BV174" s="835">
        <v>8966376</v>
      </c>
      <c r="BW174" s="835">
        <v>1953524</v>
      </c>
      <c r="BX174" s="835">
        <v>391269</v>
      </c>
      <c r="BY174" s="835">
        <v>0</v>
      </c>
      <c r="BZ174" s="835">
        <v>0</v>
      </c>
      <c r="CA174" s="835">
        <v>13970546</v>
      </c>
      <c r="CB174" s="835">
        <v>0</v>
      </c>
    </row>
    <row r="175" spans="1:80" x14ac:dyDescent="0.25">
      <c r="A175" s="787">
        <v>525</v>
      </c>
      <c r="B175" s="846">
        <v>525</v>
      </c>
      <c r="C175" s="832" t="s">
        <v>354</v>
      </c>
      <c r="D175" s="860" t="s">
        <v>559</v>
      </c>
      <c r="E175" s="829">
        <v>0</v>
      </c>
      <c r="F175" s="798">
        <v>0</v>
      </c>
      <c r="G175" s="798">
        <v>0</v>
      </c>
      <c r="H175" s="798">
        <v>0</v>
      </c>
      <c r="I175" s="798">
        <v>0</v>
      </c>
      <c r="J175" s="798">
        <v>0</v>
      </c>
      <c r="K175" s="800">
        <v>0</v>
      </c>
      <c r="L175" s="835">
        <v>0</v>
      </c>
      <c r="M175" s="835">
        <v>0</v>
      </c>
      <c r="N175" s="830">
        <v>0</v>
      </c>
      <c r="O175" s="830">
        <v>0</v>
      </c>
      <c r="P175" s="830">
        <v>0</v>
      </c>
      <c r="Q175" s="830">
        <v>0</v>
      </c>
      <c r="R175" s="830">
        <v>0</v>
      </c>
      <c r="S175" s="830">
        <v>0</v>
      </c>
      <c r="T175" s="830">
        <v>0</v>
      </c>
      <c r="U175" s="830">
        <v>0</v>
      </c>
      <c r="V175" s="830">
        <v>143445</v>
      </c>
      <c r="W175" s="830">
        <v>0</v>
      </c>
      <c r="X175" s="830">
        <v>0</v>
      </c>
      <c r="Y175" s="830">
        <v>0</v>
      </c>
      <c r="Z175" s="830">
        <v>0</v>
      </c>
      <c r="AA175" s="835">
        <v>0</v>
      </c>
      <c r="AB175" s="835">
        <v>0</v>
      </c>
      <c r="AC175" s="835">
        <v>0</v>
      </c>
      <c r="AD175" s="835">
        <v>0</v>
      </c>
      <c r="AE175" s="835">
        <v>0</v>
      </c>
      <c r="AF175" s="835">
        <v>0</v>
      </c>
      <c r="AG175" s="835">
        <v>0</v>
      </c>
      <c r="AH175" s="835">
        <v>0</v>
      </c>
      <c r="AI175" s="835">
        <v>0</v>
      </c>
      <c r="AJ175" s="835">
        <v>0</v>
      </c>
      <c r="AK175" s="835">
        <v>0</v>
      </c>
      <c r="AL175" s="835">
        <v>0</v>
      </c>
      <c r="AM175" s="835">
        <v>0</v>
      </c>
      <c r="AN175" s="835">
        <v>0</v>
      </c>
      <c r="AO175" s="835">
        <v>0</v>
      </c>
      <c r="AP175" s="835">
        <v>0</v>
      </c>
      <c r="AQ175" s="835">
        <v>0</v>
      </c>
      <c r="AR175" s="835">
        <v>0</v>
      </c>
      <c r="AS175" s="835">
        <v>45837</v>
      </c>
      <c r="AT175" s="835">
        <v>0</v>
      </c>
      <c r="AU175" s="835">
        <v>0</v>
      </c>
      <c r="AV175" s="835">
        <v>0</v>
      </c>
      <c r="AW175" s="835">
        <v>0</v>
      </c>
      <c r="AX175" s="835">
        <v>0</v>
      </c>
      <c r="AY175" s="835">
        <v>0</v>
      </c>
      <c r="AZ175" s="835">
        <v>0</v>
      </c>
      <c r="BA175" s="835">
        <v>0</v>
      </c>
      <c r="BB175" s="835">
        <v>0</v>
      </c>
      <c r="BC175" s="835">
        <v>0</v>
      </c>
      <c r="BD175" s="835">
        <v>0</v>
      </c>
      <c r="BE175" s="835">
        <v>0</v>
      </c>
      <c r="BF175" s="835">
        <v>0</v>
      </c>
      <c r="BG175" s="835">
        <v>0</v>
      </c>
      <c r="BH175" s="835">
        <v>0</v>
      </c>
      <c r="BI175" s="835">
        <v>0</v>
      </c>
      <c r="BJ175" s="835">
        <v>0</v>
      </c>
      <c r="BK175" s="835">
        <v>0</v>
      </c>
      <c r="BL175" s="835">
        <v>0</v>
      </c>
      <c r="BM175" s="835">
        <v>0</v>
      </c>
      <c r="BN175" s="835">
        <v>0</v>
      </c>
      <c r="BO175" s="835">
        <v>0</v>
      </c>
      <c r="BP175" s="835">
        <v>0</v>
      </c>
      <c r="BQ175" s="835">
        <v>0</v>
      </c>
      <c r="BR175" s="835">
        <v>0</v>
      </c>
      <c r="BS175" s="835">
        <v>0</v>
      </c>
      <c r="BT175" s="835">
        <v>0</v>
      </c>
      <c r="BU175" s="835">
        <v>0</v>
      </c>
      <c r="BV175" s="835">
        <v>0</v>
      </c>
      <c r="BW175" s="835">
        <v>0</v>
      </c>
      <c r="BX175" s="835">
        <v>0</v>
      </c>
      <c r="BY175" s="835">
        <v>0</v>
      </c>
      <c r="BZ175" s="835">
        <v>0</v>
      </c>
      <c r="CA175" s="835">
        <v>0</v>
      </c>
      <c r="CB175" s="835">
        <v>0</v>
      </c>
    </row>
    <row r="176" spans="1:80" x14ac:dyDescent="0.25">
      <c r="A176" s="787">
        <v>526</v>
      </c>
      <c r="B176" s="846">
        <v>526</v>
      </c>
      <c r="C176" s="832" t="s">
        <v>355</v>
      </c>
      <c r="D176" s="860" t="s">
        <v>560</v>
      </c>
      <c r="E176" s="829">
        <v>0</v>
      </c>
      <c r="F176" s="798">
        <v>0</v>
      </c>
      <c r="G176" s="798">
        <v>18360</v>
      </c>
      <c r="H176" s="798">
        <v>8000895</v>
      </c>
      <c r="I176" s="798">
        <v>3701635</v>
      </c>
      <c r="J176" s="798">
        <v>58281</v>
      </c>
      <c r="K176" s="800">
        <v>250803</v>
      </c>
      <c r="L176" s="835">
        <v>0</v>
      </c>
      <c r="M176" s="835">
        <v>2107677</v>
      </c>
      <c r="N176" s="830">
        <v>0</v>
      </c>
      <c r="O176" s="830">
        <v>387192</v>
      </c>
      <c r="P176" s="830">
        <v>1465560</v>
      </c>
      <c r="Q176" s="830">
        <v>0</v>
      </c>
      <c r="R176" s="830">
        <v>960817</v>
      </c>
      <c r="S176" s="830">
        <v>1332523</v>
      </c>
      <c r="T176" s="830">
        <v>40678983</v>
      </c>
      <c r="U176" s="830">
        <v>0</v>
      </c>
      <c r="V176" s="830">
        <v>4410873</v>
      </c>
      <c r="W176" s="830">
        <v>0</v>
      </c>
      <c r="X176" s="830">
        <v>0</v>
      </c>
      <c r="Y176" s="830">
        <v>0</v>
      </c>
      <c r="Z176" s="830">
        <v>597780</v>
      </c>
      <c r="AA176" s="835">
        <v>800018</v>
      </c>
      <c r="AB176" s="835">
        <v>444844</v>
      </c>
      <c r="AC176" s="835">
        <v>0</v>
      </c>
      <c r="AD176" s="835">
        <v>45118</v>
      </c>
      <c r="AE176" s="835">
        <v>300246</v>
      </c>
      <c r="AF176" s="835">
        <v>496480</v>
      </c>
      <c r="AG176" s="835">
        <v>11089</v>
      </c>
      <c r="AH176" s="835">
        <v>0</v>
      </c>
      <c r="AI176" s="835">
        <v>0</v>
      </c>
      <c r="AJ176" s="835">
        <v>92840</v>
      </c>
      <c r="AK176" s="835">
        <v>3099980</v>
      </c>
      <c r="AL176" s="835">
        <v>127644</v>
      </c>
      <c r="AM176" s="835">
        <v>0</v>
      </c>
      <c r="AN176" s="835">
        <v>3236898</v>
      </c>
      <c r="AO176" s="835">
        <v>3807319</v>
      </c>
      <c r="AP176" s="835">
        <v>19761</v>
      </c>
      <c r="AQ176" s="835">
        <v>0</v>
      </c>
      <c r="AR176" s="835">
        <v>1210910</v>
      </c>
      <c r="AS176" s="835">
        <v>442303</v>
      </c>
      <c r="AT176" s="835">
        <v>79582</v>
      </c>
      <c r="AU176" s="835">
        <v>517567</v>
      </c>
      <c r="AV176" s="835">
        <v>7454085</v>
      </c>
      <c r="AW176" s="835">
        <v>20572</v>
      </c>
      <c r="AX176" s="835">
        <v>144906</v>
      </c>
      <c r="AY176" s="835">
        <v>65562</v>
      </c>
      <c r="AZ176" s="835">
        <v>448824</v>
      </c>
      <c r="BA176" s="835">
        <v>2476442</v>
      </c>
      <c r="BB176" s="835">
        <v>0</v>
      </c>
      <c r="BC176" s="835">
        <v>489263</v>
      </c>
      <c r="BD176" s="835">
        <v>59697</v>
      </c>
      <c r="BE176" s="835">
        <v>0</v>
      </c>
      <c r="BF176" s="835">
        <v>13379839</v>
      </c>
      <c r="BG176" s="835">
        <v>191611</v>
      </c>
      <c r="BH176" s="835">
        <v>0</v>
      </c>
      <c r="BI176" s="835">
        <v>996044</v>
      </c>
      <c r="BJ176" s="835">
        <v>199751</v>
      </c>
      <c r="BK176" s="835">
        <v>274871</v>
      </c>
      <c r="BL176" s="835">
        <v>1592004</v>
      </c>
      <c r="BM176" s="835">
        <v>367729</v>
      </c>
      <c r="BN176" s="835">
        <v>0</v>
      </c>
      <c r="BO176" s="835">
        <v>2924428</v>
      </c>
      <c r="BP176" s="835">
        <v>399871</v>
      </c>
      <c r="BQ176" s="835">
        <v>74986</v>
      </c>
      <c r="BR176" s="835">
        <v>548032</v>
      </c>
      <c r="BS176" s="835">
        <v>0</v>
      </c>
      <c r="BT176" s="835">
        <v>0</v>
      </c>
      <c r="BU176" s="835">
        <v>2066749</v>
      </c>
      <c r="BV176" s="835">
        <v>707517</v>
      </c>
      <c r="BW176" s="835">
        <v>313832</v>
      </c>
      <c r="BX176" s="835">
        <v>0</v>
      </c>
      <c r="BY176" s="835">
        <v>0</v>
      </c>
      <c r="BZ176" s="835">
        <v>0</v>
      </c>
      <c r="CA176" s="835">
        <v>913638</v>
      </c>
      <c r="CB176" s="835">
        <v>0</v>
      </c>
    </row>
    <row r="177" spans="1:80" ht="30" x14ac:dyDescent="0.25">
      <c r="A177" s="787">
        <v>527</v>
      </c>
      <c r="B177" s="846">
        <v>527</v>
      </c>
      <c r="C177" s="832" t="s">
        <v>356</v>
      </c>
      <c r="D177" s="860" t="s">
        <v>561</v>
      </c>
      <c r="E177" s="829">
        <v>0</v>
      </c>
      <c r="F177" s="798">
        <v>0</v>
      </c>
      <c r="G177" s="798">
        <v>0</v>
      </c>
      <c r="H177" s="798">
        <v>0</v>
      </c>
      <c r="I177" s="798">
        <v>0</v>
      </c>
      <c r="J177" s="798">
        <v>0</v>
      </c>
      <c r="K177" s="800">
        <v>0</v>
      </c>
      <c r="L177" s="835">
        <v>0</v>
      </c>
      <c r="M177" s="835">
        <v>0</v>
      </c>
      <c r="N177" s="830">
        <v>0</v>
      </c>
      <c r="O177" s="830">
        <v>0</v>
      </c>
      <c r="P177" s="830">
        <v>0</v>
      </c>
      <c r="Q177" s="830">
        <v>0</v>
      </c>
      <c r="R177" s="830">
        <v>0</v>
      </c>
      <c r="S177" s="830">
        <v>0</v>
      </c>
      <c r="T177" s="830">
        <v>39890</v>
      </c>
      <c r="U177" s="830">
        <v>0</v>
      </c>
      <c r="V177" s="830">
        <v>4436582</v>
      </c>
      <c r="W177" s="830">
        <v>0</v>
      </c>
      <c r="X177" s="830">
        <v>0</v>
      </c>
      <c r="Y177" s="830">
        <v>0</v>
      </c>
      <c r="Z177" s="830">
        <v>0</v>
      </c>
      <c r="AA177" s="835">
        <v>6000</v>
      </c>
      <c r="AB177" s="835">
        <v>57889</v>
      </c>
      <c r="AC177" s="835">
        <v>0</v>
      </c>
      <c r="AD177" s="835">
        <v>0</v>
      </c>
      <c r="AE177" s="835">
        <v>0</v>
      </c>
      <c r="AF177" s="835">
        <v>1</v>
      </c>
      <c r="AG177" s="835">
        <v>0</v>
      </c>
      <c r="AH177" s="835">
        <v>0</v>
      </c>
      <c r="AI177" s="835">
        <v>0</v>
      </c>
      <c r="AJ177" s="835">
        <v>0</v>
      </c>
      <c r="AK177" s="835">
        <v>0</v>
      </c>
      <c r="AL177" s="835">
        <v>0</v>
      </c>
      <c r="AM177" s="835">
        <v>0</v>
      </c>
      <c r="AN177" s="835">
        <v>0</v>
      </c>
      <c r="AO177" s="835">
        <v>0</v>
      </c>
      <c r="AP177" s="835">
        <v>0</v>
      </c>
      <c r="AQ177" s="835">
        <v>0</v>
      </c>
      <c r="AR177" s="835">
        <v>3956852</v>
      </c>
      <c r="AS177" s="835">
        <v>0</v>
      </c>
      <c r="AT177" s="835">
        <v>0</v>
      </c>
      <c r="AU177" s="835">
        <v>0</v>
      </c>
      <c r="AV177" s="835">
        <v>10220</v>
      </c>
      <c r="AW177" s="835">
        <v>0</v>
      </c>
      <c r="AX177" s="835">
        <v>0</v>
      </c>
      <c r="AY177" s="835">
        <v>0</v>
      </c>
      <c r="AZ177" s="835">
        <v>0</v>
      </c>
      <c r="BA177" s="835">
        <v>554974</v>
      </c>
      <c r="BB177" s="835">
        <v>0</v>
      </c>
      <c r="BC177" s="835">
        <v>0</v>
      </c>
      <c r="BD177" s="835">
        <v>54189</v>
      </c>
      <c r="BE177" s="835">
        <v>0</v>
      </c>
      <c r="BF177" s="835">
        <v>730137</v>
      </c>
      <c r="BG177" s="835">
        <v>0</v>
      </c>
      <c r="BH177" s="835">
        <v>0</v>
      </c>
      <c r="BI177" s="835">
        <v>0</v>
      </c>
      <c r="BJ177" s="835">
        <v>0</v>
      </c>
      <c r="BK177" s="835">
        <v>0</v>
      </c>
      <c r="BL177" s="835">
        <v>19800</v>
      </c>
      <c r="BM177" s="835">
        <v>0</v>
      </c>
      <c r="BN177" s="835">
        <v>0</v>
      </c>
      <c r="BO177" s="835">
        <v>0</v>
      </c>
      <c r="BP177" s="835">
        <v>0</v>
      </c>
      <c r="BQ177" s="835">
        <v>0</v>
      </c>
      <c r="BR177" s="835">
        <v>0</v>
      </c>
      <c r="BS177" s="835">
        <v>0</v>
      </c>
      <c r="BT177" s="835">
        <v>0</v>
      </c>
      <c r="BU177" s="835">
        <v>0</v>
      </c>
      <c r="BV177" s="835">
        <v>0</v>
      </c>
      <c r="BW177" s="835">
        <v>0</v>
      </c>
      <c r="BX177" s="835">
        <v>0</v>
      </c>
      <c r="BY177" s="835">
        <v>0</v>
      </c>
      <c r="BZ177" s="835">
        <v>0</v>
      </c>
      <c r="CA177" s="835">
        <v>0</v>
      </c>
      <c r="CB177" s="835">
        <v>0</v>
      </c>
    </row>
    <row r="178" spans="1:80" x14ac:dyDescent="0.25">
      <c r="A178" s="787">
        <v>528</v>
      </c>
      <c r="B178" s="846">
        <v>528</v>
      </c>
      <c r="C178" s="832" t="s">
        <v>338</v>
      </c>
      <c r="D178" s="860" t="s">
        <v>562</v>
      </c>
      <c r="E178" s="829">
        <v>835134</v>
      </c>
      <c r="F178" s="798">
        <v>6448842</v>
      </c>
      <c r="G178" s="798">
        <v>151102</v>
      </c>
      <c r="H178" s="798">
        <v>21600952</v>
      </c>
      <c r="I178" s="798">
        <v>1884880</v>
      </c>
      <c r="J178" s="798">
        <v>117846</v>
      </c>
      <c r="K178" s="800">
        <v>534849</v>
      </c>
      <c r="L178" s="835">
        <v>815457</v>
      </c>
      <c r="M178" s="835">
        <v>23060402</v>
      </c>
      <c r="N178" s="830">
        <v>21150</v>
      </c>
      <c r="O178" s="830">
        <v>355267</v>
      </c>
      <c r="P178" s="830">
        <v>770132</v>
      </c>
      <c r="Q178" s="830">
        <v>15174150</v>
      </c>
      <c r="R178" s="830">
        <v>7823760</v>
      </c>
      <c r="S178" s="830">
        <v>2363751</v>
      </c>
      <c r="T178" s="830">
        <v>5878879</v>
      </c>
      <c r="U178" s="830">
        <v>51928</v>
      </c>
      <c r="V178" s="830">
        <v>8680860</v>
      </c>
      <c r="W178" s="830">
        <v>7172</v>
      </c>
      <c r="X178" s="830">
        <v>3830025</v>
      </c>
      <c r="Y178" s="830">
        <v>6560193</v>
      </c>
      <c r="Z178" s="830">
        <v>2444487</v>
      </c>
      <c r="AA178" s="835">
        <v>604243</v>
      </c>
      <c r="AB178" s="835">
        <v>2354937</v>
      </c>
      <c r="AC178" s="835">
        <v>559714</v>
      </c>
      <c r="AD178" s="835">
        <v>188576</v>
      </c>
      <c r="AE178" s="835">
        <v>513035</v>
      </c>
      <c r="AF178" s="835">
        <v>1113600</v>
      </c>
      <c r="AG178" s="835">
        <v>24764</v>
      </c>
      <c r="AH178" s="835">
        <v>8158</v>
      </c>
      <c r="AI178" s="835">
        <v>31011</v>
      </c>
      <c r="AJ178" s="835">
        <v>1533147</v>
      </c>
      <c r="AK178" s="835">
        <v>3059522</v>
      </c>
      <c r="AL178" s="835">
        <v>43434</v>
      </c>
      <c r="AM178" s="835">
        <v>8816</v>
      </c>
      <c r="AN178" s="835">
        <v>4864952</v>
      </c>
      <c r="AO178" s="835">
        <v>7879749</v>
      </c>
      <c r="AP178" s="835">
        <v>110727</v>
      </c>
      <c r="AQ178" s="835">
        <v>2141016</v>
      </c>
      <c r="AR178" s="835">
        <v>9313206</v>
      </c>
      <c r="AS178" s="835">
        <v>1041973</v>
      </c>
      <c r="AT178" s="835">
        <v>73320</v>
      </c>
      <c r="AU178" s="835">
        <v>1543748</v>
      </c>
      <c r="AV178" s="835">
        <v>4372564</v>
      </c>
      <c r="AW178" s="835">
        <v>25792</v>
      </c>
      <c r="AX178" s="835">
        <v>230995</v>
      </c>
      <c r="AY178" s="835">
        <v>1388768</v>
      </c>
      <c r="AZ178" s="835">
        <v>1326210</v>
      </c>
      <c r="BA178" s="835">
        <v>1136493</v>
      </c>
      <c r="BB178" s="835">
        <v>23525</v>
      </c>
      <c r="BC178" s="835">
        <v>1077485</v>
      </c>
      <c r="BD178" s="835">
        <v>156610</v>
      </c>
      <c r="BE178" s="835">
        <v>28129</v>
      </c>
      <c r="BF178" s="835">
        <v>9275285</v>
      </c>
      <c r="BG178" s="835">
        <v>58299</v>
      </c>
      <c r="BH178" s="835">
        <v>13474</v>
      </c>
      <c r="BI178" s="835">
        <v>1530831</v>
      </c>
      <c r="BJ178" s="835">
        <v>1626203</v>
      </c>
      <c r="BK178" s="835">
        <v>162525</v>
      </c>
      <c r="BL178" s="835">
        <v>5788510</v>
      </c>
      <c r="BM178" s="835">
        <v>2012664</v>
      </c>
      <c r="BN178" s="835">
        <v>0</v>
      </c>
      <c r="BO178" s="835">
        <v>2234411</v>
      </c>
      <c r="BP178" s="835">
        <v>508937</v>
      </c>
      <c r="BQ178" s="835">
        <v>419782</v>
      </c>
      <c r="BR178" s="835">
        <v>857027</v>
      </c>
      <c r="BS178" s="835">
        <v>541322</v>
      </c>
      <c r="BT178" s="835">
        <v>11264315</v>
      </c>
      <c r="BU178" s="835">
        <v>638044</v>
      </c>
      <c r="BV178" s="835">
        <v>1344019</v>
      </c>
      <c r="BW178" s="835">
        <v>214083</v>
      </c>
      <c r="BX178" s="835">
        <v>392483</v>
      </c>
      <c r="BY178" s="835">
        <v>1783</v>
      </c>
      <c r="BZ178" s="835">
        <v>8176</v>
      </c>
      <c r="CA178" s="835">
        <v>9166702</v>
      </c>
      <c r="CB178" s="835">
        <v>36374</v>
      </c>
    </row>
    <row r="179" spans="1:80" x14ac:dyDescent="0.25">
      <c r="A179" s="787">
        <v>529</v>
      </c>
      <c r="B179" s="846">
        <v>529</v>
      </c>
      <c r="C179" s="832" t="s">
        <v>339</v>
      </c>
      <c r="D179" s="860" t="s">
        <v>563</v>
      </c>
      <c r="E179" s="829">
        <v>7750</v>
      </c>
      <c r="F179" s="798">
        <v>827871</v>
      </c>
      <c r="G179" s="798">
        <v>20000</v>
      </c>
      <c r="H179" s="798">
        <v>2029360</v>
      </c>
      <c r="I179" s="798">
        <v>179149</v>
      </c>
      <c r="J179" s="798">
        <v>22521</v>
      </c>
      <c r="K179" s="800">
        <v>42754</v>
      </c>
      <c r="L179" s="835">
        <v>123712</v>
      </c>
      <c r="M179" s="835">
        <v>2294945</v>
      </c>
      <c r="N179" s="830">
        <v>4672</v>
      </c>
      <c r="O179" s="830">
        <v>30915</v>
      </c>
      <c r="P179" s="830">
        <v>54330</v>
      </c>
      <c r="Q179" s="830">
        <v>1418869</v>
      </c>
      <c r="R179" s="830">
        <v>307410</v>
      </c>
      <c r="S179" s="830">
        <v>258625</v>
      </c>
      <c r="T179" s="830">
        <v>310531</v>
      </c>
      <c r="U179" s="830">
        <v>12390</v>
      </c>
      <c r="V179" s="830">
        <v>940801</v>
      </c>
      <c r="W179" s="830">
        <v>1360</v>
      </c>
      <c r="X179" s="830">
        <v>185418</v>
      </c>
      <c r="Y179" s="830">
        <v>638365</v>
      </c>
      <c r="Z179" s="830">
        <v>74819</v>
      </c>
      <c r="AA179" s="835">
        <v>98428</v>
      </c>
      <c r="AB179" s="835">
        <v>43726</v>
      </c>
      <c r="AC179" s="835">
        <v>83025</v>
      </c>
      <c r="AD179" s="835">
        <v>976</v>
      </c>
      <c r="AE179" s="835">
        <v>26128</v>
      </c>
      <c r="AF179" s="835">
        <v>133606</v>
      </c>
      <c r="AG179" s="835">
        <v>3182</v>
      </c>
      <c r="AH179" s="835">
        <v>1365</v>
      </c>
      <c r="AI179" s="835">
        <v>4432</v>
      </c>
      <c r="AJ179" s="835">
        <v>103604</v>
      </c>
      <c r="AK179" s="835">
        <v>363435</v>
      </c>
      <c r="AL179" s="835">
        <v>8145</v>
      </c>
      <c r="AM179" s="835">
        <v>1106</v>
      </c>
      <c r="AN179" s="835">
        <v>415980</v>
      </c>
      <c r="AO179" s="835">
        <v>741031</v>
      </c>
      <c r="AP179" s="835">
        <v>19044</v>
      </c>
      <c r="AQ179" s="835">
        <v>249239</v>
      </c>
      <c r="AR179" s="835">
        <v>747216</v>
      </c>
      <c r="AS179" s="835">
        <v>128571</v>
      </c>
      <c r="AT179" s="835">
        <v>14319</v>
      </c>
      <c r="AU179" s="835">
        <v>237235</v>
      </c>
      <c r="AV179" s="835">
        <v>428871</v>
      </c>
      <c r="AW179" s="835">
        <v>4478</v>
      </c>
      <c r="AX179" s="835">
        <v>31207</v>
      </c>
      <c r="AY179" s="835">
        <v>137326</v>
      </c>
      <c r="AZ179" s="835">
        <v>138416</v>
      </c>
      <c r="BA179" s="835">
        <v>89498</v>
      </c>
      <c r="BB179" s="835">
        <v>2349</v>
      </c>
      <c r="BC179" s="835">
        <v>123920</v>
      </c>
      <c r="BD179" s="835">
        <v>28129</v>
      </c>
      <c r="BE179" s="835">
        <v>3235</v>
      </c>
      <c r="BF179" s="835">
        <v>910095</v>
      </c>
      <c r="BG179" s="835">
        <v>12042</v>
      </c>
      <c r="BH179" s="835">
        <v>2154</v>
      </c>
      <c r="BI179" s="835">
        <v>119148</v>
      </c>
      <c r="BJ179" s="835">
        <v>76858</v>
      </c>
      <c r="BK179" s="835">
        <v>27365</v>
      </c>
      <c r="BL179" s="835">
        <v>107101</v>
      </c>
      <c r="BM179" s="835">
        <v>70954</v>
      </c>
      <c r="BN179" s="835">
        <v>0</v>
      </c>
      <c r="BO179" s="835">
        <v>193917</v>
      </c>
      <c r="BP179" s="835">
        <v>46896</v>
      </c>
      <c r="BQ179" s="835">
        <v>24030</v>
      </c>
      <c r="BR179" s="835">
        <v>88893</v>
      </c>
      <c r="BS179" s="835">
        <v>50097</v>
      </c>
      <c r="BT179" s="835">
        <v>1587044</v>
      </c>
      <c r="BU179" s="835">
        <v>85934</v>
      </c>
      <c r="BV179" s="835">
        <v>90379</v>
      </c>
      <c r="BW179" s="835">
        <v>28731</v>
      </c>
      <c r="BX179" s="835">
        <v>22716</v>
      </c>
      <c r="BY179" s="835">
        <v>226</v>
      </c>
      <c r="BZ179" s="835">
        <v>1192</v>
      </c>
      <c r="CA179" s="835">
        <v>648630</v>
      </c>
      <c r="CB179" s="835">
        <v>6526</v>
      </c>
    </row>
    <row r="180" spans="1:80" ht="30" x14ac:dyDescent="0.25">
      <c r="A180" s="787">
        <v>530</v>
      </c>
      <c r="B180" s="846">
        <v>530</v>
      </c>
      <c r="C180" s="832" t="s">
        <v>340</v>
      </c>
      <c r="D180" s="860" t="s">
        <v>564</v>
      </c>
      <c r="E180" s="829">
        <v>8438</v>
      </c>
      <c r="F180" s="798">
        <v>11803</v>
      </c>
      <c r="G180" s="798">
        <v>9493</v>
      </c>
      <c r="H180" s="798">
        <v>248910</v>
      </c>
      <c r="I180" s="798">
        <v>7493</v>
      </c>
      <c r="J180" s="798">
        <v>14219</v>
      </c>
      <c r="K180" s="800">
        <v>30148</v>
      </c>
      <c r="L180" s="835">
        <v>26139</v>
      </c>
      <c r="M180" s="835">
        <v>354395</v>
      </c>
      <c r="N180" s="830">
        <v>1655</v>
      </c>
      <c r="O180" s="830">
        <v>5061</v>
      </c>
      <c r="P180" s="830">
        <v>3666</v>
      </c>
      <c r="Q180" s="830">
        <v>118993</v>
      </c>
      <c r="R180" s="830">
        <v>36129</v>
      </c>
      <c r="S180" s="830">
        <v>40254</v>
      </c>
      <c r="T180" s="830">
        <v>48145</v>
      </c>
      <c r="U180" s="830">
        <v>7095</v>
      </c>
      <c r="V180" s="830">
        <v>262023</v>
      </c>
      <c r="W180" s="830">
        <v>253</v>
      </c>
      <c r="X180" s="830">
        <v>24714</v>
      </c>
      <c r="Y180" s="830">
        <v>7998</v>
      </c>
      <c r="Z180" s="830">
        <v>3738</v>
      </c>
      <c r="AA180" s="835">
        <v>34797</v>
      </c>
      <c r="AB180" s="835">
        <v>34726</v>
      </c>
      <c r="AC180" s="835">
        <v>3155</v>
      </c>
      <c r="AD180" s="835">
        <v>615</v>
      </c>
      <c r="AE180" s="835">
        <v>4219</v>
      </c>
      <c r="AF180" s="835">
        <v>36256</v>
      </c>
      <c r="AG180" s="835">
        <v>2546</v>
      </c>
      <c r="AH180" s="835">
        <v>372</v>
      </c>
      <c r="AI180" s="835">
        <v>740</v>
      </c>
      <c r="AJ180" s="835">
        <v>8987</v>
      </c>
      <c r="AK180" s="835">
        <v>197540</v>
      </c>
      <c r="AL180" s="835">
        <v>2050</v>
      </c>
      <c r="AM180" s="835">
        <v>483</v>
      </c>
      <c r="AN180" s="835">
        <v>34734</v>
      </c>
      <c r="AO180" s="835">
        <v>295533</v>
      </c>
      <c r="AP180" s="835">
        <v>7331</v>
      </c>
      <c r="AQ180" s="835">
        <v>9037</v>
      </c>
      <c r="AR180" s="835">
        <v>296510</v>
      </c>
      <c r="AS180" s="835">
        <v>15309</v>
      </c>
      <c r="AT180" s="835">
        <v>3459</v>
      </c>
      <c r="AU180" s="835">
        <v>3493</v>
      </c>
      <c r="AV180" s="835">
        <v>90320</v>
      </c>
      <c r="AW180" s="835">
        <v>474</v>
      </c>
      <c r="AX180" s="835">
        <v>6690</v>
      </c>
      <c r="AY180" s="835">
        <v>28670</v>
      </c>
      <c r="AZ180" s="835">
        <v>45354</v>
      </c>
      <c r="BA180" s="835">
        <v>13654</v>
      </c>
      <c r="BB180" s="835">
        <v>3698</v>
      </c>
      <c r="BC180" s="835">
        <v>11178</v>
      </c>
      <c r="BD180" s="835">
        <v>7733</v>
      </c>
      <c r="BE180" s="835">
        <v>1198</v>
      </c>
      <c r="BF180" s="835">
        <v>543524</v>
      </c>
      <c r="BG180" s="835">
        <v>6036</v>
      </c>
      <c r="BH180" s="835">
        <v>278</v>
      </c>
      <c r="BI180" s="835">
        <v>23733</v>
      </c>
      <c r="BJ180" s="835">
        <v>28861</v>
      </c>
      <c r="BK180" s="835">
        <v>22249</v>
      </c>
      <c r="BL180" s="835">
        <v>22103</v>
      </c>
      <c r="BM180" s="835">
        <v>10948</v>
      </c>
      <c r="BN180" s="835">
        <v>0</v>
      </c>
      <c r="BO180" s="835">
        <v>25748</v>
      </c>
      <c r="BP180" s="835">
        <v>20354</v>
      </c>
      <c r="BQ180" s="835">
        <v>15656</v>
      </c>
      <c r="BR180" s="835">
        <v>18447</v>
      </c>
      <c r="BS180" s="835">
        <v>846</v>
      </c>
      <c r="BT180" s="835">
        <v>45894</v>
      </c>
      <c r="BU180" s="835">
        <v>105987</v>
      </c>
      <c r="BV180" s="835">
        <v>11072</v>
      </c>
      <c r="BW180" s="835">
        <v>9196</v>
      </c>
      <c r="BX180" s="835">
        <v>1039</v>
      </c>
      <c r="BY180" s="835">
        <v>81</v>
      </c>
      <c r="BZ180" s="835">
        <v>177</v>
      </c>
      <c r="CA180" s="835">
        <v>29582</v>
      </c>
      <c r="CB180" s="835">
        <v>5882</v>
      </c>
    </row>
    <row r="181" spans="1:80" x14ac:dyDescent="0.25">
      <c r="A181" s="787">
        <v>531</v>
      </c>
      <c r="B181" s="846">
        <v>531</v>
      </c>
      <c r="C181" s="832" t="s">
        <v>341</v>
      </c>
      <c r="D181" s="860" t="s">
        <v>565</v>
      </c>
      <c r="E181" s="829">
        <v>0</v>
      </c>
      <c r="F181" s="798">
        <v>0</v>
      </c>
      <c r="G181" s="798">
        <v>0</v>
      </c>
      <c r="H181" s="798">
        <v>0</v>
      </c>
      <c r="I181" s="798">
        <v>0</v>
      </c>
      <c r="J181" s="798">
        <v>331</v>
      </c>
      <c r="K181" s="800">
        <v>0</v>
      </c>
      <c r="L181" s="835">
        <v>0</v>
      </c>
      <c r="M181" s="835">
        <v>0</v>
      </c>
      <c r="N181" s="830">
        <v>0</v>
      </c>
      <c r="O181" s="830">
        <v>0</v>
      </c>
      <c r="P181" s="830">
        <v>0</v>
      </c>
      <c r="Q181" s="830">
        <v>0</v>
      </c>
      <c r="R181" s="830">
        <v>0</v>
      </c>
      <c r="S181" s="830">
        <v>136</v>
      </c>
      <c r="T181" s="830">
        <v>0</v>
      </c>
      <c r="U181" s="830">
        <v>0</v>
      </c>
      <c r="V181" s="830">
        <v>0</v>
      </c>
      <c r="W181" s="830">
        <v>0</v>
      </c>
      <c r="X181" s="830">
        <v>0</v>
      </c>
      <c r="Y181" s="830">
        <v>2746</v>
      </c>
      <c r="Z181" s="830">
        <v>0</v>
      </c>
      <c r="AA181" s="835">
        <v>0</v>
      </c>
      <c r="AB181" s="835">
        <v>0</v>
      </c>
      <c r="AC181" s="835">
        <v>0</v>
      </c>
      <c r="AD181" s="835">
        <v>0</v>
      </c>
      <c r="AE181" s="835">
        <v>0</v>
      </c>
      <c r="AF181" s="835">
        <v>0</v>
      </c>
      <c r="AG181" s="835">
        <v>0</v>
      </c>
      <c r="AH181" s="835">
        <v>0</v>
      </c>
      <c r="AI181" s="835">
        <v>0</v>
      </c>
      <c r="AJ181" s="835">
        <v>122</v>
      </c>
      <c r="AK181" s="835">
        <v>0</v>
      </c>
      <c r="AL181" s="835">
        <v>0</v>
      </c>
      <c r="AM181" s="835">
        <v>0</v>
      </c>
      <c r="AN181" s="835">
        <v>5</v>
      </c>
      <c r="AO181" s="835">
        <v>0</v>
      </c>
      <c r="AP181" s="835">
        <v>0</v>
      </c>
      <c r="AQ181" s="835">
        <v>0</v>
      </c>
      <c r="AR181" s="835">
        <v>0</v>
      </c>
      <c r="AS181" s="835">
        <v>13</v>
      </c>
      <c r="AT181" s="835">
        <v>0</v>
      </c>
      <c r="AU181" s="835">
        <v>0</v>
      </c>
      <c r="AV181" s="835">
        <v>0</v>
      </c>
      <c r="AW181" s="835">
        <v>0</v>
      </c>
      <c r="AX181" s="835">
        <v>0</v>
      </c>
      <c r="AY181" s="835">
        <v>0</v>
      </c>
      <c r="AZ181" s="835">
        <v>0</v>
      </c>
      <c r="BA181" s="835">
        <v>0</v>
      </c>
      <c r="BB181" s="835">
        <v>0</v>
      </c>
      <c r="BC181" s="835">
        <v>0</v>
      </c>
      <c r="BD181" s="835">
        <v>0</v>
      </c>
      <c r="BE181" s="835">
        <v>0</v>
      </c>
      <c r="BF181" s="835">
        <v>0</v>
      </c>
      <c r="BG181" s="835">
        <v>0</v>
      </c>
      <c r="BH181" s="835">
        <v>3</v>
      </c>
      <c r="BI181" s="835">
        <v>0</v>
      </c>
      <c r="BJ181" s="835">
        <v>281</v>
      </c>
      <c r="BK181" s="835">
        <v>0</v>
      </c>
      <c r="BL181" s="835">
        <v>0</v>
      </c>
      <c r="BM181" s="835">
        <v>0</v>
      </c>
      <c r="BN181" s="835">
        <v>0</v>
      </c>
      <c r="BO181" s="835">
        <v>0</v>
      </c>
      <c r="BP181" s="835">
        <v>0</v>
      </c>
      <c r="BQ181" s="835">
        <v>0</v>
      </c>
      <c r="BR181" s="835">
        <v>0</v>
      </c>
      <c r="BS181" s="835">
        <v>98</v>
      </c>
      <c r="BT181" s="835">
        <v>0</v>
      </c>
      <c r="BU181" s="835">
        <v>1816</v>
      </c>
      <c r="BV181" s="835">
        <v>0</v>
      </c>
      <c r="BW181" s="835">
        <v>1034</v>
      </c>
      <c r="BX181" s="835">
        <v>0</v>
      </c>
      <c r="BY181" s="835">
        <v>0</v>
      </c>
      <c r="BZ181" s="835">
        <v>0</v>
      </c>
      <c r="CA181" s="835">
        <v>0</v>
      </c>
      <c r="CB181" s="835">
        <v>0</v>
      </c>
    </row>
    <row r="182" spans="1:80" x14ac:dyDescent="0.25">
      <c r="A182" s="787">
        <v>532</v>
      </c>
      <c r="B182" s="846">
        <v>532</v>
      </c>
      <c r="C182" s="832" t="s">
        <v>666</v>
      </c>
      <c r="D182" s="860" t="s">
        <v>566</v>
      </c>
      <c r="E182" s="829">
        <v>1920507</v>
      </c>
      <c r="F182" s="798">
        <v>10343397</v>
      </c>
      <c r="G182" s="798">
        <v>385164</v>
      </c>
      <c r="H182" s="798">
        <v>40279767</v>
      </c>
      <c r="I182" s="798">
        <v>3997657</v>
      </c>
      <c r="J182" s="798">
        <v>243952</v>
      </c>
      <c r="K182" s="800">
        <v>1030994</v>
      </c>
      <c r="L182" s="835">
        <v>1528030</v>
      </c>
      <c r="M182" s="835">
        <v>43453584</v>
      </c>
      <c r="N182" s="830">
        <v>85426</v>
      </c>
      <c r="O182" s="830">
        <v>988606</v>
      </c>
      <c r="P182" s="830">
        <v>1466300</v>
      </c>
      <c r="Q182" s="830">
        <v>31300623</v>
      </c>
      <c r="R182" s="830">
        <v>18535751</v>
      </c>
      <c r="S182" s="830">
        <v>6969218</v>
      </c>
      <c r="T182" s="830">
        <v>15109935</v>
      </c>
      <c r="U182" s="830">
        <v>153857</v>
      </c>
      <c r="V182" s="830">
        <v>20958093</v>
      </c>
      <c r="W182" s="830">
        <v>27808</v>
      </c>
      <c r="X182" s="830">
        <v>10139191</v>
      </c>
      <c r="Y182" s="830">
        <v>15711806</v>
      </c>
      <c r="Z182" s="830">
        <v>5143719</v>
      </c>
      <c r="AA182" s="835">
        <v>1443576</v>
      </c>
      <c r="AB182" s="835">
        <v>4670170</v>
      </c>
      <c r="AC182" s="835">
        <v>1093385</v>
      </c>
      <c r="AD182" s="835">
        <v>271870</v>
      </c>
      <c r="AE182" s="835">
        <v>1176211</v>
      </c>
      <c r="AF182" s="835">
        <v>3347282</v>
      </c>
      <c r="AG182" s="835">
        <v>111028</v>
      </c>
      <c r="AH182" s="835">
        <v>37960</v>
      </c>
      <c r="AI182" s="835">
        <v>108118</v>
      </c>
      <c r="AJ182" s="835">
        <v>2725318</v>
      </c>
      <c r="AK182" s="835">
        <v>7009816</v>
      </c>
      <c r="AL182" s="835">
        <v>178565</v>
      </c>
      <c r="AM182" s="835">
        <v>22027</v>
      </c>
      <c r="AN182" s="835">
        <v>13985052</v>
      </c>
      <c r="AO182" s="835">
        <v>16335404</v>
      </c>
      <c r="AP182" s="835">
        <v>286676</v>
      </c>
      <c r="AQ182" s="835">
        <v>3659652</v>
      </c>
      <c r="AR182" s="835">
        <v>23118551</v>
      </c>
      <c r="AS182" s="835">
        <v>2619010</v>
      </c>
      <c r="AT182" s="835">
        <v>871852</v>
      </c>
      <c r="AU182" s="835">
        <v>4254509</v>
      </c>
      <c r="AV182" s="835">
        <v>11381430</v>
      </c>
      <c r="AW182" s="835">
        <v>134071</v>
      </c>
      <c r="AX182" s="835">
        <v>616017</v>
      </c>
      <c r="AY182" s="835">
        <v>2695296</v>
      </c>
      <c r="AZ182" s="835">
        <v>3424893</v>
      </c>
      <c r="BA182" s="835">
        <v>3525879</v>
      </c>
      <c r="BB182" s="835">
        <v>99613</v>
      </c>
      <c r="BC182" s="835">
        <v>1922657</v>
      </c>
      <c r="BD182" s="835">
        <v>390971</v>
      </c>
      <c r="BE182" s="835">
        <v>74797</v>
      </c>
      <c r="BF182" s="835">
        <v>25598575</v>
      </c>
      <c r="BG182" s="835">
        <v>287480</v>
      </c>
      <c r="BH182" s="835">
        <v>49992</v>
      </c>
      <c r="BI182" s="835">
        <v>3319504</v>
      </c>
      <c r="BJ182" s="835">
        <v>2473662</v>
      </c>
      <c r="BK182" s="835">
        <v>547033</v>
      </c>
      <c r="BL182" s="835">
        <v>8848130</v>
      </c>
      <c r="BM182" s="835">
        <v>4986067</v>
      </c>
      <c r="BN182" s="835">
        <v>39298</v>
      </c>
      <c r="BO182" s="835">
        <v>6147538</v>
      </c>
      <c r="BP182" s="835">
        <v>1727586</v>
      </c>
      <c r="BQ182" s="835">
        <v>813008</v>
      </c>
      <c r="BR182" s="835">
        <v>1849357</v>
      </c>
      <c r="BS182" s="835">
        <v>971230</v>
      </c>
      <c r="BT182" s="835">
        <v>20877879</v>
      </c>
      <c r="BU182" s="835">
        <v>2150119</v>
      </c>
      <c r="BV182" s="835">
        <v>2986919</v>
      </c>
      <c r="BW182" s="835">
        <v>841924</v>
      </c>
      <c r="BX182" s="835">
        <v>927203</v>
      </c>
      <c r="BY182" s="835">
        <v>27467</v>
      </c>
      <c r="BZ182" s="835">
        <v>25308</v>
      </c>
      <c r="CA182" s="835">
        <v>17502151</v>
      </c>
      <c r="CB182" s="835">
        <v>62552</v>
      </c>
    </row>
    <row r="183" spans="1:80" x14ac:dyDescent="0.25">
      <c r="A183" s="787">
        <v>533</v>
      </c>
      <c r="B183" s="846">
        <v>533</v>
      </c>
      <c r="C183" s="832" t="s">
        <v>667</v>
      </c>
      <c r="D183" s="860" t="s">
        <v>567</v>
      </c>
      <c r="E183" s="829">
        <v>0</v>
      </c>
      <c r="F183" s="798">
        <v>0</v>
      </c>
      <c r="G183" s="798">
        <v>36800</v>
      </c>
      <c r="H183" s="798">
        <v>3534016</v>
      </c>
      <c r="I183" s="798">
        <v>352624</v>
      </c>
      <c r="J183" s="798">
        <v>0</v>
      </c>
      <c r="K183" s="800">
        <v>0</v>
      </c>
      <c r="L183" s="835">
        <v>0</v>
      </c>
      <c r="M183" s="835">
        <v>1810338</v>
      </c>
      <c r="N183" s="830">
        <v>0</v>
      </c>
      <c r="O183" s="830">
        <v>35286</v>
      </c>
      <c r="P183" s="830">
        <v>0</v>
      </c>
      <c r="Q183" s="830">
        <v>3142035</v>
      </c>
      <c r="R183" s="830">
        <v>1083447</v>
      </c>
      <c r="S183" s="830">
        <v>525000</v>
      </c>
      <c r="T183" s="830">
        <v>809799</v>
      </c>
      <c r="U183" s="830">
        <v>4800</v>
      </c>
      <c r="V183" s="830">
        <v>0</v>
      </c>
      <c r="W183" s="830">
        <v>0</v>
      </c>
      <c r="X183" s="830">
        <v>0</v>
      </c>
      <c r="Y183" s="830">
        <v>288118</v>
      </c>
      <c r="Z183" s="830">
        <v>63626</v>
      </c>
      <c r="AA183" s="835">
        <v>0</v>
      </c>
      <c r="AB183" s="835">
        <v>415400</v>
      </c>
      <c r="AC183" s="835">
        <v>0</v>
      </c>
      <c r="AD183" s="835">
        <v>0</v>
      </c>
      <c r="AE183" s="835">
        <v>60363</v>
      </c>
      <c r="AF183" s="835">
        <v>254522</v>
      </c>
      <c r="AG183" s="835">
        <v>0</v>
      </c>
      <c r="AH183" s="835">
        <v>0</v>
      </c>
      <c r="AI183" s="835">
        <v>0</v>
      </c>
      <c r="AJ183" s="835">
        <v>0</v>
      </c>
      <c r="AK183" s="835">
        <v>6110000</v>
      </c>
      <c r="AL183" s="835">
        <v>0</v>
      </c>
      <c r="AM183" s="835">
        <v>0</v>
      </c>
      <c r="AN183" s="835">
        <v>3000000</v>
      </c>
      <c r="AO183" s="835">
        <v>0</v>
      </c>
      <c r="AP183" s="835">
        <v>0</v>
      </c>
      <c r="AQ183" s="835">
        <v>0</v>
      </c>
      <c r="AR183" s="835">
        <v>1035527</v>
      </c>
      <c r="AS183" s="835">
        <v>100000</v>
      </c>
      <c r="AT183" s="835">
        <v>314981</v>
      </c>
      <c r="AU183" s="835">
        <v>112000</v>
      </c>
      <c r="AV183" s="835">
        <v>275589</v>
      </c>
      <c r="AW183" s="835">
        <v>0</v>
      </c>
      <c r="AX183" s="835">
        <v>0</v>
      </c>
      <c r="AY183" s="835">
        <v>0</v>
      </c>
      <c r="AZ183" s="835">
        <v>123935</v>
      </c>
      <c r="BA183" s="835">
        <v>0</v>
      </c>
      <c r="BB183" s="835">
        <v>0</v>
      </c>
      <c r="BC183" s="835">
        <v>0</v>
      </c>
      <c r="BD183" s="835">
        <v>0</v>
      </c>
      <c r="BE183" s="835">
        <v>0</v>
      </c>
      <c r="BF183" s="835">
        <v>0</v>
      </c>
      <c r="BG183" s="835">
        <v>0</v>
      </c>
      <c r="BH183" s="835">
        <v>0</v>
      </c>
      <c r="BI183" s="835">
        <v>0</v>
      </c>
      <c r="BJ183" s="835">
        <v>0</v>
      </c>
      <c r="BK183" s="835">
        <v>0</v>
      </c>
      <c r="BL183" s="835">
        <v>0</v>
      </c>
      <c r="BM183" s="835">
        <v>0</v>
      </c>
      <c r="BN183" s="835">
        <v>0</v>
      </c>
      <c r="BO183" s="835">
        <v>112768</v>
      </c>
      <c r="BP183" s="835">
        <v>0</v>
      </c>
      <c r="BQ183" s="835">
        <v>0</v>
      </c>
      <c r="BR183" s="835">
        <v>0</v>
      </c>
      <c r="BS183" s="835">
        <v>0</v>
      </c>
      <c r="BT183" s="835">
        <v>1124744</v>
      </c>
      <c r="BU183" s="835">
        <v>170000</v>
      </c>
      <c r="BV183" s="835">
        <v>0</v>
      </c>
      <c r="BW183" s="835">
        <v>14893</v>
      </c>
      <c r="BX183" s="835">
        <v>0</v>
      </c>
      <c r="BY183" s="835">
        <v>0</v>
      </c>
      <c r="BZ183" s="835">
        <v>0</v>
      </c>
      <c r="CA183" s="835">
        <v>431873</v>
      </c>
      <c r="CB183" s="835">
        <v>0</v>
      </c>
    </row>
    <row r="184" spans="1:80" ht="30" x14ac:dyDescent="0.25">
      <c r="A184" s="860"/>
      <c r="B184" s="846">
        <v>534</v>
      </c>
      <c r="C184" s="832" t="s">
        <v>342</v>
      </c>
      <c r="D184" s="860" t="s">
        <v>568</v>
      </c>
      <c r="E184" s="829"/>
      <c r="F184" s="798"/>
      <c r="G184" s="798"/>
      <c r="H184" s="798"/>
      <c r="I184" s="798"/>
      <c r="J184" s="798"/>
      <c r="K184" s="800"/>
      <c r="L184" s="835"/>
      <c r="M184" s="835"/>
      <c r="N184" s="830"/>
      <c r="O184" s="830"/>
      <c r="P184" s="830"/>
      <c r="Q184" s="830"/>
      <c r="R184" s="830"/>
      <c r="S184" s="830"/>
      <c r="T184" s="830"/>
      <c r="U184" s="830"/>
      <c r="V184" s="830"/>
      <c r="W184" s="830"/>
      <c r="X184" s="830"/>
      <c r="Y184" s="830"/>
      <c r="Z184" s="830"/>
      <c r="AA184" s="835"/>
      <c r="AB184" s="835"/>
      <c r="AC184" s="835"/>
      <c r="AD184" s="835"/>
      <c r="AE184" s="835"/>
      <c r="AF184" s="835"/>
      <c r="AG184" s="835"/>
      <c r="AH184" s="835"/>
      <c r="AI184" s="835"/>
      <c r="AJ184" s="835"/>
      <c r="AK184" s="835"/>
      <c r="AL184" s="835"/>
      <c r="AM184" s="835"/>
      <c r="AN184" s="835"/>
      <c r="AO184" s="835"/>
      <c r="AP184" s="835"/>
      <c r="AQ184" s="835"/>
      <c r="AR184" s="835"/>
      <c r="AS184" s="835"/>
      <c r="AT184" s="835"/>
      <c r="AU184" s="835"/>
      <c r="AV184" s="835"/>
      <c r="AW184" s="835"/>
      <c r="AX184" s="835"/>
      <c r="AY184" s="835"/>
      <c r="AZ184" s="835"/>
      <c r="BA184" s="835"/>
      <c r="BB184" s="835"/>
      <c r="BC184" s="835"/>
      <c r="BD184" s="835"/>
      <c r="BE184" s="835"/>
      <c r="BF184" s="835"/>
      <c r="BG184" s="835"/>
      <c r="BH184" s="835"/>
      <c r="BI184" s="835"/>
      <c r="BJ184" s="835"/>
      <c r="BK184" s="835"/>
      <c r="BL184" s="835"/>
      <c r="BM184" s="835"/>
      <c r="BN184" s="835"/>
      <c r="BO184" s="835"/>
      <c r="BP184" s="835"/>
      <c r="BQ184" s="835"/>
      <c r="BR184" s="835"/>
      <c r="BS184" s="835"/>
      <c r="BT184" s="835"/>
      <c r="BU184" s="835"/>
      <c r="BV184" s="835"/>
      <c r="BW184" s="835"/>
      <c r="BX184" s="835"/>
      <c r="BY184" s="835"/>
      <c r="BZ184" s="835"/>
      <c r="CA184" s="835"/>
      <c r="CB184" s="835"/>
    </row>
    <row r="185" spans="1:80" x14ac:dyDescent="0.25">
      <c r="A185" s="787">
        <v>535</v>
      </c>
      <c r="B185" s="846">
        <v>535</v>
      </c>
      <c r="C185" s="832" t="s">
        <v>320</v>
      </c>
      <c r="D185" s="860" t="s">
        <v>569</v>
      </c>
      <c r="E185" s="829">
        <v>0</v>
      </c>
      <c r="F185" s="798">
        <v>1859094</v>
      </c>
      <c r="G185" s="798">
        <v>0</v>
      </c>
      <c r="H185" s="798">
        <v>6785255</v>
      </c>
      <c r="I185" s="798">
        <v>0</v>
      </c>
      <c r="J185" s="798">
        <v>0</v>
      </c>
      <c r="K185" s="800">
        <v>0</v>
      </c>
      <c r="L185" s="835">
        <v>0</v>
      </c>
      <c r="M185" s="835">
        <v>36912745</v>
      </c>
      <c r="N185" s="830">
        <v>0</v>
      </c>
      <c r="O185" s="830">
        <v>0</v>
      </c>
      <c r="P185" s="830">
        <v>0</v>
      </c>
      <c r="Q185" s="830">
        <v>5974098</v>
      </c>
      <c r="R185" s="830">
        <v>97582</v>
      </c>
      <c r="S185" s="830">
        <v>0</v>
      </c>
      <c r="T185" s="830">
        <v>1972</v>
      </c>
      <c r="U185" s="830">
        <v>1</v>
      </c>
      <c r="V185" s="830">
        <v>0</v>
      </c>
      <c r="W185" s="830">
        <v>0</v>
      </c>
      <c r="X185" s="830">
        <v>0</v>
      </c>
      <c r="Y185" s="830">
        <v>0</v>
      </c>
      <c r="Z185" s="830">
        <v>3290547</v>
      </c>
      <c r="AA185" s="835">
        <v>0</v>
      </c>
      <c r="AB185" s="835">
        <v>150356</v>
      </c>
      <c r="AC185" s="835">
        <v>0</v>
      </c>
      <c r="AD185" s="835">
        <v>0</v>
      </c>
      <c r="AE185" s="835">
        <v>0</v>
      </c>
      <c r="AF185" s="835">
        <v>0</v>
      </c>
      <c r="AG185" s="835">
        <v>0</v>
      </c>
      <c r="AH185" s="835">
        <v>0</v>
      </c>
      <c r="AI185" s="835">
        <v>1</v>
      </c>
      <c r="AJ185" s="835">
        <v>0</v>
      </c>
      <c r="AK185" s="835">
        <v>5177072</v>
      </c>
      <c r="AL185" s="835">
        <v>0</v>
      </c>
      <c r="AM185" s="835">
        <v>0</v>
      </c>
      <c r="AN185" s="835">
        <v>5122463</v>
      </c>
      <c r="AO185" s="835">
        <v>0</v>
      </c>
      <c r="AP185" s="835">
        <v>0</v>
      </c>
      <c r="AQ185" s="835">
        <v>0</v>
      </c>
      <c r="AR185" s="835">
        <v>123711</v>
      </c>
      <c r="AS185" s="835">
        <v>0</v>
      </c>
      <c r="AT185" s="835">
        <v>0</v>
      </c>
      <c r="AU185" s="835">
        <v>0</v>
      </c>
      <c r="AV185" s="835">
        <v>0</v>
      </c>
      <c r="AW185" s="835">
        <v>0</v>
      </c>
      <c r="AX185" s="835">
        <v>0</v>
      </c>
      <c r="AY185" s="835">
        <v>0</v>
      </c>
      <c r="AZ185" s="835">
        <v>0</v>
      </c>
      <c r="BA185" s="835">
        <v>0</v>
      </c>
      <c r="BB185" s="835">
        <v>0</v>
      </c>
      <c r="BC185" s="835">
        <v>0</v>
      </c>
      <c r="BD185" s="835">
        <v>0</v>
      </c>
      <c r="BE185" s="835">
        <v>0</v>
      </c>
      <c r="BF185" s="835">
        <v>536931</v>
      </c>
      <c r="BG185" s="835">
        <v>0</v>
      </c>
      <c r="BH185" s="835">
        <v>0</v>
      </c>
      <c r="BI185" s="835">
        <v>0</v>
      </c>
      <c r="BJ185" s="835">
        <v>0</v>
      </c>
      <c r="BK185" s="835">
        <v>0</v>
      </c>
      <c r="BL185" s="835">
        <v>0</v>
      </c>
      <c r="BM185" s="835">
        <v>0</v>
      </c>
      <c r="BN185" s="835">
        <v>1</v>
      </c>
      <c r="BO185" s="835">
        <v>0</v>
      </c>
      <c r="BP185" s="835">
        <v>0</v>
      </c>
      <c r="BQ185" s="835">
        <v>0</v>
      </c>
      <c r="BR185" s="835">
        <v>0</v>
      </c>
      <c r="BS185" s="835">
        <v>0</v>
      </c>
      <c r="BT185" s="835">
        <v>0</v>
      </c>
      <c r="BU185" s="835">
        <v>1</v>
      </c>
      <c r="BV185" s="835">
        <v>0</v>
      </c>
      <c r="BW185" s="835">
        <v>0</v>
      </c>
      <c r="BX185" s="835">
        <v>0</v>
      </c>
      <c r="BY185" s="835">
        <v>0</v>
      </c>
      <c r="BZ185" s="835">
        <v>0</v>
      </c>
      <c r="CA185" s="835">
        <v>0</v>
      </c>
      <c r="CB185" s="835">
        <v>0</v>
      </c>
    </row>
    <row r="186" spans="1:80" x14ac:dyDescent="0.25">
      <c r="A186" s="787">
        <v>536</v>
      </c>
      <c r="B186" s="846">
        <v>536</v>
      </c>
      <c r="C186" s="832" t="s">
        <v>266</v>
      </c>
      <c r="D186" s="860" t="s">
        <v>570</v>
      </c>
      <c r="E186" s="829">
        <v>0</v>
      </c>
      <c r="F186" s="798">
        <v>2461296</v>
      </c>
      <c r="G186" s="798">
        <v>50980</v>
      </c>
      <c r="H186" s="798">
        <v>4693880</v>
      </c>
      <c r="I186" s="798">
        <v>538992</v>
      </c>
      <c r="J186" s="798">
        <v>111704</v>
      </c>
      <c r="K186" s="800">
        <v>5152</v>
      </c>
      <c r="L186" s="835">
        <v>69262</v>
      </c>
      <c r="M186" s="835">
        <v>6776785</v>
      </c>
      <c r="N186" s="830">
        <v>32103</v>
      </c>
      <c r="O186" s="830">
        <v>152308</v>
      </c>
      <c r="P186" s="830">
        <v>130098</v>
      </c>
      <c r="Q186" s="830">
        <v>2053653</v>
      </c>
      <c r="R186" s="830">
        <v>3297442</v>
      </c>
      <c r="S186" s="830">
        <v>35018</v>
      </c>
      <c r="T186" s="830">
        <v>267274</v>
      </c>
      <c r="U186" s="830">
        <v>148698</v>
      </c>
      <c r="V186" s="830">
        <v>0</v>
      </c>
      <c r="W186" s="830">
        <v>100767</v>
      </c>
      <c r="X186" s="830">
        <v>2676172</v>
      </c>
      <c r="Y186" s="830">
        <v>584654</v>
      </c>
      <c r="Z186" s="830">
        <v>508086</v>
      </c>
      <c r="AA186" s="835">
        <v>218551</v>
      </c>
      <c r="AB186" s="835">
        <v>4868</v>
      </c>
      <c r="AC186" s="835">
        <v>207575</v>
      </c>
      <c r="AD186" s="835">
        <v>9585</v>
      </c>
      <c r="AE186" s="835">
        <v>247534</v>
      </c>
      <c r="AF186" s="835">
        <v>1026382</v>
      </c>
      <c r="AG186" s="835">
        <v>9989</v>
      </c>
      <c r="AH186" s="835">
        <v>15295</v>
      </c>
      <c r="AI186" s="835">
        <v>154449</v>
      </c>
      <c r="AJ186" s="835">
        <v>0</v>
      </c>
      <c r="AK186" s="835">
        <v>148835</v>
      </c>
      <c r="AL186" s="835">
        <v>71341</v>
      </c>
      <c r="AM186" s="835">
        <v>0</v>
      </c>
      <c r="AN186" s="835">
        <v>2773606</v>
      </c>
      <c r="AO186" s="835">
        <v>0</v>
      </c>
      <c r="AP186" s="835">
        <v>78659</v>
      </c>
      <c r="AQ186" s="835">
        <v>635601</v>
      </c>
      <c r="AR186" s="835">
        <v>229726</v>
      </c>
      <c r="AS186" s="835">
        <v>173367</v>
      </c>
      <c r="AT186" s="835">
        <v>79163</v>
      </c>
      <c r="AU186" s="835">
        <v>307772</v>
      </c>
      <c r="AV186" s="835">
        <v>676028</v>
      </c>
      <c r="AW186" s="835">
        <v>27476</v>
      </c>
      <c r="AX186" s="835">
        <v>69447</v>
      </c>
      <c r="AY186" s="835">
        <v>1441333</v>
      </c>
      <c r="AZ186" s="835">
        <v>704821</v>
      </c>
      <c r="BA186" s="835">
        <v>133570</v>
      </c>
      <c r="BB186" s="835">
        <v>27627</v>
      </c>
      <c r="BC186" s="835">
        <v>468435</v>
      </c>
      <c r="BD186" s="835">
        <v>222480</v>
      </c>
      <c r="BE186" s="835">
        <v>7925</v>
      </c>
      <c r="BF186" s="835">
        <v>0</v>
      </c>
      <c r="BG186" s="835">
        <v>59757</v>
      </c>
      <c r="BH186" s="835">
        <v>21643</v>
      </c>
      <c r="BI186" s="835">
        <v>10158</v>
      </c>
      <c r="BJ186" s="835">
        <v>147021</v>
      </c>
      <c r="BK186" s="835">
        <v>94593</v>
      </c>
      <c r="BL186" s="835">
        <v>151807</v>
      </c>
      <c r="BM186" s="835">
        <v>2186</v>
      </c>
      <c r="BN186" s="835">
        <v>0</v>
      </c>
      <c r="BO186" s="835">
        <v>239878</v>
      </c>
      <c r="BP186" s="835">
        <v>101181</v>
      </c>
      <c r="BQ186" s="835">
        <v>110424</v>
      </c>
      <c r="BR186" s="835">
        <v>149980</v>
      </c>
      <c r="BS186" s="835">
        <v>108382</v>
      </c>
      <c r="BT186" s="835">
        <v>833195</v>
      </c>
      <c r="BU186" s="835">
        <v>92269</v>
      </c>
      <c r="BV186" s="835">
        <v>107647</v>
      </c>
      <c r="BW186" s="835">
        <v>362</v>
      </c>
      <c r="BX186" s="835">
        <v>82878</v>
      </c>
      <c r="BY186" s="835">
        <v>18554</v>
      </c>
      <c r="BZ186" s="835">
        <v>22034</v>
      </c>
      <c r="CA186" s="835">
        <v>794986</v>
      </c>
      <c r="CB186" s="835">
        <v>30730</v>
      </c>
    </row>
    <row r="187" spans="1:80" ht="30" x14ac:dyDescent="0.25">
      <c r="A187" s="787">
        <v>537</v>
      </c>
      <c r="B187" s="868">
        <v>537</v>
      </c>
      <c r="C187" s="806" t="s">
        <v>1182</v>
      </c>
      <c r="D187" s="867" t="s">
        <v>571</v>
      </c>
      <c r="E187" s="778">
        <v>0</v>
      </c>
      <c r="F187" s="777">
        <v>0</v>
      </c>
      <c r="G187" s="777">
        <v>1</v>
      </c>
      <c r="H187" s="777">
        <v>2</v>
      </c>
      <c r="I187" s="777">
        <v>2</v>
      </c>
      <c r="J187" s="777">
        <v>1</v>
      </c>
      <c r="K187" s="776">
        <v>2</v>
      </c>
      <c r="L187" s="775">
        <v>1</v>
      </c>
      <c r="M187" s="775">
        <v>1</v>
      </c>
      <c r="N187" s="820">
        <v>2</v>
      </c>
      <c r="O187" s="820">
        <v>2</v>
      </c>
      <c r="P187" s="820">
        <v>2</v>
      </c>
      <c r="Q187" s="820">
        <v>2</v>
      </c>
      <c r="R187" s="820">
        <v>1</v>
      </c>
      <c r="S187" s="820">
        <v>1</v>
      </c>
      <c r="T187" s="820">
        <v>2</v>
      </c>
      <c r="U187" s="820">
        <v>2</v>
      </c>
      <c r="V187" s="820">
        <v>2</v>
      </c>
      <c r="W187" s="820">
        <v>0</v>
      </c>
      <c r="X187" s="820">
        <v>0</v>
      </c>
      <c r="Y187" s="820">
        <v>1</v>
      </c>
      <c r="Z187" s="820">
        <v>2</v>
      </c>
      <c r="AA187" s="775">
        <v>2</v>
      </c>
      <c r="AB187" s="775">
        <v>2</v>
      </c>
      <c r="AC187" s="775">
        <v>0</v>
      </c>
      <c r="AD187" s="775">
        <v>2</v>
      </c>
      <c r="AE187" s="775">
        <v>2</v>
      </c>
      <c r="AF187" s="775">
        <v>1</v>
      </c>
      <c r="AG187" s="775">
        <v>0</v>
      </c>
      <c r="AH187" s="775">
        <v>0</v>
      </c>
      <c r="AI187" s="775">
        <v>2</v>
      </c>
      <c r="AJ187" s="775">
        <v>1</v>
      </c>
      <c r="AK187" s="775">
        <v>2</v>
      </c>
      <c r="AL187" s="775">
        <v>2</v>
      </c>
      <c r="AM187" s="775">
        <v>2</v>
      </c>
      <c r="AN187" s="775">
        <v>2</v>
      </c>
      <c r="AO187" s="775">
        <v>1</v>
      </c>
      <c r="AP187" s="775">
        <v>2</v>
      </c>
      <c r="AQ187" s="775">
        <v>0</v>
      </c>
      <c r="AR187" s="775">
        <v>1</v>
      </c>
      <c r="AS187" s="775">
        <v>2</v>
      </c>
      <c r="AT187" s="775">
        <v>1</v>
      </c>
      <c r="AU187" s="775">
        <v>2</v>
      </c>
      <c r="AV187" s="775">
        <v>2</v>
      </c>
      <c r="AW187" s="775">
        <v>1</v>
      </c>
      <c r="AX187" s="775">
        <v>2</v>
      </c>
      <c r="AY187" s="775">
        <v>2</v>
      </c>
      <c r="AZ187" s="775">
        <v>1</v>
      </c>
      <c r="BA187" s="775">
        <v>2</v>
      </c>
      <c r="BB187" s="775">
        <v>0</v>
      </c>
      <c r="BC187" s="775">
        <v>1</v>
      </c>
      <c r="BD187" s="775">
        <v>2</v>
      </c>
      <c r="BE187" s="775">
        <v>0</v>
      </c>
      <c r="BF187" s="775">
        <v>1</v>
      </c>
      <c r="BG187" s="775">
        <v>2</v>
      </c>
      <c r="BH187" s="775">
        <v>0</v>
      </c>
      <c r="BI187" s="775">
        <v>2</v>
      </c>
      <c r="BJ187" s="775">
        <v>1</v>
      </c>
      <c r="BK187" s="775">
        <v>2</v>
      </c>
      <c r="BL187" s="775">
        <v>0</v>
      </c>
      <c r="BM187" s="775">
        <v>2</v>
      </c>
      <c r="BN187" s="775">
        <v>0</v>
      </c>
      <c r="BO187" s="775">
        <v>1</v>
      </c>
      <c r="BP187" s="775">
        <v>1</v>
      </c>
      <c r="BQ187" s="775">
        <v>1</v>
      </c>
      <c r="BR187" s="775">
        <v>2</v>
      </c>
      <c r="BS187" s="775">
        <v>2</v>
      </c>
      <c r="BT187" s="775">
        <v>2</v>
      </c>
      <c r="BU187" s="775">
        <v>2</v>
      </c>
      <c r="BV187" s="775">
        <v>1</v>
      </c>
      <c r="BW187" s="775">
        <v>1</v>
      </c>
      <c r="BX187" s="775">
        <v>1</v>
      </c>
      <c r="BY187" s="775">
        <v>0</v>
      </c>
      <c r="BZ187" s="775">
        <v>0</v>
      </c>
      <c r="CA187" s="775">
        <v>2</v>
      </c>
      <c r="CB187" s="775">
        <v>0</v>
      </c>
    </row>
    <row r="188" spans="1:80" ht="45" x14ac:dyDescent="0.25">
      <c r="A188" s="787">
        <v>538</v>
      </c>
      <c r="B188" s="868">
        <v>538</v>
      </c>
      <c r="C188" s="806" t="s">
        <v>1183</v>
      </c>
      <c r="D188" s="867" t="s">
        <v>572</v>
      </c>
      <c r="E188" s="778">
        <v>0</v>
      </c>
      <c r="F188" s="777">
        <v>0</v>
      </c>
      <c r="G188" s="777">
        <v>2</v>
      </c>
      <c r="H188" s="777">
        <v>2</v>
      </c>
      <c r="I188" s="777">
        <v>1</v>
      </c>
      <c r="J188" s="777">
        <v>1</v>
      </c>
      <c r="K188" s="776">
        <v>2</v>
      </c>
      <c r="L188" s="775">
        <v>2</v>
      </c>
      <c r="M188" s="775">
        <v>2</v>
      </c>
      <c r="N188" s="820">
        <v>2</v>
      </c>
      <c r="O188" s="820">
        <v>2</v>
      </c>
      <c r="P188" s="820">
        <v>1</v>
      </c>
      <c r="Q188" s="820">
        <v>2</v>
      </c>
      <c r="R188" s="820">
        <v>1</v>
      </c>
      <c r="S188" s="820">
        <v>2</v>
      </c>
      <c r="T188" s="820">
        <v>2</v>
      </c>
      <c r="U188" s="820">
        <v>2</v>
      </c>
      <c r="V188" s="820">
        <v>2</v>
      </c>
      <c r="W188" s="820">
        <v>0</v>
      </c>
      <c r="X188" s="820">
        <v>0</v>
      </c>
      <c r="Y188" s="820">
        <v>2</v>
      </c>
      <c r="Z188" s="820">
        <v>1</v>
      </c>
      <c r="AA188" s="775">
        <v>1</v>
      </c>
      <c r="AB188" s="775">
        <v>2</v>
      </c>
      <c r="AC188" s="775">
        <v>0</v>
      </c>
      <c r="AD188" s="775">
        <v>2</v>
      </c>
      <c r="AE188" s="775">
        <v>2</v>
      </c>
      <c r="AF188" s="775">
        <v>2</v>
      </c>
      <c r="AG188" s="775">
        <v>0</v>
      </c>
      <c r="AH188" s="775">
        <v>0</v>
      </c>
      <c r="AI188" s="775">
        <v>2</v>
      </c>
      <c r="AJ188" s="775">
        <v>1</v>
      </c>
      <c r="AK188" s="775">
        <v>2</v>
      </c>
      <c r="AL188" s="775">
        <v>2</v>
      </c>
      <c r="AM188" s="775">
        <v>2</v>
      </c>
      <c r="AN188" s="775">
        <v>2</v>
      </c>
      <c r="AO188" s="775">
        <v>1</v>
      </c>
      <c r="AP188" s="775">
        <v>2</v>
      </c>
      <c r="AQ188" s="775">
        <v>0</v>
      </c>
      <c r="AR188" s="775">
        <v>1</v>
      </c>
      <c r="AS188" s="775">
        <v>2</v>
      </c>
      <c r="AT188" s="775">
        <v>1</v>
      </c>
      <c r="AU188" s="775">
        <v>2</v>
      </c>
      <c r="AV188" s="775">
        <v>2</v>
      </c>
      <c r="AW188" s="775">
        <v>2</v>
      </c>
      <c r="AX188" s="775">
        <v>2</v>
      </c>
      <c r="AY188" s="775">
        <v>0</v>
      </c>
      <c r="AZ188" s="775">
        <v>1</v>
      </c>
      <c r="BA188" s="775">
        <v>2</v>
      </c>
      <c r="BB188" s="775">
        <v>0</v>
      </c>
      <c r="BC188" s="775">
        <v>2</v>
      </c>
      <c r="BD188" s="775">
        <v>1</v>
      </c>
      <c r="BE188" s="775">
        <v>0</v>
      </c>
      <c r="BF188" s="775">
        <v>2</v>
      </c>
      <c r="BG188" s="775">
        <v>1</v>
      </c>
      <c r="BH188" s="775">
        <v>0</v>
      </c>
      <c r="BI188" s="775">
        <v>2</v>
      </c>
      <c r="BJ188" s="775">
        <v>2</v>
      </c>
      <c r="BK188" s="775">
        <v>2</v>
      </c>
      <c r="BL188" s="775">
        <v>0</v>
      </c>
      <c r="BM188" s="775">
        <v>2</v>
      </c>
      <c r="BN188" s="775">
        <v>0</v>
      </c>
      <c r="BO188" s="775">
        <v>1</v>
      </c>
      <c r="BP188" s="775">
        <v>1</v>
      </c>
      <c r="BQ188" s="775">
        <v>2</v>
      </c>
      <c r="BR188" s="775">
        <v>2</v>
      </c>
      <c r="BS188" s="775">
        <v>2</v>
      </c>
      <c r="BT188" s="775">
        <v>2</v>
      </c>
      <c r="BU188" s="775">
        <v>2</v>
      </c>
      <c r="BV188" s="775">
        <v>1</v>
      </c>
      <c r="BW188" s="775">
        <v>1</v>
      </c>
      <c r="BX188" s="775">
        <v>2</v>
      </c>
      <c r="BY188" s="775">
        <v>0</v>
      </c>
      <c r="BZ188" s="775">
        <v>0</v>
      </c>
      <c r="CA188" s="775">
        <v>1</v>
      </c>
      <c r="CB188" s="775">
        <v>0</v>
      </c>
    </row>
    <row r="189" spans="1:80" s="373" customFormat="1" ht="30" x14ac:dyDescent="0.25">
      <c r="A189" s="787">
        <v>539</v>
      </c>
      <c r="B189" s="868">
        <v>539</v>
      </c>
      <c r="C189" s="821" t="s">
        <v>1184</v>
      </c>
      <c r="D189" s="867" t="s">
        <v>573</v>
      </c>
      <c r="E189" s="780">
        <v>0</v>
      </c>
      <c r="F189" s="819">
        <v>0</v>
      </c>
      <c r="G189" s="819">
        <v>0</v>
      </c>
      <c r="H189" s="819">
        <v>0</v>
      </c>
      <c r="I189" s="819">
        <v>0</v>
      </c>
      <c r="J189" s="819">
        <v>0</v>
      </c>
      <c r="K189" s="817">
        <v>0</v>
      </c>
      <c r="L189" s="818">
        <v>0</v>
      </c>
      <c r="M189" s="818">
        <v>0</v>
      </c>
      <c r="N189" s="779">
        <v>0</v>
      </c>
      <c r="O189" s="779">
        <v>0</v>
      </c>
      <c r="P189" s="779">
        <v>0</v>
      </c>
      <c r="Q189" s="779">
        <v>0</v>
      </c>
      <c r="R189" s="779">
        <v>0</v>
      </c>
      <c r="S189" s="779">
        <v>0</v>
      </c>
      <c r="T189" s="779">
        <v>0</v>
      </c>
      <c r="U189" s="779">
        <v>0</v>
      </c>
      <c r="V189" s="779">
        <v>0</v>
      </c>
      <c r="W189" s="779">
        <v>0</v>
      </c>
      <c r="X189" s="779">
        <v>0</v>
      </c>
      <c r="Y189" s="779">
        <v>0</v>
      </c>
      <c r="Z189" s="779">
        <v>0</v>
      </c>
      <c r="AA189" s="818">
        <v>0</v>
      </c>
      <c r="AB189" s="818">
        <v>0</v>
      </c>
      <c r="AC189" s="818">
        <v>0</v>
      </c>
      <c r="AD189" s="818">
        <v>0</v>
      </c>
      <c r="AE189" s="818">
        <v>0</v>
      </c>
      <c r="AF189" s="818">
        <v>0</v>
      </c>
      <c r="AG189" s="818">
        <v>0</v>
      </c>
      <c r="AH189" s="818">
        <v>0</v>
      </c>
      <c r="AI189" s="818">
        <v>0</v>
      </c>
      <c r="AJ189" s="818">
        <v>0</v>
      </c>
      <c r="AK189" s="818">
        <v>0</v>
      </c>
      <c r="AL189" s="818">
        <v>0</v>
      </c>
      <c r="AM189" s="818">
        <v>0</v>
      </c>
      <c r="AN189" s="818">
        <v>0</v>
      </c>
      <c r="AO189" s="818">
        <v>0</v>
      </c>
      <c r="AP189" s="818">
        <v>0</v>
      </c>
      <c r="AQ189" s="818">
        <v>0</v>
      </c>
      <c r="AR189" s="818">
        <v>0</v>
      </c>
      <c r="AS189" s="818">
        <v>0</v>
      </c>
      <c r="AT189" s="818">
        <v>0</v>
      </c>
      <c r="AU189" s="818">
        <v>0</v>
      </c>
      <c r="AV189" s="818">
        <v>0</v>
      </c>
      <c r="AW189" s="818">
        <v>0</v>
      </c>
      <c r="AX189" s="818">
        <v>0</v>
      </c>
      <c r="AY189" s="818">
        <v>0</v>
      </c>
      <c r="AZ189" s="818">
        <v>0</v>
      </c>
      <c r="BA189" s="818">
        <v>0</v>
      </c>
      <c r="BB189" s="818">
        <v>0</v>
      </c>
      <c r="BC189" s="818">
        <v>0</v>
      </c>
      <c r="BD189" s="818">
        <v>0</v>
      </c>
      <c r="BE189" s="818">
        <v>0</v>
      </c>
      <c r="BF189" s="818">
        <v>0</v>
      </c>
      <c r="BG189" s="818">
        <v>0</v>
      </c>
      <c r="BH189" s="818">
        <v>0</v>
      </c>
      <c r="BI189" s="818">
        <v>0</v>
      </c>
      <c r="BJ189" s="818">
        <v>0</v>
      </c>
      <c r="BK189" s="818">
        <v>0</v>
      </c>
      <c r="BL189" s="818">
        <v>0</v>
      </c>
      <c r="BM189" s="818">
        <v>0</v>
      </c>
      <c r="BN189" s="818">
        <v>0</v>
      </c>
      <c r="BO189" s="818">
        <v>0</v>
      </c>
      <c r="BP189" s="818">
        <v>0</v>
      </c>
      <c r="BQ189" s="818">
        <v>0</v>
      </c>
      <c r="BR189" s="818">
        <v>0</v>
      </c>
      <c r="BS189" s="818">
        <v>0</v>
      </c>
      <c r="BT189" s="818">
        <v>0</v>
      </c>
      <c r="BU189" s="818">
        <v>0</v>
      </c>
      <c r="BV189" s="818">
        <v>0</v>
      </c>
      <c r="BW189" s="818">
        <v>0</v>
      </c>
      <c r="BX189" s="818">
        <v>0</v>
      </c>
      <c r="BY189" s="818">
        <v>0</v>
      </c>
      <c r="BZ189" s="818">
        <v>0</v>
      </c>
      <c r="CA189" s="818">
        <v>0</v>
      </c>
      <c r="CB189" s="818">
        <v>0</v>
      </c>
    </row>
    <row r="190" spans="1:80" ht="30" x14ac:dyDescent="0.25">
      <c r="A190" s="787">
        <v>540</v>
      </c>
      <c r="B190" s="850">
        <v>540</v>
      </c>
      <c r="C190" s="837" t="s">
        <v>1185</v>
      </c>
      <c r="D190" s="809" t="s">
        <v>574</v>
      </c>
      <c r="E190" s="829">
        <v>0</v>
      </c>
      <c r="F190" s="798">
        <v>0</v>
      </c>
      <c r="G190" s="798">
        <v>758</v>
      </c>
      <c r="H190" s="798">
        <v>2127811</v>
      </c>
      <c r="I190" s="798">
        <v>446523</v>
      </c>
      <c r="J190" s="798">
        <v>0</v>
      </c>
      <c r="K190" s="800">
        <v>639983</v>
      </c>
      <c r="L190" s="835">
        <v>72196</v>
      </c>
      <c r="M190" s="835">
        <v>0</v>
      </c>
      <c r="N190" s="830">
        <v>55388</v>
      </c>
      <c r="O190" s="830">
        <v>0</v>
      </c>
      <c r="P190" s="830">
        <v>0</v>
      </c>
      <c r="Q190" s="830">
        <v>0</v>
      </c>
      <c r="R190" s="830">
        <v>2820363</v>
      </c>
      <c r="S190" s="830">
        <v>0</v>
      </c>
      <c r="T190" s="830">
        <v>0</v>
      </c>
      <c r="U190" s="830">
        <v>0</v>
      </c>
      <c r="V190" s="830">
        <v>749962</v>
      </c>
      <c r="W190" s="830">
        <v>10000</v>
      </c>
      <c r="X190" s="830">
        <v>0</v>
      </c>
      <c r="Y190" s="830">
        <v>1157790</v>
      </c>
      <c r="Z190" s="830">
        <v>9820</v>
      </c>
      <c r="AA190" s="835">
        <v>0</v>
      </c>
      <c r="AB190" s="835">
        <v>0</v>
      </c>
      <c r="AC190" s="835">
        <v>58983</v>
      </c>
      <c r="AD190" s="835">
        <v>0</v>
      </c>
      <c r="AE190" s="835">
        <v>187044</v>
      </c>
      <c r="AF190" s="835">
        <v>0</v>
      </c>
      <c r="AG190" s="835">
        <v>0</v>
      </c>
      <c r="AH190" s="835">
        <v>0</v>
      </c>
      <c r="AI190" s="835">
        <v>500</v>
      </c>
      <c r="AJ190" s="835">
        <v>313100</v>
      </c>
      <c r="AK190" s="835">
        <v>217009</v>
      </c>
      <c r="AL190" s="835">
        <v>0</v>
      </c>
      <c r="AM190" s="835">
        <v>0</v>
      </c>
      <c r="AN190" s="835">
        <v>0</v>
      </c>
      <c r="AO190" s="835">
        <v>0</v>
      </c>
      <c r="AP190" s="835">
        <v>0</v>
      </c>
      <c r="AQ190" s="835">
        <v>99373</v>
      </c>
      <c r="AR190" s="835">
        <v>1116391</v>
      </c>
      <c r="AS190" s="835">
        <v>0</v>
      </c>
      <c r="AT190" s="835">
        <v>0</v>
      </c>
      <c r="AU190" s="835">
        <v>0</v>
      </c>
      <c r="AV190" s="835">
        <v>765470</v>
      </c>
      <c r="AW190" s="835">
        <v>0</v>
      </c>
      <c r="AX190" s="835">
        <v>0</v>
      </c>
      <c r="AY190" s="835">
        <v>0</v>
      </c>
      <c r="AZ190" s="835">
        <v>0</v>
      </c>
      <c r="BA190" s="835">
        <v>28396</v>
      </c>
      <c r="BB190" s="835">
        <v>0</v>
      </c>
      <c r="BC190" s="835">
        <v>0</v>
      </c>
      <c r="BD190" s="835">
        <v>446285</v>
      </c>
      <c r="BE190" s="835">
        <v>31975</v>
      </c>
      <c r="BF190" s="835">
        <v>0</v>
      </c>
      <c r="BG190" s="835">
        <v>0</v>
      </c>
      <c r="BH190" s="835">
        <v>0</v>
      </c>
      <c r="BI190" s="835">
        <v>0</v>
      </c>
      <c r="BJ190" s="835">
        <v>0</v>
      </c>
      <c r="BK190" s="835">
        <v>0</v>
      </c>
      <c r="BL190" s="835">
        <v>279305</v>
      </c>
      <c r="BM190" s="835">
        <v>0</v>
      </c>
      <c r="BN190" s="835">
        <v>0</v>
      </c>
      <c r="BO190" s="835">
        <v>370336</v>
      </c>
      <c r="BP190" s="835">
        <v>120500</v>
      </c>
      <c r="BQ190" s="835">
        <v>256050</v>
      </c>
      <c r="BR190" s="835">
        <v>285522</v>
      </c>
      <c r="BS190" s="835">
        <v>0</v>
      </c>
      <c r="BT190" s="835">
        <v>0</v>
      </c>
      <c r="BU190" s="835">
        <v>200000</v>
      </c>
      <c r="BV190" s="835">
        <v>0</v>
      </c>
      <c r="BW190" s="835">
        <v>0</v>
      </c>
      <c r="BX190" s="835">
        <v>0</v>
      </c>
      <c r="BY190" s="835">
        <v>0</v>
      </c>
      <c r="BZ190" s="835">
        <v>0</v>
      </c>
      <c r="CA190" s="835">
        <v>1828000</v>
      </c>
      <c r="CB190" s="835">
        <v>0</v>
      </c>
    </row>
    <row r="191" spans="1:80" ht="30" x14ac:dyDescent="0.25">
      <c r="A191" s="787">
        <v>541</v>
      </c>
      <c r="B191" s="850">
        <v>541</v>
      </c>
      <c r="C191" s="837" t="s">
        <v>1186</v>
      </c>
      <c r="D191" s="809" t="s">
        <v>575</v>
      </c>
      <c r="E191" s="829">
        <v>0</v>
      </c>
      <c r="F191" s="798">
        <v>0</v>
      </c>
      <c r="G191" s="798">
        <v>51389</v>
      </c>
      <c r="H191" s="798">
        <v>4634590</v>
      </c>
      <c r="I191" s="798">
        <v>1216265</v>
      </c>
      <c r="J191" s="798">
        <v>4784</v>
      </c>
      <c r="K191" s="800">
        <v>71759</v>
      </c>
      <c r="L191" s="835">
        <v>258423</v>
      </c>
      <c r="M191" s="835">
        <v>1821998</v>
      </c>
      <c r="N191" s="830">
        <v>0</v>
      </c>
      <c r="O191" s="830">
        <v>-2832</v>
      </c>
      <c r="P191" s="830">
        <v>-46750</v>
      </c>
      <c r="Q191" s="830">
        <v>0</v>
      </c>
      <c r="R191" s="830">
        <v>558097</v>
      </c>
      <c r="S191" s="830">
        <v>402555</v>
      </c>
      <c r="T191" s="830">
        <v>-414992</v>
      </c>
      <c r="U191" s="830">
        <v>-1931</v>
      </c>
      <c r="V191" s="830">
        <v>-2862149</v>
      </c>
      <c r="W191" s="830">
        <v>0</v>
      </c>
      <c r="X191" s="830">
        <v>0</v>
      </c>
      <c r="Y191" s="830">
        <v>1159</v>
      </c>
      <c r="Z191" s="830">
        <v>-626513</v>
      </c>
      <c r="AA191" s="835">
        <v>7946</v>
      </c>
      <c r="AB191" s="835">
        <v>330496</v>
      </c>
      <c r="AC191" s="835">
        <v>0</v>
      </c>
      <c r="AD191" s="835">
        <v>2528</v>
      </c>
      <c r="AE191" s="835">
        <v>200153</v>
      </c>
      <c r="AF191" s="835">
        <v>-42925</v>
      </c>
      <c r="AG191" s="835">
        <v>15260</v>
      </c>
      <c r="AH191" s="835">
        <v>0</v>
      </c>
      <c r="AI191" s="835">
        <v>0</v>
      </c>
      <c r="AJ191" s="835">
        <v>82049</v>
      </c>
      <c r="AK191" s="835">
        <v>1928419</v>
      </c>
      <c r="AL191" s="835">
        <v>22207</v>
      </c>
      <c r="AM191" s="835">
        <v>0</v>
      </c>
      <c r="AN191" s="835">
        <v>1768794</v>
      </c>
      <c r="AO191" s="835">
        <v>1919283</v>
      </c>
      <c r="AP191" s="835">
        <v>20355</v>
      </c>
      <c r="AQ191" s="835">
        <v>0</v>
      </c>
      <c r="AR191" s="835">
        <v>735918</v>
      </c>
      <c r="AS191" s="835">
        <v>98148</v>
      </c>
      <c r="AT191" s="835">
        <v>-2359</v>
      </c>
      <c r="AU191" s="835">
        <v>102666</v>
      </c>
      <c r="AV191" s="835">
        <v>1085523</v>
      </c>
      <c r="AW191" s="835">
        <v>111016</v>
      </c>
      <c r="AX191" s="835">
        <v>-100508</v>
      </c>
      <c r="AY191" s="835">
        <v>636928</v>
      </c>
      <c r="AZ191" s="835">
        <v>112863</v>
      </c>
      <c r="BA191" s="835">
        <v>117768</v>
      </c>
      <c r="BB191" s="835">
        <v>0</v>
      </c>
      <c r="BC191" s="835">
        <v>-56984</v>
      </c>
      <c r="BD191" s="835">
        <v>-9728</v>
      </c>
      <c r="BE191" s="835">
        <v>0</v>
      </c>
      <c r="BF191" s="835">
        <v>-415011</v>
      </c>
      <c r="BG191" s="835">
        <v>-15329</v>
      </c>
      <c r="BH191" s="835">
        <v>0</v>
      </c>
      <c r="BI191" s="835">
        <v>-40405</v>
      </c>
      <c r="BJ191" s="835">
        <v>117544</v>
      </c>
      <c r="BK191" s="835">
        <v>-28508</v>
      </c>
      <c r="BL191" s="835">
        <v>-323881</v>
      </c>
      <c r="BM191" s="835">
        <v>318226</v>
      </c>
      <c r="BN191" s="835">
        <v>0</v>
      </c>
      <c r="BO191" s="835">
        <v>259890</v>
      </c>
      <c r="BP191" s="835">
        <v>272929</v>
      </c>
      <c r="BQ191" s="835">
        <v>631929</v>
      </c>
      <c r="BR191" s="835">
        <v>305224</v>
      </c>
      <c r="BS191" s="835">
        <v>0</v>
      </c>
      <c r="BT191" s="835">
        <v>0</v>
      </c>
      <c r="BU191" s="835">
        <v>78371</v>
      </c>
      <c r="BV191" s="835">
        <v>-186045</v>
      </c>
      <c r="BW191" s="835">
        <v>63178</v>
      </c>
      <c r="BX191" s="835">
        <v>199865</v>
      </c>
      <c r="BY191" s="835">
        <v>0</v>
      </c>
      <c r="BZ191" s="835">
        <v>0</v>
      </c>
      <c r="CA191" s="835">
        <v>1000354</v>
      </c>
      <c r="CB191" s="835">
        <v>0</v>
      </c>
    </row>
    <row r="192" spans="1:80" ht="30" x14ac:dyDescent="0.25">
      <c r="A192" s="787">
        <v>542</v>
      </c>
      <c r="B192" s="850">
        <v>542</v>
      </c>
      <c r="C192" s="837" t="s">
        <v>1187</v>
      </c>
      <c r="D192" s="809" t="s">
        <v>576</v>
      </c>
      <c r="E192" s="829">
        <v>0</v>
      </c>
      <c r="F192" s="798">
        <v>0</v>
      </c>
      <c r="G192" s="798">
        <v>0</v>
      </c>
      <c r="H192" s="798">
        <v>3009997</v>
      </c>
      <c r="I192" s="798">
        <v>0</v>
      </c>
      <c r="J192" s="798">
        <v>0</v>
      </c>
      <c r="K192" s="800">
        <v>0</v>
      </c>
      <c r="L192" s="835">
        <v>0</v>
      </c>
      <c r="M192" s="835">
        <v>0</v>
      </c>
      <c r="N192" s="830">
        <v>0</v>
      </c>
      <c r="O192" s="830">
        <v>0</v>
      </c>
      <c r="P192" s="830">
        <v>0</v>
      </c>
      <c r="Q192" s="830">
        <v>0</v>
      </c>
      <c r="R192" s="830">
        <v>0</v>
      </c>
      <c r="S192" s="830">
        <v>0</v>
      </c>
      <c r="T192" s="830">
        <v>0</v>
      </c>
      <c r="U192" s="830">
        <v>0</v>
      </c>
      <c r="V192" s="830">
        <v>0</v>
      </c>
      <c r="W192" s="830">
        <v>0</v>
      </c>
      <c r="X192" s="830">
        <v>0</v>
      </c>
      <c r="Y192" s="830">
        <v>0</v>
      </c>
      <c r="Z192" s="830">
        <v>0</v>
      </c>
      <c r="AA192" s="835">
        <v>0</v>
      </c>
      <c r="AB192" s="835">
        <v>0</v>
      </c>
      <c r="AC192" s="835">
        <v>0</v>
      </c>
      <c r="AD192" s="835">
        <v>0</v>
      </c>
      <c r="AE192" s="835">
        <v>0</v>
      </c>
      <c r="AF192" s="835">
        <v>0</v>
      </c>
      <c r="AG192" s="835">
        <v>0</v>
      </c>
      <c r="AH192" s="835">
        <v>0</v>
      </c>
      <c r="AI192" s="835">
        <v>0</v>
      </c>
      <c r="AJ192" s="835">
        <v>21700</v>
      </c>
      <c r="AK192" s="835">
        <v>0</v>
      </c>
      <c r="AL192" s="835">
        <v>0</v>
      </c>
      <c r="AM192" s="835">
        <v>0</v>
      </c>
      <c r="AN192" s="835">
        <v>0</v>
      </c>
      <c r="AO192" s="835">
        <v>0</v>
      </c>
      <c r="AP192" s="835">
        <v>0</v>
      </c>
      <c r="AQ192" s="835">
        <v>0</v>
      </c>
      <c r="AR192" s="835">
        <v>0</v>
      </c>
      <c r="AS192" s="835">
        <v>0</v>
      </c>
      <c r="AT192" s="835">
        <v>0</v>
      </c>
      <c r="AU192" s="835">
        <v>0</v>
      </c>
      <c r="AV192" s="835">
        <v>0</v>
      </c>
      <c r="AW192" s="835">
        <v>0</v>
      </c>
      <c r="AX192" s="835">
        <v>0</v>
      </c>
      <c r="AY192" s="835">
        <v>0</v>
      </c>
      <c r="AZ192" s="835">
        <v>0</v>
      </c>
      <c r="BA192" s="835">
        <v>0</v>
      </c>
      <c r="BB192" s="835">
        <v>0</v>
      </c>
      <c r="BC192" s="835">
        <v>0</v>
      </c>
      <c r="BD192" s="835">
        <v>0</v>
      </c>
      <c r="BE192" s="835">
        <v>0</v>
      </c>
      <c r="BF192" s="835">
        <v>0</v>
      </c>
      <c r="BG192" s="835">
        <v>0</v>
      </c>
      <c r="BH192" s="835">
        <v>0</v>
      </c>
      <c r="BI192" s="835">
        <v>256148</v>
      </c>
      <c r="BJ192" s="835">
        <v>0</v>
      </c>
      <c r="BK192" s="835">
        <v>0</v>
      </c>
      <c r="BL192" s="835">
        <v>182948</v>
      </c>
      <c r="BM192" s="835">
        <v>401024</v>
      </c>
      <c r="BN192" s="835">
        <v>0</v>
      </c>
      <c r="BO192" s="835">
        <v>0</v>
      </c>
      <c r="BP192" s="835">
        <v>25000</v>
      </c>
      <c r="BQ192" s="835">
        <v>0</v>
      </c>
      <c r="BR192" s="835">
        <v>0</v>
      </c>
      <c r="BS192" s="835">
        <v>0</v>
      </c>
      <c r="BT192" s="835">
        <v>0</v>
      </c>
      <c r="BU192" s="835">
        <v>0</v>
      </c>
      <c r="BV192" s="835">
        <v>75000</v>
      </c>
      <c r="BW192" s="835">
        <v>0</v>
      </c>
      <c r="BX192" s="835">
        <v>0</v>
      </c>
      <c r="BY192" s="835">
        <v>0</v>
      </c>
      <c r="BZ192" s="835">
        <v>0</v>
      </c>
      <c r="CA192" s="835">
        <v>1800000</v>
      </c>
      <c r="CB192" s="835">
        <v>0</v>
      </c>
    </row>
    <row r="193" spans="1:80" ht="45" x14ac:dyDescent="0.25">
      <c r="A193" s="860"/>
      <c r="B193" s="850">
        <v>543</v>
      </c>
      <c r="C193" s="856" t="s">
        <v>1188</v>
      </c>
      <c r="D193" s="809" t="s">
        <v>577</v>
      </c>
      <c r="E193" s="829">
        <v>0</v>
      </c>
      <c r="F193" s="798">
        <v>0</v>
      </c>
      <c r="G193" s="798">
        <v>0</v>
      </c>
      <c r="H193" s="798">
        <v>0</v>
      </c>
      <c r="I193" s="798">
        <v>0</v>
      </c>
      <c r="J193" s="798">
        <v>0</v>
      </c>
      <c r="K193" s="800">
        <v>0</v>
      </c>
      <c r="L193" s="835">
        <v>0</v>
      </c>
      <c r="M193" s="835">
        <v>0</v>
      </c>
      <c r="N193" s="830">
        <v>0</v>
      </c>
      <c r="O193" s="830">
        <v>0</v>
      </c>
      <c r="P193" s="830">
        <v>0</v>
      </c>
      <c r="Q193" s="830">
        <v>0</v>
      </c>
      <c r="R193" s="830">
        <v>0</v>
      </c>
      <c r="S193" s="830">
        <v>0</v>
      </c>
      <c r="T193" s="830">
        <v>0</v>
      </c>
      <c r="U193" s="830">
        <v>0</v>
      </c>
      <c r="V193" s="830">
        <v>0</v>
      </c>
      <c r="W193" s="830">
        <v>0</v>
      </c>
      <c r="X193" s="830">
        <v>0</v>
      </c>
      <c r="Y193" s="830">
        <v>0</v>
      </c>
      <c r="Z193" s="830">
        <v>0</v>
      </c>
      <c r="AA193" s="835">
        <v>0</v>
      </c>
      <c r="AB193" s="835">
        <v>0</v>
      </c>
      <c r="AC193" s="835">
        <v>0</v>
      </c>
      <c r="AD193" s="835">
        <v>0</v>
      </c>
      <c r="AE193" s="835">
        <v>0</v>
      </c>
      <c r="AF193" s="835">
        <v>0</v>
      </c>
      <c r="AG193" s="835">
        <v>0</v>
      </c>
      <c r="AH193" s="835">
        <v>0</v>
      </c>
      <c r="AI193" s="835">
        <v>0</v>
      </c>
      <c r="AJ193" s="835">
        <v>0</v>
      </c>
      <c r="AK193" s="835">
        <v>0</v>
      </c>
      <c r="AL193" s="835">
        <v>0</v>
      </c>
      <c r="AM193" s="835">
        <v>0</v>
      </c>
      <c r="AN193" s="835">
        <v>0</v>
      </c>
      <c r="AO193" s="835">
        <v>0</v>
      </c>
      <c r="AP193" s="835">
        <v>0</v>
      </c>
      <c r="AQ193" s="835">
        <v>0</v>
      </c>
      <c r="AR193" s="835">
        <v>0</v>
      </c>
      <c r="AS193" s="835">
        <v>0</v>
      </c>
      <c r="AT193" s="835">
        <v>0</v>
      </c>
      <c r="AU193" s="835">
        <v>0</v>
      </c>
      <c r="AV193" s="835">
        <v>0</v>
      </c>
      <c r="AW193" s="835">
        <v>0</v>
      </c>
      <c r="AX193" s="835">
        <v>0</v>
      </c>
      <c r="AY193" s="835">
        <v>0</v>
      </c>
      <c r="AZ193" s="835">
        <v>0</v>
      </c>
      <c r="BA193" s="835">
        <v>0</v>
      </c>
      <c r="BB193" s="835">
        <v>0</v>
      </c>
      <c r="BC193" s="835">
        <v>0</v>
      </c>
      <c r="BD193" s="835">
        <v>0</v>
      </c>
      <c r="BE193" s="835">
        <v>0</v>
      </c>
      <c r="BF193" s="835">
        <v>0</v>
      </c>
      <c r="BG193" s="835">
        <v>0</v>
      </c>
      <c r="BH193" s="835">
        <v>0</v>
      </c>
      <c r="BI193" s="835">
        <v>0</v>
      </c>
      <c r="BJ193" s="835">
        <v>0</v>
      </c>
      <c r="BK193" s="835">
        <v>0</v>
      </c>
      <c r="BL193" s="835">
        <v>0</v>
      </c>
      <c r="BM193" s="835">
        <v>0</v>
      </c>
      <c r="BN193" s="835">
        <v>0</v>
      </c>
      <c r="BO193" s="835">
        <v>0</v>
      </c>
      <c r="BP193" s="835">
        <v>0</v>
      </c>
      <c r="BQ193" s="835">
        <v>0</v>
      </c>
      <c r="BR193" s="835">
        <v>0</v>
      </c>
      <c r="BS193" s="835">
        <v>0</v>
      </c>
      <c r="BT193" s="835">
        <v>0</v>
      </c>
      <c r="BU193" s="835">
        <v>0</v>
      </c>
      <c r="BV193" s="835">
        <v>0</v>
      </c>
      <c r="BW193" s="835">
        <v>0</v>
      </c>
      <c r="BX193" s="835">
        <v>0</v>
      </c>
      <c r="BY193" s="835">
        <v>0</v>
      </c>
      <c r="BZ193" s="835">
        <v>0</v>
      </c>
      <c r="CA193" s="835">
        <v>0</v>
      </c>
      <c r="CB193" s="835">
        <v>0</v>
      </c>
    </row>
    <row r="194" spans="1:80" x14ac:dyDescent="0.25">
      <c r="A194" s="787">
        <v>544</v>
      </c>
      <c r="B194" s="850">
        <v>544</v>
      </c>
      <c r="C194" s="856" t="s">
        <v>60</v>
      </c>
      <c r="D194" s="809" t="s">
        <v>578</v>
      </c>
      <c r="E194" s="797">
        <v>0</v>
      </c>
      <c r="F194" s="796">
        <v>0</v>
      </c>
      <c r="G194" s="796">
        <v>0</v>
      </c>
      <c r="H194" s="796">
        <v>0</v>
      </c>
      <c r="I194" s="796">
        <v>0</v>
      </c>
      <c r="J194" s="796">
        <v>0</v>
      </c>
      <c r="K194" s="785">
        <v>0.01</v>
      </c>
      <c r="L194" s="784">
        <v>0</v>
      </c>
      <c r="M194" s="784">
        <v>0</v>
      </c>
      <c r="N194" s="783">
        <v>0</v>
      </c>
      <c r="O194" s="783">
        <v>0</v>
      </c>
      <c r="P194" s="783">
        <v>0</v>
      </c>
      <c r="Q194" s="783">
        <v>0</v>
      </c>
      <c r="R194" s="783">
        <v>0</v>
      </c>
      <c r="S194" s="783">
        <v>0</v>
      </c>
      <c r="T194" s="783">
        <v>0</v>
      </c>
      <c r="U194" s="783">
        <v>0</v>
      </c>
      <c r="V194" s="783">
        <v>0.04</v>
      </c>
      <c r="W194" s="783">
        <v>0</v>
      </c>
      <c r="X194" s="783">
        <v>0</v>
      </c>
      <c r="Y194" s="783">
        <v>0</v>
      </c>
      <c r="Z194" s="783">
        <v>0</v>
      </c>
      <c r="AA194" s="784">
        <v>6.2</v>
      </c>
      <c r="AB194" s="784">
        <v>0</v>
      </c>
      <c r="AC194" s="784">
        <v>0</v>
      </c>
      <c r="AD194" s="784">
        <v>0</v>
      </c>
      <c r="AE194" s="784">
        <v>0</v>
      </c>
      <c r="AF194" s="784">
        <v>0</v>
      </c>
      <c r="AG194" s="784">
        <v>0</v>
      </c>
      <c r="AH194" s="784">
        <v>0</v>
      </c>
      <c r="AI194" s="784">
        <v>0</v>
      </c>
      <c r="AJ194" s="784">
        <v>0</v>
      </c>
      <c r="AK194" s="784">
        <v>0</v>
      </c>
      <c r="AL194" s="784">
        <v>0</v>
      </c>
      <c r="AM194" s="784">
        <v>0</v>
      </c>
      <c r="AN194" s="784">
        <v>0</v>
      </c>
      <c r="AO194" s="784">
        <v>0</v>
      </c>
      <c r="AP194" s="784">
        <v>0</v>
      </c>
      <c r="AQ194" s="784">
        <v>0</v>
      </c>
      <c r="AR194" s="784">
        <v>0</v>
      </c>
      <c r="AS194" s="784">
        <v>0.1</v>
      </c>
      <c r="AT194" s="784">
        <v>0</v>
      </c>
      <c r="AU194" s="784">
        <v>0</v>
      </c>
      <c r="AV194" s="784">
        <v>0</v>
      </c>
      <c r="AW194" s="784">
        <v>0.05</v>
      </c>
      <c r="AX194" s="784">
        <v>0</v>
      </c>
      <c r="AY194" s="784">
        <v>0</v>
      </c>
      <c r="AZ194" s="784">
        <v>0</v>
      </c>
      <c r="BA194" s="784">
        <v>0</v>
      </c>
      <c r="BB194" s="784">
        <v>0</v>
      </c>
      <c r="BC194" s="784">
        <v>0</v>
      </c>
      <c r="BD194" s="784">
        <v>0</v>
      </c>
      <c r="BE194" s="784">
        <v>0</v>
      </c>
      <c r="BF194" s="784">
        <v>0</v>
      </c>
      <c r="BG194" s="784">
        <v>0</v>
      </c>
      <c r="BH194" s="784">
        <v>0</v>
      </c>
      <c r="BI194" s="784">
        <v>0</v>
      </c>
      <c r="BJ194" s="784">
        <v>0</v>
      </c>
      <c r="BK194" s="784">
        <v>0</v>
      </c>
      <c r="BL194" s="784">
        <v>0</v>
      </c>
      <c r="BM194" s="784">
        <v>0</v>
      </c>
      <c r="BN194" s="784">
        <v>0</v>
      </c>
      <c r="BO194" s="784">
        <v>0</v>
      </c>
      <c r="BP194" s="784">
        <v>0</v>
      </c>
      <c r="BQ194" s="784">
        <v>0</v>
      </c>
      <c r="BR194" s="784">
        <v>0</v>
      </c>
      <c r="BS194" s="784">
        <v>0</v>
      </c>
      <c r="BT194" s="784">
        <v>0</v>
      </c>
      <c r="BU194" s="784">
        <v>0</v>
      </c>
      <c r="BV194" s="784">
        <v>0</v>
      </c>
      <c r="BW194" s="784">
        <v>0</v>
      </c>
      <c r="BX194" s="784">
        <v>0.03</v>
      </c>
      <c r="BY194" s="784">
        <v>0</v>
      </c>
      <c r="BZ194" s="784">
        <v>0</v>
      </c>
      <c r="CA194" s="784">
        <v>0</v>
      </c>
      <c r="CB194" s="784">
        <v>0</v>
      </c>
    </row>
    <row r="195" spans="1:80" ht="30" x14ac:dyDescent="0.25">
      <c r="A195" s="787">
        <v>545</v>
      </c>
      <c r="B195" s="850">
        <v>545</v>
      </c>
      <c r="C195" s="856" t="s">
        <v>61</v>
      </c>
      <c r="D195" s="809" t="s">
        <v>579</v>
      </c>
      <c r="E195" s="797">
        <v>0</v>
      </c>
      <c r="F195" s="796">
        <v>0</v>
      </c>
      <c r="G195" s="796">
        <v>0</v>
      </c>
      <c r="H195" s="796">
        <v>0</v>
      </c>
      <c r="I195" s="796">
        <v>0.01</v>
      </c>
      <c r="J195" s="796">
        <v>0</v>
      </c>
      <c r="K195" s="785">
        <v>0.01</v>
      </c>
      <c r="L195" s="784">
        <v>0</v>
      </c>
      <c r="M195" s="784">
        <v>0</v>
      </c>
      <c r="N195" s="783">
        <v>0</v>
      </c>
      <c r="O195" s="783">
        <v>0</v>
      </c>
      <c r="P195" s="783">
        <v>0</v>
      </c>
      <c r="Q195" s="783">
        <v>0</v>
      </c>
      <c r="R195" s="783">
        <v>0</v>
      </c>
      <c r="S195" s="783">
        <v>0</v>
      </c>
      <c r="T195" s="783">
        <v>0</v>
      </c>
      <c r="U195" s="783">
        <v>0.13</v>
      </c>
      <c r="V195" s="783">
        <v>0</v>
      </c>
      <c r="W195" s="783">
        <v>0</v>
      </c>
      <c r="X195" s="783">
        <v>0</v>
      </c>
      <c r="Y195" s="783">
        <v>0</v>
      </c>
      <c r="Z195" s="783">
        <v>4.5</v>
      </c>
      <c r="AA195" s="784">
        <v>0</v>
      </c>
      <c r="AB195" s="784">
        <v>0.08</v>
      </c>
      <c r="AC195" s="784">
        <v>0</v>
      </c>
      <c r="AD195" s="784">
        <v>0</v>
      </c>
      <c r="AE195" s="784">
        <v>0</v>
      </c>
      <c r="AF195" s="784">
        <v>0</v>
      </c>
      <c r="AG195" s="784">
        <v>0</v>
      </c>
      <c r="AH195" s="784">
        <v>0</v>
      </c>
      <c r="AI195" s="784">
        <v>0</v>
      </c>
      <c r="AJ195" s="784">
        <v>0</v>
      </c>
      <c r="AK195" s="784">
        <v>0</v>
      </c>
      <c r="AL195" s="784">
        <v>0</v>
      </c>
      <c r="AM195" s="784">
        <v>0</v>
      </c>
      <c r="AN195" s="784">
        <v>0</v>
      </c>
      <c r="AO195" s="784">
        <v>0</v>
      </c>
      <c r="AP195" s="784">
        <v>0</v>
      </c>
      <c r="AQ195" s="784">
        <v>0</v>
      </c>
      <c r="AR195" s="784">
        <v>0</v>
      </c>
      <c r="AS195" s="784">
        <v>0</v>
      </c>
      <c r="AT195" s="784">
        <v>0</v>
      </c>
      <c r="AU195" s="784">
        <v>0</v>
      </c>
      <c r="AV195" s="784">
        <v>0</v>
      </c>
      <c r="AW195" s="784">
        <v>0</v>
      </c>
      <c r="AX195" s="784">
        <v>0</v>
      </c>
      <c r="AY195" s="784">
        <v>0</v>
      </c>
      <c r="AZ195" s="784">
        <v>0.05</v>
      </c>
      <c r="BA195" s="784">
        <v>0</v>
      </c>
      <c r="BB195" s="784">
        <v>0</v>
      </c>
      <c r="BC195" s="784">
        <v>0</v>
      </c>
      <c r="BD195" s="784">
        <v>0</v>
      </c>
      <c r="BE195" s="784">
        <v>0</v>
      </c>
      <c r="BF195" s="784">
        <v>0</v>
      </c>
      <c r="BG195" s="784">
        <v>0</v>
      </c>
      <c r="BH195" s="784">
        <v>0</v>
      </c>
      <c r="BI195" s="784">
        <v>0</v>
      </c>
      <c r="BJ195" s="784">
        <v>0</v>
      </c>
      <c r="BK195" s="784">
        <v>0</v>
      </c>
      <c r="BL195" s="784">
        <v>0</v>
      </c>
      <c r="BM195" s="784">
        <v>0</v>
      </c>
      <c r="BN195" s="784">
        <v>0</v>
      </c>
      <c r="BO195" s="784">
        <v>0</v>
      </c>
      <c r="BP195" s="784">
        <v>0</v>
      </c>
      <c r="BQ195" s="784">
        <v>0</v>
      </c>
      <c r="BR195" s="784">
        <v>0</v>
      </c>
      <c r="BS195" s="784">
        <v>0</v>
      </c>
      <c r="BT195" s="784">
        <v>0.02</v>
      </c>
      <c r="BU195" s="784">
        <v>0</v>
      </c>
      <c r="BV195" s="784">
        <v>0</v>
      </c>
      <c r="BW195" s="784">
        <v>0</v>
      </c>
      <c r="BX195" s="784">
        <v>0</v>
      </c>
      <c r="BY195" s="784">
        <v>0</v>
      </c>
      <c r="BZ195" s="784">
        <v>0</v>
      </c>
      <c r="CA195" s="784">
        <v>0</v>
      </c>
      <c r="CB195" s="784">
        <v>0</v>
      </c>
    </row>
    <row r="196" spans="1:80" x14ac:dyDescent="0.25">
      <c r="A196" s="860"/>
      <c r="B196" s="850">
        <v>546</v>
      </c>
      <c r="C196" s="856" t="s">
        <v>1189</v>
      </c>
      <c r="D196" s="809" t="s">
        <v>580</v>
      </c>
      <c r="E196" s="829"/>
      <c r="F196" s="798"/>
      <c r="G196" s="798"/>
      <c r="H196" s="798"/>
      <c r="I196" s="798"/>
      <c r="J196" s="798"/>
      <c r="K196" s="800"/>
      <c r="L196" s="835"/>
      <c r="M196" s="835"/>
      <c r="N196" s="830"/>
      <c r="O196" s="830"/>
      <c r="P196" s="830"/>
      <c r="Q196" s="830"/>
      <c r="R196" s="830"/>
      <c r="S196" s="830"/>
      <c r="T196" s="830"/>
      <c r="U196" s="830"/>
      <c r="V196" s="830"/>
      <c r="W196" s="830"/>
      <c r="X196" s="830"/>
      <c r="Y196" s="830"/>
      <c r="Z196" s="830"/>
      <c r="AA196" s="835"/>
      <c r="AB196" s="835"/>
      <c r="AC196" s="835"/>
      <c r="AD196" s="835"/>
      <c r="AE196" s="835"/>
      <c r="AF196" s="835"/>
      <c r="AG196" s="835"/>
      <c r="AH196" s="835"/>
      <c r="AI196" s="835"/>
      <c r="AJ196" s="835"/>
      <c r="AK196" s="835"/>
      <c r="AL196" s="835"/>
      <c r="AM196" s="835"/>
      <c r="AN196" s="835"/>
      <c r="AO196" s="835"/>
      <c r="AP196" s="835"/>
      <c r="AQ196" s="835"/>
      <c r="AR196" s="835"/>
      <c r="AS196" s="835"/>
      <c r="AT196" s="835"/>
      <c r="AU196" s="835"/>
      <c r="AV196" s="835"/>
      <c r="AW196" s="835"/>
      <c r="AX196" s="835"/>
      <c r="AY196" s="835"/>
      <c r="AZ196" s="835"/>
      <c r="BA196" s="835"/>
      <c r="BB196" s="835"/>
      <c r="BC196" s="835"/>
      <c r="BD196" s="835"/>
      <c r="BE196" s="835"/>
      <c r="BF196" s="835"/>
      <c r="BG196" s="835"/>
      <c r="BH196" s="835"/>
      <c r="BI196" s="835"/>
      <c r="BJ196" s="835"/>
      <c r="BK196" s="835"/>
      <c r="BL196" s="835"/>
      <c r="BM196" s="835"/>
      <c r="BN196" s="835"/>
      <c r="BO196" s="835"/>
      <c r="BP196" s="835"/>
      <c r="BQ196" s="835"/>
      <c r="BR196" s="835"/>
      <c r="BS196" s="835"/>
      <c r="BT196" s="835"/>
      <c r="BU196" s="835"/>
      <c r="BV196" s="835"/>
      <c r="BW196" s="835"/>
      <c r="BX196" s="835"/>
      <c r="BY196" s="835"/>
      <c r="BZ196" s="835"/>
      <c r="CA196" s="835"/>
      <c r="CB196" s="835"/>
    </row>
    <row r="197" spans="1:80" ht="90" x14ac:dyDescent="0.25">
      <c r="A197" s="787">
        <v>547</v>
      </c>
      <c r="B197" s="850">
        <v>547</v>
      </c>
      <c r="C197" s="856" t="s">
        <v>1190</v>
      </c>
      <c r="D197" s="809" t="s">
        <v>581</v>
      </c>
      <c r="E197" s="829">
        <v>2</v>
      </c>
      <c r="F197" s="798">
        <v>2</v>
      </c>
      <c r="G197" s="798">
        <v>2</v>
      </c>
      <c r="H197" s="798">
        <v>1</v>
      </c>
      <c r="I197" s="798">
        <v>3</v>
      </c>
      <c r="J197" s="798">
        <v>3</v>
      </c>
      <c r="K197" s="800">
        <v>2</v>
      </c>
      <c r="L197" s="835">
        <v>3</v>
      </c>
      <c r="M197" s="835">
        <v>3</v>
      </c>
      <c r="N197" s="830">
        <v>2</v>
      </c>
      <c r="O197" s="830">
        <v>3</v>
      </c>
      <c r="P197" s="830">
        <v>2</v>
      </c>
      <c r="Q197" s="830">
        <v>3</v>
      </c>
      <c r="R197" s="830">
        <v>3</v>
      </c>
      <c r="S197" s="830">
        <v>3</v>
      </c>
      <c r="T197" s="830">
        <v>3</v>
      </c>
      <c r="U197" s="830">
        <v>2</v>
      </c>
      <c r="V197" s="830">
        <v>3</v>
      </c>
      <c r="W197" s="830">
        <v>2</v>
      </c>
      <c r="X197" s="830">
        <v>3</v>
      </c>
      <c r="Y197" s="830">
        <v>3</v>
      </c>
      <c r="Z197" s="830">
        <v>3</v>
      </c>
      <c r="AA197" s="835">
        <v>3</v>
      </c>
      <c r="AB197" s="835">
        <v>4</v>
      </c>
      <c r="AC197" s="835">
        <v>2</v>
      </c>
      <c r="AD197" s="835">
        <v>2</v>
      </c>
      <c r="AE197" s="835">
        <v>2</v>
      </c>
      <c r="AF197" s="835">
        <v>2</v>
      </c>
      <c r="AG197" s="835">
        <v>2</v>
      </c>
      <c r="AH197" s="835">
        <v>2</v>
      </c>
      <c r="AI197" s="835">
        <v>2</v>
      </c>
      <c r="AJ197" s="835">
        <v>2</v>
      </c>
      <c r="AK197" s="835">
        <v>3</v>
      </c>
      <c r="AL197" s="835">
        <v>2</v>
      </c>
      <c r="AM197" s="835">
        <v>2</v>
      </c>
      <c r="AN197" s="835">
        <v>2</v>
      </c>
      <c r="AO197" s="835">
        <v>3</v>
      </c>
      <c r="AP197" s="835">
        <v>2</v>
      </c>
      <c r="AQ197" s="835">
        <v>2</v>
      </c>
      <c r="AR197" s="835">
        <v>3</v>
      </c>
      <c r="AS197" s="835">
        <v>2</v>
      </c>
      <c r="AT197" s="835">
        <v>3</v>
      </c>
      <c r="AU197" s="835">
        <v>3</v>
      </c>
      <c r="AV197" s="835">
        <v>3</v>
      </c>
      <c r="AW197" s="835">
        <v>2</v>
      </c>
      <c r="AX197" s="835">
        <v>2</v>
      </c>
      <c r="AY197" s="835">
        <v>2</v>
      </c>
      <c r="AZ197" s="835">
        <v>1</v>
      </c>
      <c r="BA197" s="835">
        <v>3</v>
      </c>
      <c r="BB197" s="835">
        <v>2</v>
      </c>
      <c r="BC197" s="835">
        <v>3</v>
      </c>
      <c r="BD197" s="835">
        <v>2</v>
      </c>
      <c r="BE197" s="835">
        <v>2</v>
      </c>
      <c r="BF197" s="835">
        <v>3</v>
      </c>
      <c r="BG197" s="835">
        <v>2</v>
      </c>
      <c r="BH197" s="835">
        <v>2</v>
      </c>
      <c r="BI197" s="835">
        <v>3</v>
      </c>
      <c r="BJ197" s="835">
        <v>3</v>
      </c>
      <c r="BK197" s="835">
        <v>2</v>
      </c>
      <c r="BL197" s="835">
        <v>3</v>
      </c>
      <c r="BM197" s="835">
        <v>3</v>
      </c>
      <c r="BN197" s="835">
        <v>2</v>
      </c>
      <c r="BO197" s="835">
        <v>3</v>
      </c>
      <c r="BP197" s="835">
        <v>2</v>
      </c>
      <c r="BQ197" s="835">
        <v>2</v>
      </c>
      <c r="BR197" s="835">
        <v>2</v>
      </c>
      <c r="BS197" s="835">
        <v>2</v>
      </c>
      <c r="BT197" s="835">
        <v>1</v>
      </c>
      <c r="BU197" s="835">
        <v>2</v>
      </c>
      <c r="BV197" s="835">
        <v>3</v>
      </c>
      <c r="BW197" s="835">
        <v>2</v>
      </c>
      <c r="BX197" s="835">
        <v>2</v>
      </c>
      <c r="BY197" s="835">
        <v>2</v>
      </c>
      <c r="BZ197" s="835">
        <v>2</v>
      </c>
      <c r="CA197" s="835">
        <v>3</v>
      </c>
      <c r="CB197" s="835">
        <v>2</v>
      </c>
    </row>
    <row r="198" spans="1:80" x14ac:dyDescent="0.25">
      <c r="A198" s="860"/>
      <c r="B198" s="850">
        <v>548</v>
      </c>
      <c r="C198" s="843" t="s">
        <v>629</v>
      </c>
      <c r="D198" s="809" t="s">
        <v>668</v>
      </c>
      <c r="E198" s="829">
        <v>0</v>
      </c>
      <c r="F198" s="798">
        <v>0</v>
      </c>
      <c r="G198" s="798">
        <v>0</v>
      </c>
      <c r="H198" s="798">
        <v>0</v>
      </c>
      <c r="I198" s="798">
        <v>0</v>
      </c>
      <c r="J198" s="798">
        <v>0</v>
      </c>
      <c r="K198" s="800">
        <v>0</v>
      </c>
      <c r="L198" s="835">
        <v>0</v>
      </c>
      <c r="M198" s="835">
        <v>0</v>
      </c>
      <c r="N198" s="830">
        <v>0</v>
      </c>
      <c r="O198" s="830">
        <v>0</v>
      </c>
      <c r="P198" s="830">
        <v>0</v>
      </c>
      <c r="Q198" s="830">
        <v>0</v>
      </c>
      <c r="R198" s="830">
        <v>0</v>
      </c>
      <c r="S198" s="830">
        <v>0</v>
      </c>
      <c r="T198" s="830">
        <v>0</v>
      </c>
      <c r="U198" s="830">
        <v>0</v>
      </c>
      <c r="V198" s="830">
        <v>0</v>
      </c>
      <c r="W198" s="830">
        <v>0</v>
      </c>
      <c r="X198" s="830">
        <v>0</v>
      </c>
      <c r="Y198" s="830">
        <v>0</v>
      </c>
      <c r="Z198" s="830">
        <v>0</v>
      </c>
      <c r="AA198" s="835">
        <v>0</v>
      </c>
      <c r="AB198" s="835">
        <v>0</v>
      </c>
      <c r="AC198" s="835">
        <v>0</v>
      </c>
      <c r="AD198" s="835">
        <v>0</v>
      </c>
      <c r="AE198" s="835">
        <v>0</v>
      </c>
      <c r="AF198" s="835">
        <v>0</v>
      </c>
      <c r="AG198" s="835">
        <v>0</v>
      </c>
      <c r="AH198" s="835">
        <v>0</v>
      </c>
      <c r="AI198" s="835">
        <v>0</v>
      </c>
      <c r="AJ198" s="835">
        <v>0</v>
      </c>
      <c r="AK198" s="835">
        <v>0</v>
      </c>
      <c r="AL198" s="835">
        <v>0</v>
      </c>
      <c r="AM198" s="835">
        <v>0</v>
      </c>
      <c r="AN198" s="835">
        <v>0</v>
      </c>
      <c r="AO198" s="835">
        <v>0</v>
      </c>
      <c r="AP198" s="835">
        <v>0</v>
      </c>
      <c r="AQ198" s="835">
        <v>0</v>
      </c>
      <c r="AR198" s="835">
        <v>0</v>
      </c>
      <c r="AS198" s="835">
        <v>0</v>
      </c>
      <c r="AT198" s="835">
        <v>0</v>
      </c>
      <c r="AU198" s="835">
        <v>0</v>
      </c>
      <c r="AV198" s="835">
        <v>0</v>
      </c>
      <c r="AW198" s="835">
        <v>0</v>
      </c>
      <c r="AX198" s="835">
        <v>0</v>
      </c>
      <c r="AY198" s="835">
        <v>0</v>
      </c>
      <c r="AZ198" s="835">
        <v>0</v>
      </c>
      <c r="BA198" s="835">
        <v>0</v>
      </c>
      <c r="BB198" s="835">
        <v>0</v>
      </c>
      <c r="BC198" s="835">
        <v>0</v>
      </c>
      <c r="BD198" s="835">
        <v>0</v>
      </c>
      <c r="BE198" s="835">
        <v>0</v>
      </c>
      <c r="BF198" s="835">
        <v>0</v>
      </c>
      <c r="BG198" s="835">
        <v>0</v>
      </c>
      <c r="BH198" s="835">
        <v>0</v>
      </c>
      <c r="BI198" s="835">
        <v>0</v>
      </c>
      <c r="BJ198" s="835">
        <v>0</v>
      </c>
      <c r="BK198" s="835">
        <v>0</v>
      </c>
      <c r="BL198" s="835">
        <v>0</v>
      </c>
      <c r="BM198" s="835">
        <v>0</v>
      </c>
      <c r="BN198" s="835">
        <v>0</v>
      </c>
      <c r="BO198" s="835">
        <v>0</v>
      </c>
      <c r="BP198" s="835">
        <v>0</v>
      </c>
      <c r="BQ198" s="835">
        <v>0</v>
      </c>
      <c r="BR198" s="835">
        <v>0</v>
      </c>
      <c r="BS198" s="835">
        <v>0</v>
      </c>
      <c r="BT198" s="835">
        <v>0</v>
      </c>
      <c r="BU198" s="835">
        <v>0</v>
      </c>
      <c r="BV198" s="835">
        <v>0</v>
      </c>
      <c r="BW198" s="835">
        <v>0</v>
      </c>
      <c r="BX198" s="835">
        <v>0</v>
      </c>
      <c r="BY198" s="835">
        <v>0</v>
      </c>
      <c r="BZ198" s="835">
        <v>0</v>
      </c>
      <c r="CA198" s="835">
        <v>0</v>
      </c>
      <c r="CB198" s="835">
        <v>0</v>
      </c>
    </row>
    <row r="199" spans="1:80" ht="28.5" x14ac:dyDescent="0.25">
      <c r="A199" s="860"/>
      <c r="B199" s="850">
        <v>549</v>
      </c>
      <c r="C199" s="814" t="s">
        <v>1191</v>
      </c>
      <c r="D199" s="809" t="s">
        <v>669</v>
      </c>
      <c r="E199" s="829">
        <v>0</v>
      </c>
      <c r="F199" s="798">
        <v>0</v>
      </c>
      <c r="G199" s="798">
        <v>0</v>
      </c>
      <c r="H199" s="798">
        <v>0</v>
      </c>
      <c r="I199" s="798">
        <v>0</v>
      </c>
      <c r="J199" s="798">
        <v>0</v>
      </c>
      <c r="K199" s="800">
        <v>0</v>
      </c>
      <c r="L199" s="835">
        <v>0</v>
      </c>
      <c r="M199" s="835">
        <v>0</v>
      </c>
      <c r="N199" s="830">
        <v>0</v>
      </c>
      <c r="O199" s="830">
        <v>0</v>
      </c>
      <c r="P199" s="830">
        <v>0</v>
      </c>
      <c r="Q199" s="830">
        <v>0</v>
      </c>
      <c r="R199" s="830">
        <v>0</v>
      </c>
      <c r="S199" s="830">
        <v>0</v>
      </c>
      <c r="T199" s="830">
        <v>0</v>
      </c>
      <c r="U199" s="830">
        <v>0</v>
      </c>
      <c r="V199" s="830">
        <v>0</v>
      </c>
      <c r="W199" s="830">
        <v>0</v>
      </c>
      <c r="X199" s="830">
        <v>0</v>
      </c>
      <c r="Y199" s="830">
        <v>0</v>
      </c>
      <c r="Z199" s="830">
        <v>0</v>
      </c>
      <c r="AA199" s="835">
        <v>0</v>
      </c>
      <c r="AB199" s="835">
        <v>0</v>
      </c>
      <c r="AC199" s="835">
        <v>0</v>
      </c>
      <c r="AD199" s="835">
        <v>0</v>
      </c>
      <c r="AE199" s="835">
        <v>0</v>
      </c>
      <c r="AF199" s="835">
        <v>0</v>
      </c>
      <c r="AG199" s="835">
        <v>0</v>
      </c>
      <c r="AH199" s="835">
        <v>0</v>
      </c>
      <c r="AI199" s="835">
        <v>0</v>
      </c>
      <c r="AJ199" s="835">
        <v>0</v>
      </c>
      <c r="AK199" s="835">
        <v>0</v>
      </c>
      <c r="AL199" s="835">
        <v>0</v>
      </c>
      <c r="AM199" s="835">
        <v>0</v>
      </c>
      <c r="AN199" s="835">
        <v>0</v>
      </c>
      <c r="AO199" s="835">
        <v>0</v>
      </c>
      <c r="AP199" s="835">
        <v>0</v>
      </c>
      <c r="AQ199" s="835">
        <v>0</v>
      </c>
      <c r="AR199" s="835">
        <v>0</v>
      </c>
      <c r="AS199" s="835">
        <v>0</v>
      </c>
      <c r="AT199" s="835">
        <v>0</v>
      </c>
      <c r="AU199" s="835">
        <v>0</v>
      </c>
      <c r="AV199" s="835">
        <v>0</v>
      </c>
      <c r="AW199" s="835">
        <v>0</v>
      </c>
      <c r="AX199" s="835">
        <v>0</v>
      </c>
      <c r="AY199" s="835">
        <v>0</v>
      </c>
      <c r="AZ199" s="835">
        <v>0</v>
      </c>
      <c r="BA199" s="835">
        <v>0</v>
      </c>
      <c r="BB199" s="835">
        <v>0</v>
      </c>
      <c r="BC199" s="835">
        <v>0</v>
      </c>
      <c r="BD199" s="835">
        <v>0</v>
      </c>
      <c r="BE199" s="835">
        <v>0</v>
      </c>
      <c r="BF199" s="835">
        <v>0</v>
      </c>
      <c r="BG199" s="835">
        <v>0</v>
      </c>
      <c r="BH199" s="835">
        <v>0</v>
      </c>
      <c r="BI199" s="835">
        <v>0</v>
      </c>
      <c r="BJ199" s="835">
        <v>0</v>
      </c>
      <c r="BK199" s="835">
        <v>0</v>
      </c>
      <c r="BL199" s="835">
        <v>0</v>
      </c>
      <c r="BM199" s="835">
        <v>0</v>
      </c>
      <c r="BN199" s="835">
        <v>0</v>
      </c>
      <c r="BO199" s="835">
        <v>0</v>
      </c>
      <c r="BP199" s="835">
        <v>0</v>
      </c>
      <c r="BQ199" s="835">
        <v>0</v>
      </c>
      <c r="BR199" s="835">
        <v>0</v>
      </c>
      <c r="BS199" s="835">
        <v>0</v>
      </c>
      <c r="BT199" s="835">
        <v>0</v>
      </c>
      <c r="BU199" s="835">
        <v>0</v>
      </c>
      <c r="BV199" s="835">
        <v>0</v>
      </c>
      <c r="BW199" s="835">
        <v>0</v>
      </c>
      <c r="BX199" s="835">
        <v>0</v>
      </c>
      <c r="BY199" s="835">
        <v>0</v>
      </c>
      <c r="BZ199" s="835">
        <v>0</v>
      </c>
      <c r="CA199" s="835">
        <v>0</v>
      </c>
      <c r="CB199" s="835">
        <v>0</v>
      </c>
    </row>
    <row r="200" spans="1:80" ht="28.5" x14ac:dyDescent="0.25">
      <c r="A200" s="860"/>
      <c r="B200" s="850">
        <v>550</v>
      </c>
      <c r="C200" s="814" t="s">
        <v>670</v>
      </c>
      <c r="D200" s="809" t="s">
        <v>671</v>
      </c>
      <c r="E200" s="829">
        <v>0</v>
      </c>
      <c r="F200" s="798">
        <v>0</v>
      </c>
      <c r="G200" s="798">
        <v>0</v>
      </c>
      <c r="H200" s="798">
        <v>0</v>
      </c>
      <c r="I200" s="798">
        <v>0</v>
      </c>
      <c r="J200" s="798">
        <v>0</v>
      </c>
      <c r="K200" s="800">
        <v>0</v>
      </c>
      <c r="L200" s="835">
        <v>0</v>
      </c>
      <c r="M200" s="835">
        <v>0</v>
      </c>
      <c r="N200" s="830">
        <v>0</v>
      </c>
      <c r="O200" s="830">
        <v>0</v>
      </c>
      <c r="P200" s="830">
        <v>0</v>
      </c>
      <c r="Q200" s="830">
        <v>0</v>
      </c>
      <c r="R200" s="830">
        <v>0</v>
      </c>
      <c r="S200" s="830">
        <v>0</v>
      </c>
      <c r="T200" s="830">
        <v>0</v>
      </c>
      <c r="U200" s="830">
        <v>0</v>
      </c>
      <c r="V200" s="830">
        <v>0</v>
      </c>
      <c r="W200" s="830">
        <v>0</v>
      </c>
      <c r="X200" s="830">
        <v>0</v>
      </c>
      <c r="Y200" s="830">
        <v>0</v>
      </c>
      <c r="Z200" s="830">
        <v>0</v>
      </c>
      <c r="AA200" s="835">
        <v>0</v>
      </c>
      <c r="AB200" s="835">
        <v>0</v>
      </c>
      <c r="AC200" s="835">
        <v>0</v>
      </c>
      <c r="AD200" s="835">
        <v>0</v>
      </c>
      <c r="AE200" s="835">
        <v>0</v>
      </c>
      <c r="AF200" s="835">
        <v>0</v>
      </c>
      <c r="AG200" s="835">
        <v>0</v>
      </c>
      <c r="AH200" s="835">
        <v>0</v>
      </c>
      <c r="AI200" s="835">
        <v>0</v>
      </c>
      <c r="AJ200" s="835">
        <v>0</v>
      </c>
      <c r="AK200" s="835">
        <v>0</v>
      </c>
      <c r="AL200" s="835">
        <v>0</v>
      </c>
      <c r="AM200" s="835">
        <v>0</v>
      </c>
      <c r="AN200" s="835">
        <v>0</v>
      </c>
      <c r="AO200" s="835">
        <v>0</v>
      </c>
      <c r="AP200" s="835">
        <v>0</v>
      </c>
      <c r="AQ200" s="835">
        <v>0</v>
      </c>
      <c r="AR200" s="835">
        <v>0</v>
      </c>
      <c r="AS200" s="835">
        <v>0</v>
      </c>
      <c r="AT200" s="835">
        <v>0</v>
      </c>
      <c r="AU200" s="835">
        <v>0</v>
      </c>
      <c r="AV200" s="835">
        <v>0</v>
      </c>
      <c r="AW200" s="835">
        <v>0</v>
      </c>
      <c r="AX200" s="835">
        <v>0</v>
      </c>
      <c r="AY200" s="835">
        <v>0</v>
      </c>
      <c r="AZ200" s="835">
        <v>0</v>
      </c>
      <c r="BA200" s="835">
        <v>0</v>
      </c>
      <c r="BB200" s="835">
        <v>0</v>
      </c>
      <c r="BC200" s="835">
        <v>0</v>
      </c>
      <c r="BD200" s="835">
        <v>0</v>
      </c>
      <c r="BE200" s="835">
        <v>0</v>
      </c>
      <c r="BF200" s="835">
        <v>0</v>
      </c>
      <c r="BG200" s="835">
        <v>0</v>
      </c>
      <c r="BH200" s="835">
        <v>0</v>
      </c>
      <c r="BI200" s="835">
        <v>0</v>
      </c>
      <c r="BJ200" s="835">
        <v>0</v>
      </c>
      <c r="BK200" s="835">
        <v>0</v>
      </c>
      <c r="BL200" s="835">
        <v>0</v>
      </c>
      <c r="BM200" s="835">
        <v>0</v>
      </c>
      <c r="BN200" s="835">
        <v>0</v>
      </c>
      <c r="BO200" s="835">
        <v>0</v>
      </c>
      <c r="BP200" s="835">
        <v>0</v>
      </c>
      <c r="BQ200" s="835">
        <v>0</v>
      </c>
      <c r="BR200" s="835">
        <v>0</v>
      </c>
      <c r="BS200" s="835">
        <v>0</v>
      </c>
      <c r="BT200" s="835">
        <v>0</v>
      </c>
      <c r="BU200" s="835">
        <v>0</v>
      </c>
      <c r="BV200" s="835">
        <v>0</v>
      </c>
      <c r="BW200" s="835">
        <v>0</v>
      </c>
      <c r="BX200" s="835">
        <v>0</v>
      </c>
      <c r="BY200" s="835">
        <v>0</v>
      </c>
      <c r="BZ200" s="835">
        <v>0</v>
      </c>
      <c r="CA200" s="835">
        <v>0</v>
      </c>
      <c r="CB200" s="835">
        <v>0</v>
      </c>
    </row>
    <row r="201" spans="1:80" s="373" customFormat="1" ht="71.25" x14ac:dyDescent="0.25">
      <c r="A201" s="858"/>
      <c r="B201" s="868">
        <v>551</v>
      </c>
      <c r="C201" s="845" t="s">
        <v>1192</v>
      </c>
      <c r="D201" s="867" t="s">
        <v>672</v>
      </c>
      <c r="E201" s="780">
        <v>0</v>
      </c>
      <c r="F201" s="819">
        <v>0</v>
      </c>
      <c r="G201" s="819">
        <v>0</v>
      </c>
      <c r="H201" s="819">
        <v>0</v>
      </c>
      <c r="I201" s="819">
        <v>0</v>
      </c>
      <c r="J201" s="819">
        <v>0</v>
      </c>
      <c r="K201" s="817">
        <v>0</v>
      </c>
      <c r="L201" s="818">
        <v>0</v>
      </c>
      <c r="M201" s="818">
        <v>0</v>
      </c>
      <c r="N201" s="779">
        <v>0</v>
      </c>
      <c r="O201" s="779">
        <v>0</v>
      </c>
      <c r="P201" s="779">
        <v>0</v>
      </c>
      <c r="Q201" s="779">
        <v>0</v>
      </c>
      <c r="R201" s="779">
        <v>0</v>
      </c>
      <c r="S201" s="779">
        <v>0</v>
      </c>
      <c r="T201" s="779">
        <v>0</v>
      </c>
      <c r="U201" s="779">
        <v>0</v>
      </c>
      <c r="V201" s="779">
        <v>0</v>
      </c>
      <c r="W201" s="779">
        <v>0</v>
      </c>
      <c r="X201" s="779">
        <v>0</v>
      </c>
      <c r="Y201" s="779">
        <v>0</v>
      </c>
      <c r="Z201" s="779">
        <v>0</v>
      </c>
      <c r="AA201" s="818">
        <v>0</v>
      </c>
      <c r="AB201" s="818">
        <v>0</v>
      </c>
      <c r="AC201" s="818">
        <v>0</v>
      </c>
      <c r="AD201" s="818">
        <v>0</v>
      </c>
      <c r="AE201" s="818">
        <v>0</v>
      </c>
      <c r="AF201" s="818">
        <v>0</v>
      </c>
      <c r="AG201" s="818">
        <v>0</v>
      </c>
      <c r="AH201" s="818">
        <v>0</v>
      </c>
      <c r="AI201" s="818">
        <v>0</v>
      </c>
      <c r="AJ201" s="818">
        <v>0</v>
      </c>
      <c r="AK201" s="818">
        <v>0</v>
      </c>
      <c r="AL201" s="818">
        <v>0</v>
      </c>
      <c r="AM201" s="818">
        <v>0</v>
      </c>
      <c r="AN201" s="818">
        <v>0</v>
      </c>
      <c r="AO201" s="818">
        <v>0</v>
      </c>
      <c r="AP201" s="818">
        <v>0</v>
      </c>
      <c r="AQ201" s="818">
        <v>0</v>
      </c>
      <c r="AR201" s="818">
        <v>0</v>
      </c>
      <c r="AS201" s="818">
        <v>0</v>
      </c>
      <c r="AT201" s="818">
        <v>0</v>
      </c>
      <c r="AU201" s="818">
        <v>0</v>
      </c>
      <c r="AV201" s="818">
        <v>0</v>
      </c>
      <c r="AW201" s="818">
        <v>0</v>
      </c>
      <c r="AX201" s="818">
        <v>0</v>
      </c>
      <c r="AY201" s="818">
        <v>0</v>
      </c>
      <c r="AZ201" s="818">
        <v>0</v>
      </c>
      <c r="BA201" s="818">
        <v>0</v>
      </c>
      <c r="BB201" s="818">
        <v>0</v>
      </c>
      <c r="BC201" s="818">
        <v>0</v>
      </c>
      <c r="BD201" s="818">
        <v>0</v>
      </c>
      <c r="BE201" s="818">
        <v>0</v>
      </c>
      <c r="BF201" s="818">
        <v>0</v>
      </c>
      <c r="BG201" s="818">
        <v>0</v>
      </c>
      <c r="BH201" s="818">
        <v>0</v>
      </c>
      <c r="BI201" s="818">
        <v>0</v>
      </c>
      <c r="BJ201" s="818">
        <v>0</v>
      </c>
      <c r="BK201" s="818">
        <v>0</v>
      </c>
      <c r="BL201" s="818">
        <v>0</v>
      </c>
      <c r="BM201" s="818">
        <v>0</v>
      </c>
      <c r="BN201" s="818">
        <v>0</v>
      </c>
      <c r="BO201" s="818">
        <v>0</v>
      </c>
      <c r="BP201" s="818">
        <v>0</v>
      </c>
      <c r="BQ201" s="818">
        <v>0</v>
      </c>
      <c r="BR201" s="818">
        <v>0</v>
      </c>
      <c r="BS201" s="818">
        <v>0</v>
      </c>
      <c r="BT201" s="818">
        <v>0</v>
      </c>
      <c r="BU201" s="818">
        <v>0</v>
      </c>
      <c r="BV201" s="818">
        <v>0</v>
      </c>
      <c r="BW201" s="818">
        <v>0</v>
      </c>
      <c r="BX201" s="818">
        <v>0</v>
      </c>
      <c r="BY201" s="818">
        <v>0</v>
      </c>
      <c r="BZ201" s="818">
        <v>0</v>
      </c>
      <c r="CA201" s="818">
        <v>0</v>
      </c>
      <c r="CB201" s="818">
        <v>0</v>
      </c>
    </row>
    <row r="202" spans="1:80" ht="28.5" x14ac:dyDescent="0.25">
      <c r="A202" s="860"/>
      <c r="B202" s="850">
        <v>552</v>
      </c>
      <c r="C202" s="826" t="s">
        <v>632</v>
      </c>
      <c r="D202" s="809" t="s">
        <v>673</v>
      </c>
      <c r="E202" s="829">
        <v>0</v>
      </c>
      <c r="F202" s="798">
        <v>0</v>
      </c>
      <c r="G202" s="798">
        <v>0</v>
      </c>
      <c r="H202" s="798">
        <v>0</v>
      </c>
      <c r="I202" s="798">
        <v>0</v>
      </c>
      <c r="J202" s="798">
        <v>0</v>
      </c>
      <c r="K202" s="800">
        <v>0</v>
      </c>
      <c r="L202" s="835">
        <v>0</v>
      </c>
      <c r="M202" s="835">
        <v>0</v>
      </c>
      <c r="N202" s="830">
        <v>0</v>
      </c>
      <c r="O202" s="830">
        <v>0</v>
      </c>
      <c r="P202" s="830">
        <v>0</v>
      </c>
      <c r="Q202" s="830">
        <v>0</v>
      </c>
      <c r="R202" s="830">
        <v>0</v>
      </c>
      <c r="S202" s="830">
        <v>0</v>
      </c>
      <c r="T202" s="830">
        <v>0</v>
      </c>
      <c r="U202" s="830">
        <v>0</v>
      </c>
      <c r="V202" s="830">
        <v>0</v>
      </c>
      <c r="W202" s="830">
        <v>0</v>
      </c>
      <c r="X202" s="830">
        <v>0</v>
      </c>
      <c r="Y202" s="830">
        <v>0</v>
      </c>
      <c r="Z202" s="830">
        <v>0</v>
      </c>
      <c r="AA202" s="835">
        <v>0</v>
      </c>
      <c r="AB202" s="835">
        <v>0</v>
      </c>
      <c r="AC202" s="835">
        <v>0</v>
      </c>
      <c r="AD202" s="835">
        <v>0</v>
      </c>
      <c r="AE202" s="835">
        <v>0</v>
      </c>
      <c r="AF202" s="835">
        <v>0</v>
      </c>
      <c r="AG202" s="835">
        <v>0</v>
      </c>
      <c r="AH202" s="835">
        <v>0</v>
      </c>
      <c r="AI202" s="835">
        <v>0</v>
      </c>
      <c r="AJ202" s="835">
        <v>0</v>
      </c>
      <c r="AK202" s="835">
        <v>0</v>
      </c>
      <c r="AL202" s="835">
        <v>0</v>
      </c>
      <c r="AM202" s="835">
        <v>0</v>
      </c>
      <c r="AN202" s="835">
        <v>0</v>
      </c>
      <c r="AO202" s="835">
        <v>0</v>
      </c>
      <c r="AP202" s="835">
        <v>0</v>
      </c>
      <c r="AQ202" s="835">
        <v>0</v>
      </c>
      <c r="AR202" s="835">
        <v>0</v>
      </c>
      <c r="AS202" s="835">
        <v>0</v>
      </c>
      <c r="AT202" s="835">
        <v>0</v>
      </c>
      <c r="AU202" s="835">
        <v>0</v>
      </c>
      <c r="AV202" s="835">
        <v>0</v>
      </c>
      <c r="AW202" s="835">
        <v>0</v>
      </c>
      <c r="AX202" s="835">
        <v>0</v>
      </c>
      <c r="AY202" s="835">
        <v>0</v>
      </c>
      <c r="AZ202" s="835">
        <v>0</v>
      </c>
      <c r="BA202" s="835">
        <v>0</v>
      </c>
      <c r="BB202" s="835">
        <v>0</v>
      </c>
      <c r="BC202" s="835">
        <v>0</v>
      </c>
      <c r="BD202" s="835">
        <v>0</v>
      </c>
      <c r="BE202" s="835">
        <v>0</v>
      </c>
      <c r="BF202" s="835">
        <v>0</v>
      </c>
      <c r="BG202" s="835">
        <v>0</v>
      </c>
      <c r="BH202" s="835">
        <v>0</v>
      </c>
      <c r="BI202" s="835">
        <v>0</v>
      </c>
      <c r="BJ202" s="835">
        <v>0</v>
      </c>
      <c r="BK202" s="835">
        <v>0</v>
      </c>
      <c r="BL202" s="835">
        <v>0</v>
      </c>
      <c r="BM202" s="835">
        <v>0</v>
      </c>
      <c r="BN202" s="835">
        <v>0</v>
      </c>
      <c r="BO202" s="835">
        <v>0</v>
      </c>
      <c r="BP202" s="835">
        <v>0</v>
      </c>
      <c r="BQ202" s="835">
        <v>0</v>
      </c>
      <c r="BR202" s="835">
        <v>0</v>
      </c>
      <c r="BS202" s="835">
        <v>0</v>
      </c>
      <c r="BT202" s="835">
        <v>0</v>
      </c>
      <c r="BU202" s="835">
        <v>0</v>
      </c>
      <c r="BV202" s="835">
        <v>0</v>
      </c>
      <c r="BW202" s="835">
        <v>0</v>
      </c>
      <c r="BX202" s="835">
        <v>0</v>
      </c>
      <c r="BY202" s="835">
        <v>0</v>
      </c>
      <c r="BZ202" s="835">
        <v>0</v>
      </c>
      <c r="CA202" s="835">
        <v>0</v>
      </c>
      <c r="CB202" s="835">
        <v>0</v>
      </c>
    </row>
    <row r="203" spans="1:80" x14ac:dyDescent="0.25">
      <c r="A203" s="860"/>
      <c r="B203" s="850">
        <v>553</v>
      </c>
      <c r="C203" s="816" t="s">
        <v>674</v>
      </c>
      <c r="D203" s="809" t="s">
        <v>675</v>
      </c>
      <c r="E203" s="829"/>
      <c r="F203" s="798"/>
      <c r="G203" s="798"/>
      <c r="H203" s="798"/>
      <c r="I203" s="798"/>
      <c r="J203" s="798"/>
      <c r="K203" s="800"/>
      <c r="L203" s="835"/>
      <c r="M203" s="835"/>
      <c r="N203" s="830"/>
      <c r="O203" s="830"/>
      <c r="P203" s="830"/>
      <c r="Q203" s="830"/>
      <c r="R203" s="830"/>
      <c r="S203" s="830"/>
      <c r="T203" s="830"/>
      <c r="U203" s="830"/>
      <c r="V203" s="830"/>
      <c r="W203" s="830"/>
      <c r="X203" s="830"/>
      <c r="Y203" s="830"/>
      <c r="Z203" s="830"/>
      <c r="AA203" s="835"/>
      <c r="AB203" s="835"/>
      <c r="AC203" s="835"/>
      <c r="AD203" s="835"/>
      <c r="AE203" s="835"/>
      <c r="AF203" s="835"/>
      <c r="AG203" s="835"/>
      <c r="AH203" s="835"/>
      <c r="AI203" s="835"/>
      <c r="AJ203" s="835"/>
      <c r="AK203" s="835"/>
      <c r="AL203" s="835"/>
      <c r="AM203" s="835"/>
      <c r="AN203" s="835"/>
      <c r="AO203" s="835"/>
      <c r="AP203" s="835"/>
      <c r="AQ203" s="835"/>
      <c r="AR203" s="835"/>
      <c r="AS203" s="835"/>
      <c r="AT203" s="835"/>
      <c r="AU203" s="835"/>
      <c r="AV203" s="835"/>
      <c r="AW203" s="835"/>
      <c r="AX203" s="835"/>
      <c r="AY203" s="835"/>
      <c r="AZ203" s="835"/>
      <c r="BA203" s="835"/>
      <c r="BB203" s="835"/>
      <c r="BC203" s="835"/>
      <c r="BD203" s="835"/>
      <c r="BE203" s="835"/>
      <c r="BF203" s="835"/>
      <c r="BG203" s="835"/>
      <c r="BH203" s="835"/>
      <c r="BI203" s="835"/>
      <c r="BJ203" s="835"/>
      <c r="BK203" s="835"/>
      <c r="BL203" s="835"/>
      <c r="BM203" s="835"/>
      <c r="BN203" s="835"/>
      <c r="BO203" s="835"/>
      <c r="BP203" s="835"/>
      <c r="BQ203" s="835"/>
      <c r="BR203" s="835"/>
      <c r="BS203" s="835"/>
      <c r="BT203" s="835"/>
      <c r="BU203" s="835"/>
      <c r="BV203" s="835"/>
      <c r="BW203" s="835"/>
      <c r="BX203" s="835"/>
      <c r="BY203" s="835"/>
      <c r="BZ203" s="835"/>
      <c r="CA203" s="835"/>
      <c r="CB203" s="835"/>
    </row>
    <row r="204" spans="1:80" ht="43.5" x14ac:dyDescent="0.25">
      <c r="A204" s="852">
        <v>554</v>
      </c>
      <c r="B204" s="868">
        <v>554</v>
      </c>
      <c r="C204" s="845" t="s">
        <v>1193</v>
      </c>
      <c r="D204" s="867" t="s">
        <v>677</v>
      </c>
      <c r="E204" s="780">
        <v>0</v>
      </c>
      <c r="F204" s="819">
        <v>0</v>
      </c>
      <c r="G204" s="819">
        <v>0</v>
      </c>
      <c r="H204" s="819">
        <v>1872371</v>
      </c>
      <c r="I204" s="819">
        <v>0</v>
      </c>
      <c r="J204" s="819">
        <v>0</v>
      </c>
      <c r="K204" s="817">
        <v>0</v>
      </c>
      <c r="L204" s="818">
        <v>0</v>
      </c>
      <c r="M204" s="818">
        <v>420461</v>
      </c>
      <c r="N204" s="779">
        <v>0</v>
      </c>
      <c r="O204" s="779">
        <v>0</v>
      </c>
      <c r="P204" s="779">
        <v>0</v>
      </c>
      <c r="Q204" s="779">
        <v>218833</v>
      </c>
      <c r="R204" s="779">
        <v>205917</v>
      </c>
      <c r="S204" s="779">
        <v>0</v>
      </c>
      <c r="T204" s="779">
        <v>2417189</v>
      </c>
      <c r="U204" s="779">
        <v>0</v>
      </c>
      <c r="V204" s="779">
        <v>2698353</v>
      </c>
      <c r="W204" s="779">
        <v>0</v>
      </c>
      <c r="X204" s="779">
        <v>0</v>
      </c>
      <c r="Y204" s="779">
        <v>187209</v>
      </c>
      <c r="Z204" s="779">
        <v>0</v>
      </c>
      <c r="AA204" s="818">
        <v>0</v>
      </c>
      <c r="AB204" s="818">
        <v>0</v>
      </c>
      <c r="AC204" s="818">
        <v>0</v>
      </c>
      <c r="AD204" s="818">
        <v>0</v>
      </c>
      <c r="AE204" s="818">
        <v>0</v>
      </c>
      <c r="AF204" s="818">
        <v>0</v>
      </c>
      <c r="AG204" s="818">
        <v>0</v>
      </c>
      <c r="AH204" s="818">
        <v>0</v>
      </c>
      <c r="AI204" s="818">
        <v>0</v>
      </c>
      <c r="AJ204" s="818">
        <v>0</v>
      </c>
      <c r="AK204" s="818">
        <v>0</v>
      </c>
      <c r="AL204" s="818">
        <v>0</v>
      </c>
      <c r="AM204" s="818">
        <v>0</v>
      </c>
      <c r="AN204" s="818">
        <v>7935</v>
      </c>
      <c r="AO204" s="818">
        <v>1368294</v>
      </c>
      <c r="AP204" s="818">
        <v>0</v>
      </c>
      <c r="AQ204" s="818">
        <v>0</v>
      </c>
      <c r="AR204" s="818">
        <v>124173</v>
      </c>
      <c r="AS204" s="818">
        <v>0</v>
      </c>
      <c r="AT204" s="818">
        <v>0</v>
      </c>
      <c r="AU204" s="818">
        <v>0</v>
      </c>
      <c r="AV204" s="818">
        <v>0</v>
      </c>
      <c r="AW204" s="818">
        <v>0</v>
      </c>
      <c r="AX204" s="818">
        <v>0</v>
      </c>
      <c r="AY204" s="818">
        <v>0</v>
      </c>
      <c r="AZ204" s="818">
        <v>0</v>
      </c>
      <c r="BA204" s="818">
        <v>966597</v>
      </c>
      <c r="BB204" s="818">
        <v>0</v>
      </c>
      <c r="BC204" s="818">
        <v>0</v>
      </c>
      <c r="BD204" s="818">
        <v>0</v>
      </c>
      <c r="BE204" s="818">
        <v>0</v>
      </c>
      <c r="BF204" s="818">
        <v>1162687</v>
      </c>
      <c r="BG204" s="818">
        <v>0</v>
      </c>
      <c r="BH204" s="818">
        <v>0</v>
      </c>
      <c r="BI204" s="818">
        <v>0</v>
      </c>
      <c r="BJ204" s="818">
        <v>0</v>
      </c>
      <c r="BK204" s="818">
        <v>1820769</v>
      </c>
      <c r="BL204" s="818">
        <v>0</v>
      </c>
      <c r="BM204" s="818">
        <v>29175</v>
      </c>
      <c r="BN204" s="818">
        <v>0</v>
      </c>
      <c r="BO204" s="818">
        <v>0</v>
      </c>
      <c r="BP204" s="818">
        <v>0</v>
      </c>
      <c r="BQ204" s="818">
        <v>1023333</v>
      </c>
      <c r="BR204" s="818">
        <v>0</v>
      </c>
      <c r="BS204" s="818">
        <v>0</v>
      </c>
      <c r="BT204" s="818">
        <v>322831</v>
      </c>
      <c r="BU204" s="818">
        <v>996628</v>
      </c>
      <c r="BV204" s="818">
        <v>0</v>
      </c>
      <c r="BW204" s="818">
        <v>0</v>
      </c>
      <c r="BX204" s="818">
        <v>0</v>
      </c>
      <c r="BY204" s="818">
        <v>0</v>
      </c>
      <c r="BZ204" s="818">
        <v>0</v>
      </c>
      <c r="CA204" s="818">
        <v>109555</v>
      </c>
      <c r="CB204" s="818">
        <v>0</v>
      </c>
    </row>
    <row r="205" spans="1:80" ht="43.5" x14ac:dyDescent="0.25">
      <c r="A205" s="852">
        <v>555</v>
      </c>
      <c r="B205" s="868">
        <v>555</v>
      </c>
      <c r="C205" s="845" t="s">
        <v>1194</v>
      </c>
      <c r="D205" s="867" t="s">
        <v>679</v>
      </c>
      <c r="E205" s="780">
        <v>0</v>
      </c>
      <c r="F205" s="819">
        <v>0</v>
      </c>
      <c r="G205" s="819">
        <v>0</v>
      </c>
      <c r="H205" s="819">
        <v>1531396</v>
      </c>
      <c r="I205" s="819">
        <v>0</v>
      </c>
      <c r="J205" s="819">
        <v>0</v>
      </c>
      <c r="K205" s="817">
        <v>0</v>
      </c>
      <c r="L205" s="818">
        <v>0</v>
      </c>
      <c r="M205" s="818">
        <v>0</v>
      </c>
      <c r="N205" s="779">
        <v>0</v>
      </c>
      <c r="O205" s="779">
        <v>0</v>
      </c>
      <c r="P205" s="779">
        <v>0</v>
      </c>
      <c r="Q205" s="779">
        <v>0</v>
      </c>
      <c r="R205" s="779">
        <v>0</v>
      </c>
      <c r="S205" s="779">
        <v>0</v>
      </c>
      <c r="T205" s="779">
        <v>2322874</v>
      </c>
      <c r="U205" s="779">
        <v>0</v>
      </c>
      <c r="V205" s="779">
        <v>2078285</v>
      </c>
      <c r="W205" s="779">
        <v>0</v>
      </c>
      <c r="X205" s="779">
        <v>0</v>
      </c>
      <c r="Y205" s="779">
        <v>0</v>
      </c>
      <c r="Z205" s="779">
        <v>0</v>
      </c>
      <c r="AA205" s="818">
        <v>0</v>
      </c>
      <c r="AB205" s="818">
        <v>0</v>
      </c>
      <c r="AC205" s="818">
        <v>0</v>
      </c>
      <c r="AD205" s="818">
        <v>0</v>
      </c>
      <c r="AE205" s="818">
        <v>0</v>
      </c>
      <c r="AF205" s="818">
        <v>0</v>
      </c>
      <c r="AG205" s="818">
        <v>0</v>
      </c>
      <c r="AH205" s="818">
        <v>0</v>
      </c>
      <c r="AI205" s="818">
        <v>0</v>
      </c>
      <c r="AJ205" s="818">
        <v>0</v>
      </c>
      <c r="AK205" s="818">
        <v>0</v>
      </c>
      <c r="AL205" s="818">
        <v>0</v>
      </c>
      <c r="AM205" s="818">
        <v>0</v>
      </c>
      <c r="AN205" s="818">
        <v>0</v>
      </c>
      <c r="AO205" s="818">
        <v>737156</v>
      </c>
      <c r="AP205" s="818">
        <v>0</v>
      </c>
      <c r="AQ205" s="818">
        <v>0</v>
      </c>
      <c r="AR205" s="818">
        <v>0</v>
      </c>
      <c r="AS205" s="818">
        <v>0</v>
      </c>
      <c r="AT205" s="818">
        <v>0</v>
      </c>
      <c r="AU205" s="818">
        <v>0</v>
      </c>
      <c r="AV205" s="818">
        <v>0</v>
      </c>
      <c r="AW205" s="818">
        <v>0</v>
      </c>
      <c r="AX205" s="818">
        <v>0</v>
      </c>
      <c r="AY205" s="818">
        <v>0</v>
      </c>
      <c r="AZ205" s="818">
        <v>0</v>
      </c>
      <c r="BA205" s="818">
        <v>675460</v>
      </c>
      <c r="BB205" s="818">
        <v>0</v>
      </c>
      <c r="BC205" s="818">
        <v>0</v>
      </c>
      <c r="BD205" s="818">
        <v>0</v>
      </c>
      <c r="BE205" s="818">
        <v>0</v>
      </c>
      <c r="BF205" s="818">
        <v>983258</v>
      </c>
      <c r="BG205" s="818">
        <v>0</v>
      </c>
      <c r="BH205" s="818">
        <v>0</v>
      </c>
      <c r="BI205" s="818">
        <v>0</v>
      </c>
      <c r="BJ205" s="818">
        <v>0</v>
      </c>
      <c r="BK205" s="818">
        <v>1820769</v>
      </c>
      <c r="BL205" s="818">
        <v>0</v>
      </c>
      <c r="BM205" s="818">
        <v>0</v>
      </c>
      <c r="BN205" s="818">
        <v>0</v>
      </c>
      <c r="BO205" s="818">
        <v>0</v>
      </c>
      <c r="BP205" s="818">
        <v>0</v>
      </c>
      <c r="BQ205" s="818">
        <v>1023333</v>
      </c>
      <c r="BR205" s="818">
        <v>0</v>
      </c>
      <c r="BS205" s="818">
        <v>0</v>
      </c>
      <c r="BT205" s="818">
        <v>0</v>
      </c>
      <c r="BU205" s="818">
        <v>954590</v>
      </c>
      <c r="BV205" s="818">
        <v>0</v>
      </c>
      <c r="BW205" s="818">
        <v>0</v>
      </c>
      <c r="BX205" s="818">
        <v>0</v>
      </c>
      <c r="BY205" s="818">
        <v>0</v>
      </c>
      <c r="BZ205" s="818">
        <v>0</v>
      </c>
      <c r="CA205" s="818">
        <v>0</v>
      </c>
      <c r="CB205" s="818">
        <v>0</v>
      </c>
    </row>
    <row r="206" spans="1:80" ht="29.25" x14ac:dyDescent="0.25">
      <c r="A206" s="852">
        <v>556</v>
      </c>
      <c r="B206" s="868">
        <v>556</v>
      </c>
      <c r="C206" s="845" t="s">
        <v>1195</v>
      </c>
      <c r="D206" s="867" t="s">
        <v>681</v>
      </c>
      <c r="E206" s="780">
        <v>0</v>
      </c>
      <c r="F206" s="819">
        <v>0</v>
      </c>
      <c r="G206" s="819">
        <v>0</v>
      </c>
      <c r="H206" s="819">
        <v>2625952</v>
      </c>
      <c r="I206" s="819">
        <v>0</v>
      </c>
      <c r="J206" s="819">
        <v>0</v>
      </c>
      <c r="K206" s="817">
        <v>0</v>
      </c>
      <c r="L206" s="818">
        <v>0</v>
      </c>
      <c r="M206" s="818">
        <v>1169928</v>
      </c>
      <c r="N206" s="779">
        <v>0</v>
      </c>
      <c r="O206" s="779">
        <v>0</v>
      </c>
      <c r="P206" s="779">
        <v>0</v>
      </c>
      <c r="Q206" s="779">
        <v>751827</v>
      </c>
      <c r="R206" s="779">
        <v>639031</v>
      </c>
      <c r="S206" s="779">
        <v>0</v>
      </c>
      <c r="T206" s="779">
        <v>3555561</v>
      </c>
      <c r="U206" s="779">
        <v>0</v>
      </c>
      <c r="V206" s="779">
        <v>911767</v>
      </c>
      <c r="W206" s="779">
        <v>0</v>
      </c>
      <c r="X206" s="779">
        <v>0</v>
      </c>
      <c r="Y206" s="779">
        <v>924230</v>
      </c>
      <c r="Z206" s="779">
        <v>0</v>
      </c>
      <c r="AA206" s="818">
        <v>0</v>
      </c>
      <c r="AB206" s="818">
        <v>0</v>
      </c>
      <c r="AC206" s="818">
        <v>0</v>
      </c>
      <c r="AD206" s="818">
        <v>0</v>
      </c>
      <c r="AE206" s="818">
        <v>0</v>
      </c>
      <c r="AF206" s="818">
        <v>537915</v>
      </c>
      <c r="AG206" s="818">
        <v>0</v>
      </c>
      <c r="AH206" s="818">
        <v>0</v>
      </c>
      <c r="AI206" s="818">
        <v>0</v>
      </c>
      <c r="AJ206" s="818">
        <v>0</v>
      </c>
      <c r="AK206" s="818">
        <v>1053825</v>
      </c>
      <c r="AL206" s="818">
        <v>0</v>
      </c>
      <c r="AM206" s="818">
        <v>0</v>
      </c>
      <c r="AN206" s="818">
        <v>1107101</v>
      </c>
      <c r="AO206" s="818">
        <v>4056101</v>
      </c>
      <c r="AP206" s="818">
        <v>0</v>
      </c>
      <c r="AQ206" s="818">
        <v>0</v>
      </c>
      <c r="AR206" s="818">
        <v>781316</v>
      </c>
      <c r="AS206" s="818">
        <v>0</v>
      </c>
      <c r="AT206" s="818">
        <v>0</v>
      </c>
      <c r="AU206" s="818">
        <v>0</v>
      </c>
      <c r="AV206" s="818">
        <v>0</v>
      </c>
      <c r="AW206" s="818">
        <v>0</v>
      </c>
      <c r="AX206" s="818">
        <v>0</v>
      </c>
      <c r="AY206" s="818">
        <v>0</v>
      </c>
      <c r="AZ206" s="818">
        <v>0</v>
      </c>
      <c r="BA206" s="818">
        <v>366369</v>
      </c>
      <c r="BB206" s="818">
        <v>0</v>
      </c>
      <c r="BC206" s="818">
        <v>0</v>
      </c>
      <c r="BD206" s="818">
        <v>0</v>
      </c>
      <c r="BE206" s="818">
        <v>0</v>
      </c>
      <c r="BF206" s="818">
        <v>1972901</v>
      </c>
      <c r="BG206" s="818">
        <v>0</v>
      </c>
      <c r="BH206" s="818">
        <v>0</v>
      </c>
      <c r="BI206" s="818">
        <v>0</v>
      </c>
      <c r="BJ206" s="818">
        <v>0</v>
      </c>
      <c r="BK206" s="818">
        <v>147612</v>
      </c>
      <c r="BL206" s="818">
        <v>0</v>
      </c>
      <c r="BM206" s="818">
        <v>779773</v>
      </c>
      <c r="BN206" s="818">
        <v>0</v>
      </c>
      <c r="BO206" s="818">
        <v>0</v>
      </c>
      <c r="BP206" s="818">
        <v>0</v>
      </c>
      <c r="BQ206" s="818">
        <v>4789</v>
      </c>
      <c r="BR206" s="818">
        <v>0</v>
      </c>
      <c r="BS206" s="818">
        <v>0</v>
      </c>
      <c r="BT206" s="818">
        <v>849440</v>
      </c>
      <c r="BU206" s="818">
        <v>169411</v>
      </c>
      <c r="BV206" s="818">
        <v>0</v>
      </c>
      <c r="BW206" s="818">
        <v>0</v>
      </c>
      <c r="BX206" s="818">
        <v>0</v>
      </c>
      <c r="BY206" s="818">
        <v>0</v>
      </c>
      <c r="BZ206" s="818">
        <v>0</v>
      </c>
      <c r="CA206" s="818">
        <v>3753556</v>
      </c>
      <c r="CB206" s="818">
        <v>0</v>
      </c>
    </row>
    <row r="207" spans="1:80" ht="43.5" x14ac:dyDescent="0.25">
      <c r="A207" s="852">
        <v>557</v>
      </c>
      <c r="B207" s="868">
        <v>557</v>
      </c>
      <c r="C207" s="845" t="s">
        <v>1196</v>
      </c>
      <c r="D207" s="867" t="s">
        <v>683</v>
      </c>
      <c r="E207" s="780">
        <v>0</v>
      </c>
      <c r="F207" s="819">
        <v>0</v>
      </c>
      <c r="G207" s="819">
        <v>0</v>
      </c>
      <c r="H207" s="819">
        <v>2424511</v>
      </c>
      <c r="I207" s="819">
        <v>0</v>
      </c>
      <c r="J207" s="819">
        <v>0</v>
      </c>
      <c r="K207" s="817">
        <v>0</v>
      </c>
      <c r="L207" s="818">
        <v>0</v>
      </c>
      <c r="M207" s="818">
        <v>1154352</v>
      </c>
      <c r="N207" s="779">
        <v>0</v>
      </c>
      <c r="O207" s="779">
        <v>0</v>
      </c>
      <c r="P207" s="779">
        <v>0</v>
      </c>
      <c r="Q207" s="779">
        <v>651827</v>
      </c>
      <c r="R207" s="779">
        <v>487419</v>
      </c>
      <c r="S207" s="779">
        <v>0</v>
      </c>
      <c r="T207" s="779">
        <v>3187591</v>
      </c>
      <c r="U207" s="779">
        <v>0</v>
      </c>
      <c r="V207" s="779">
        <v>750420</v>
      </c>
      <c r="W207" s="779">
        <v>0</v>
      </c>
      <c r="X207" s="779">
        <v>0</v>
      </c>
      <c r="Y207" s="779">
        <v>918236</v>
      </c>
      <c r="Z207" s="779">
        <v>0</v>
      </c>
      <c r="AA207" s="818">
        <v>0</v>
      </c>
      <c r="AB207" s="818">
        <v>0</v>
      </c>
      <c r="AC207" s="818">
        <v>0</v>
      </c>
      <c r="AD207" s="818">
        <v>0</v>
      </c>
      <c r="AE207" s="818">
        <v>0</v>
      </c>
      <c r="AF207" s="818">
        <v>512919</v>
      </c>
      <c r="AG207" s="818">
        <v>0</v>
      </c>
      <c r="AH207" s="818">
        <v>0</v>
      </c>
      <c r="AI207" s="818">
        <v>0</v>
      </c>
      <c r="AJ207" s="818">
        <v>0</v>
      </c>
      <c r="AK207" s="818">
        <v>479535</v>
      </c>
      <c r="AL207" s="818">
        <v>0</v>
      </c>
      <c r="AM207" s="818">
        <v>0</v>
      </c>
      <c r="AN207" s="818">
        <v>1107101</v>
      </c>
      <c r="AO207" s="818">
        <v>3308443</v>
      </c>
      <c r="AP207" s="818">
        <v>0</v>
      </c>
      <c r="AQ207" s="818">
        <v>0</v>
      </c>
      <c r="AR207" s="818">
        <v>571371</v>
      </c>
      <c r="AS207" s="818">
        <v>0</v>
      </c>
      <c r="AT207" s="818">
        <v>0</v>
      </c>
      <c r="AU207" s="818">
        <v>0</v>
      </c>
      <c r="AV207" s="818">
        <v>0</v>
      </c>
      <c r="AW207" s="818">
        <v>0</v>
      </c>
      <c r="AX207" s="818">
        <v>0</v>
      </c>
      <c r="AY207" s="818">
        <v>0</v>
      </c>
      <c r="AZ207" s="818">
        <v>0</v>
      </c>
      <c r="BA207" s="818">
        <v>0</v>
      </c>
      <c r="BB207" s="818">
        <v>0</v>
      </c>
      <c r="BC207" s="818">
        <v>0</v>
      </c>
      <c r="BD207" s="818">
        <v>0</v>
      </c>
      <c r="BE207" s="818">
        <v>0</v>
      </c>
      <c r="BF207" s="818">
        <v>1371677</v>
      </c>
      <c r="BG207" s="818">
        <v>0</v>
      </c>
      <c r="BH207" s="818">
        <v>0</v>
      </c>
      <c r="BI207" s="818">
        <v>0</v>
      </c>
      <c r="BJ207" s="818">
        <v>0</v>
      </c>
      <c r="BK207" s="818">
        <v>0</v>
      </c>
      <c r="BL207" s="818">
        <v>0</v>
      </c>
      <c r="BM207" s="818">
        <v>487848</v>
      </c>
      <c r="BN207" s="818">
        <v>0</v>
      </c>
      <c r="BO207" s="818">
        <v>0</v>
      </c>
      <c r="BP207" s="818">
        <v>0</v>
      </c>
      <c r="BQ207" s="818">
        <v>0</v>
      </c>
      <c r="BR207" s="818">
        <v>0</v>
      </c>
      <c r="BS207" s="818">
        <v>0</v>
      </c>
      <c r="BT207" s="818">
        <v>775502</v>
      </c>
      <c r="BU207" s="818">
        <v>0</v>
      </c>
      <c r="BV207" s="818">
        <v>0</v>
      </c>
      <c r="BW207" s="818">
        <v>0</v>
      </c>
      <c r="BX207" s="818">
        <v>0</v>
      </c>
      <c r="BY207" s="818">
        <v>0</v>
      </c>
      <c r="BZ207" s="818">
        <v>0</v>
      </c>
      <c r="CA207" s="818">
        <v>3749546</v>
      </c>
      <c r="CB207" s="818">
        <v>0</v>
      </c>
    </row>
    <row r="208" spans="1:80" x14ac:dyDescent="0.25">
      <c r="A208" s="860"/>
      <c r="B208" s="839">
        <v>558</v>
      </c>
      <c r="C208" s="843"/>
      <c r="D208" s="809" t="s">
        <v>684</v>
      </c>
      <c r="E208" s="829"/>
      <c r="F208" s="798"/>
      <c r="G208" s="798"/>
      <c r="H208" s="798"/>
      <c r="I208" s="798"/>
      <c r="J208" s="798"/>
      <c r="K208" s="800"/>
      <c r="L208" s="835"/>
      <c r="M208" s="835"/>
      <c r="N208" s="830"/>
      <c r="O208" s="830"/>
      <c r="P208" s="830"/>
      <c r="Q208" s="830"/>
      <c r="R208" s="830"/>
      <c r="S208" s="830"/>
      <c r="T208" s="830"/>
      <c r="U208" s="830"/>
      <c r="V208" s="830"/>
      <c r="W208" s="830"/>
      <c r="X208" s="830"/>
      <c r="Y208" s="830"/>
      <c r="Z208" s="830"/>
      <c r="AA208" s="835"/>
      <c r="AB208" s="835"/>
      <c r="AC208" s="835"/>
      <c r="AD208" s="835"/>
      <c r="AE208" s="835"/>
      <c r="AF208" s="835"/>
      <c r="AG208" s="835"/>
      <c r="AH208" s="835"/>
      <c r="AI208" s="835"/>
      <c r="AJ208" s="835"/>
      <c r="AK208" s="835"/>
      <c r="AL208" s="835"/>
      <c r="AM208" s="835"/>
      <c r="AN208" s="835"/>
      <c r="AO208" s="835"/>
      <c r="AP208" s="835"/>
      <c r="AQ208" s="835"/>
      <c r="AR208" s="835"/>
      <c r="AS208" s="835"/>
      <c r="AT208" s="835"/>
      <c r="AU208" s="835"/>
      <c r="AV208" s="835"/>
      <c r="AW208" s="835"/>
      <c r="AX208" s="835"/>
      <c r="AY208" s="835"/>
      <c r="AZ208" s="835"/>
      <c r="BA208" s="835"/>
      <c r="BB208" s="835"/>
      <c r="BC208" s="835"/>
      <c r="BD208" s="835"/>
      <c r="BE208" s="835"/>
      <c r="BF208" s="835"/>
      <c r="BG208" s="835"/>
      <c r="BH208" s="835"/>
      <c r="BI208" s="835"/>
      <c r="BJ208" s="835"/>
      <c r="BK208" s="835"/>
      <c r="BL208" s="835"/>
      <c r="BM208" s="835"/>
      <c r="BN208" s="835"/>
      <c r="BO208" s="835"/>
      <c r="BP208" s="835"/>
      <c r="BQ208" s="835"/>
      <c r="BR208" s="835"/>
      <c r="BS208" s="835"/>
      <c r="BT208" s="835"/>
      <c r="BU208" s="835"/>
      <c r="BV208" s="835"/>
      <c r="BW208" s="835"/>
      <c r="BX208" s="835"/>
      <c r="BY208" s="835"/>
      <c r="BZ208" s="835"/>
      <c r="CA208" s="835"/>
      <c r="CB208" s="835"/>
    </row>
    <row r="209" spans="1:80" x14ac:dyDescent="0.25">
      <c r="A209" s="860"/>
      <c r="B209" s="839">
        <v>559</v>
      </c>
      <c r="C209" s="843"/>
      <c r="D209" s="809" t="s">
        <v>685</v>
      </c>
      <c r="E209" s="829"/>
      <c r="F209" s="798"/>
      <c r="G209" s="798"/>
      <c r="H209" s="798"/>
      <c r="I209" s="798"/>
      <c r="J209" s="798"/>
      <c r="K209" s="800"/>
      <c r="L209" s="835"/>
      <c r="M209" s="835"/>
      <c r="N209" s="830"/>
      <c r="O209" s="830"/>
      <c r="P209" s="830"/>
      <c r="Q209" s="830"/>
      <c r="R209" s="830"/>
      <c r="S209" s="830"/>
      <c r="T209" s="830"/>
      <c r="U209" s="830"/>
      <c r="V209" s="830"/>
      <c r="W209" s="830"/>
      <c r="X209" s="830"/>
      <c r="Y209" s="830"/>
      <c r="Z209" s="830"/>
      <c r="AA209" s="835"/>
      <c r="AB209" s="835"/>
      <c r="AC209" s="835"/>
      <c r="AD209" s="835"/>
      <c r="AE209" s="835"/>
      <c r="AF209" s="835"/>
      <c r="AG209" s="835"/>
      <c r="AH209" s="835"/>
      <c r="AI209" s="835"/>
      <c r="AJ209" s="835"/>
      <c r="AK209" s="835"/>
      <c r="AL209" s="835"/>
      <c r="AM209" s="835"/>
      <c r="AN209" s="835"/>
      <c r="AO209" s="835"/>
      <c r="AP209" s="835"/>
      <c r="AQ209" s="835"/>
      <c r="AR209" s="835"/>
      <c r="AS209" s="835"/>
      <c r="AT209" s="835"/>
      <c r="AU209" s="835"/>
      <c r="AV209" s="835"/>
      <c r="AW209" s="835"/>
      <c r="AX209" s="835"/>
      <c r="AY209" s="835"/>
      <c r="AZ209" s="835"/>
      <c r="BA209" s="835"/>
      <c r="BB209" s="835"/>
      <c r="BC209" s="835"/>
      <c r="BD209" s="835"/>
      <c r="BE209" s="835"/>
      <c r="BF209" s="835"/>
      <c r="BG209" s="835"/>
      <c r="BH209" s="835"/>
      <c r="BI209" s="835"/>
      <c r="BJ209" s="835"/>
      <c r="BK209" s="835"/>
      <c r="BL209" s="835"/>
      <c r="BM209" s="835"/>
      <c r="BN209" s="835"/>
      <c r="BO209" s="835"/>
      <c r="BP209" s="835"/>
      <c r="BQ209" s="835"/>
      <c r="BR209" s="835"/>
      <c r="BS209" s="835"/>
      <c r="BT209" s="835"/>
      <c r="BU209" s="835"/>
      <c r="BV209" s="835"/>
      <c r="BW209" s="835"/>
      <c r="BX209" s="835"/>
      <c r="BY209" s="835"/>
      <c r="BZ209" s="835"/>
      <c r="CA209" s="835"/>
      <c r="CB209" s="835"/>
    </row>
    <row r="210" spans="1:80" x14ac:dyDescent="0.25">
      <c r="A210" s="860"/>
      <c r="B210" s="839">
        <v>560</v>
      </c>
      <c r="C210" s="843"/>
      <c r="D210" s="809" t="s">
        <v>686</v>
      </c>
      <c r="E210" s="829"/>
      <c r="F210" s="798"/>
      <c r="G210" s="798"/>
      <c r="H210" s="798"/>
      <c r="I210" s="798"/>
      <c r="J210" s="798"/>
      <c r="K210" s="800"/>
      <c r="L210" s="835"/>
      <c r="M210" s="835"/>
      <c r="N210" s="830"/>
      <c r="O210" s="830"/>
      <c r="P210" s="830"/>
      <c r="Q210" s="830"/>
      <c r="R210" s="830"/>
      <c r="S210" s="830"/>
      <c r="T210" s="830"/>
      <c r="U210" s="830"/>
      <c r="V210" s="830"/>
      <c r="W210" s="830"/>
      <c r="X210" s="830"/>
      <c r="Y210" s="830"/>
      <c r="Z210" s="830"/>
      <c r="AA210" s="835"/>
      <c r="AB210" s="835"/>
      <c r="AC210" s="835"/>
      <c r="AD210" s="835"/>
      <c r="AE210" s="835"/>
      <c r="AF210" s="835"/>
      <c r="AG210" s="835"/>
      <c r="AH210" s="835"/>
      <c r="AI210" s="835"/>
      <c r="AJ210" s="835"/>
      <c r="AK210" s="835"/>
      <c r="AL210" s="835"/>
      <c r="AM210" s="835"/>
      <c r="AN210" s="835"/>
      <c r="AO210" s="835"/>
      <c r="AP210" s="835"/>
      <c r="AQ210" s="835"/>
      <c r="AR210" s="835"/>
      <c r="AS210" s="835"/>
      <c r="AT210" s="835"/>
      <c r="AU210" s="835"/>
      <c r="AV210" s="835"/>
      <c r="AW210" s="835"/>
      <c r="AX210" s="835"/>
      <c r="AY210" s="835"/>
      <c r="AZ210" s="835"/>
      <c r="BA210" s="835"/>
      <c r="BB210" s="835"/>
      <c r="BC210" s="835"/>
      <c r="BD210" s="835"/>
      <c r="BE210" s="835"/>
      <c r="BF210" s="835"/>
      <c r="BG210" s="835"/>
      <c r="BH210" s="835"/>
      <c r="BI210" s="835"/>
      <c r="BJ210" s="835"/>
      <c r="BK210" s="835"/>
      <c r="BL210" s="835"/>
      <c r="BM210" s="835"/>
      <c r="BN210" s="835"/>
      <c r="BO210" s="835"/>
      <c r="BP210" s="835"/>
      <c r="BQ210" s="835"/>
      <c r="BR210" s="835"/>
      <c r="BS210" s="835"/>
      <c r="BT210" s="835"/>
      <c r="BU210" s="835"/>
      <c r="BV210" s="835"/>
      <c r="BW210" s="835"/>
      <c r="BX210" s="835"/>
      <c r="BY210" s="835"/>
      <c r="BZ210" s="835"/>
      <c r="CA210" s="835"/>
      <c r="CB210" s="835"/>
    </row>
    <row r="211" spans="1:80" x14ac:dyDescent="0.25">
      <c r="A211" s="794"/>
      <c r="B211" s="839">
        <v>561</v>
      </c>
      <c r="C211" s="843"/>
      <c r="D211" s="809" t="s">
        <v>687</v>
      </c>
      <c r="E211" s="829"/>
      <c r="F211" s="798"/>
      <c r="G211" s="798"/>
      <c r="H211" s="798"/>
      <c r="I211" s="798"/>
      <c r="J211" s="798"/>
      <c r="K211" s="800"/>
      <c r="L211" s="835"/>
      <c r="M211" s="835"/>
      <c r="N211" s="830"/>
      <c r="O211" s="830"/>
      <c r="P211" s="830"/>
      <c r="Q211" s="830"/>
      <c r="R211" s="830"/>
      <c r="S211" s="830"/>
      <c r="T211" s="830"/>
      <c r="U211" s="830"/>
      <c r="V211" s="830"/>
      <c r="W211" s="830"/>
      <c r="X211" s="830"/>
      <c r="Y211" s="830"/>
      <c r="Z211" s="830"/>
      <c r="AA211" s="835"/>
      <c r="AB211" s="835"/>
      <c r="AC211" s="835"/>
      <c r="AD211" s="835"/>
      <c r="AE211" s="835"/>
      <c r="AF211" s="835"/>
      <c r="AG211" s="835"/>
      <c r="AH211" s="835"/>
      <c r="AI211" s="835"/>
      <c r="AJ211" s="835"/>
      <c r="AK211" s="835"/>
      <c r="AL211" s="835"/>
      <c r="AM211" s="835"/>
      <c r="AN211" s="835"/>
      <c r="AO211" s="835"/>
      <c r="AP211" s="835"/>
      <c r="AQ211" s="835"/>
      <c r="AR211" s="835"/>
      <c r="AS211" s="835"/>
      <c r="AT211" s="835"/>
      <c r="AU211" s="835"/>
      <c r="AV211" s="835"/>
      <c r="AW211" s="835"/>
      <c r="AX211" s="835"/>
      <c r="AY211" s="835"/>
      <c r="AZ211" s="835"/>
      <c r="BA211" s="835"/>
      <c r="BB211" s="835"/>
      <c r="BC211" s="835"/>
      <c r="BD211" s="835"/>
      <c r="BE211" s="835"/>
      <c r="BF211" s="835"/>
      <c r="BG211" s="835"/>
      <c r="BH211" s="835"/>
      <c r="BI211" s="835"/>
      <c r="BJ211" s="835"/>
      <c r="BK211" s="835"/>
      <c r="BL211" s="835"/>
      <c r="BM211" s="835"/>
      <c r="BN211" s="835"/>
      <c r="BO211" s="835"/>
      <c r="BP211" s="835"/>
      <c r="BQ211" s="835"/>
      <c r="BR211" s="835"/>
      <c r="BS211" s="835"/>
      <c r="BT211" s="835"/>
      <c r="BU211" s="835"/>
      <c r="BV211" s="835"/>
      <c r="BW211" s="835"/>
      <c r="BX211" s="835"/>
      <c r="BY211" s="835"/>
      <c r="BZ211" s="835"/>
      <c r="CA211" s="835"/>
      <c r="CB211" s="835"/>
    </row>
    <row r="212" spans="1:80" x14ac:dyDescent="0.25">
      <c r="A212" s="794"/>
      <c r="B212" s="839">
        <v>562</v>
      </c>
      <c r="C212" s="843"/>
      <c r="D212" s="809" t="s">
        <v>688</v>
      </c>
      <c r="E212" s="829"/>
      <c r="F212" s="798"/>
      <c r="G212" s="798"/>
      <c r="H212" s="798"/>
      <c r="I212" s="798"/>
      <c r="J212" s="798"/>
      <c r="K212" s="800"/>
      <c r="L212" s="835"/>
      <c r="M212" s="835"/>
      <c r="N212" s="830"/>
      <c r="O212" s="830"/>
      <c r="P212" s="830"/>
      <c r="Q212" s="830"/>
      <c r="R212" s="830"/>
      <c r="S212" s="830"/>
      <c r="T212" s="830"/>
      <c r="U212" s="830"/>
      <c r="V212" s="830"/>
      <c r="W212" s="830"/>
      <c r="X212" s="830"/>
      <c r="Y212" s="830"/>
      <c r="Z212" s="830"/>
      <c r="AA212" s="835"/>
      <c r="AB212" s="835"/>
      <c r="AC212" s="835"/>
      <c r="AD212" s="835"/>
      <c r="AE212" s="835"/>
      <c r="AF212" s="835"/>
      <c r="AG212" s="835"/>
      <c r="AH212" s="835"/>
      <c r="AI212" s="835"/>
      <c r="AJ212" s="835"/>
      <c r="AK212" s="835"/>
      <c r="AL212" s="835"/>
      <c r="AM212" s="835"/>
      <c r="AN212" s="835"/>
      <c r="AO212" s="835"/>
      <c r="AP212" s="835"/>
      <c r="AQ212" s="835"/>
      <c r="AR212" s="835"/>
      <c r="AS212" s="835"/>
      <c r="AT212" s="835"/>
      <c r="AU212" s="835"/>
      <c r="AV212" s="835"/>
      <c r="AW212" s="835"/>
      <c r="AX212" s="835"/>
      <c r="AY212" s="835"/>
      <c r="AZ212" s="835"/>
      <c r="BA212" s="835"/>
      <c r="BB212" s="835"/>
      <c r="BC212" s="835"/>
      <c r="BD212" s="835"/>
      <c r="BE212" s="835"/>
      <c r="BF212" s="835"/>
      <c r="BG212" s="835"/>
      <c r="BH212" s="835"/>
      <c r="BI212" s="835"/>
      <c r="BJ212" s="835"/>
      <c r="BK212" s="835"/>
      <c r="BL212" s="835"/>
      <c r="BM212" s="835"/>
      <c r="BN212" s="835"/>
      <c r="BO212" s="835"/>
      <c r="BP212" s="835"/>
      <c r="BQ212" s="835"/>
      <c r="BR212" s="835"/>
      <c r="BS212" s="835"/>
      <c r="BT212" s="835"/>
      <c r="BU212" s="835"/>
      <c r="BV212" s="835"/>
      <c r="BW212" s="835"/>
      <c r="BX212" s="835"/>
      <c r="BY212" s="835"/>
      <c r="BZ212" s="835"/>
      <c r="CA212" s="835"/>
      <c r="CB212" s="835"/>
    </row>
    <row r="213" spans="1:80" x14ac:dyDescent="0.25">
      <c r="A213" s="860"/>
      <c r="B213" s="839">
        <v>563</v>
      </c>
      <c r="C213" s="843"/>
      <c r="D213" s="809" t="s">
        <v>689</v>
      </c>
      <c r="E213" s="829"/>
      <c r="F213" s="798"/>
      <c r="G213" s="798"/>
      <c r="H213" s="798"/>
      <c r="I213" s="798"/>
      <c r="J213" s="798"/>
      <c r="K213" s="800"/>
      <c r="L213" s="835"/>
      <c r="M213" s="835"/>
      <c r="N213" s="830"/>
      <c r="O213" s="830"/>
      <c r="P213" s="830"/>
      <c r="Q213" s="830"/>
      <c r="R213" s="830"/>
      <c r="S213" s="830"/>
      <c r="T213" s="830"/>
      <c r="U213" s="830"/>
      <c r="V213" s="830"/>
      <c r="W213" s="830"/>
      <c r="X213" s="830"/>
      <c r="Y213" s="830"/>
      <c r="Z213" s="830"/>
      <c r="AA213" s="835"/>
      <c r="AB213" s="835"/>
      <c r="AC213" s="835"/>
      <c r="AD213" s="835"/>
      <c r="AE213" s="835"/>
      <c r="AF213" s="835"/>
      <c r="AG213" s="835"/>
      <c r="AH213" s="835"/>
      <c r="AI213" s="835"/>
      <c r="AJ213" s="835"/>
      <c r="AK213" s="835"/>
      <c r="AL213" s="835"/>
      <c r="AM213" s="835"/>
      <c r="AN213" s="835"/>
      <c r="AO213" s="835"/>
      <c r="AP213" s="835"/>
      <c r="AQ213" s="835"/>
      <c r="AR213" s="835"/>
      <c r="AS213" s="835"/>
      <c r="AT213" s="835"/>
      <c r="AU213" s="835"/>
      <c r="AV213" s="835"/>
      <c r="AW213" s="835"/>
      <c r="AX213" s="835"/>
      <c r="AY213" s="835"/>
      <c r="AZ213" s="835"/>
      <c r="BA213" s="835"/>
      <c r="BB213" s="835"/>
      <c r="BC213" s="835"/>
      <c r="BD213" s="835"/>
      <c r="BE213" s="835"/>
      <c r="BF213" s="835"/>
      <c r="BG213" s="835"/>
      <c r="BH213" s="835"/>
      <c r="BI213" s="835"/>
      <c r="BJ213" s="835"/>
      <c r="BK213" s="835"/>
      <c r="BL213" s="835"/>
      <c r="BM213" s="835"/>
      <c r="BN213" s="835"/>
      <c r="BO213" s="835"/>
      <c r="BP213" s="835"/>
      <c r="BQ213" s="835"/>
      <c r="BR213" s="835"/>
      <c r="BS213" s="835"/>
      <c r="BT213" s="835"/>
      <c r="BU213" s="835"/>
      <c r="BV213" s="835"/>
      <c r="BW213" s="835"/>
      <c r="BX213" s="835"/>
      <c r="BY213" s="835"/>
      <c r="BZ213" s="835"/>
      <c r="CA213" s="835"/>
      <c r="CB213" s="835"/>
    </row>
    <row r="214" spans="1:80" x14ac:dyDescent="0.25">
      <c r="A214" s="794"/>
      <c r="B214" s="839">
        <v>564</v>
      </c>
      <c r="C214" s="843"/>
      <c r="D214" s="809" t="s">
        <v>690</v>
      </c>
      <c r="E214" s="829"/>
      <c r="F214" s="798"/>
      <c r="G214" s="798"/>
      <c r="H214" s="798"/>
      <c r="I214" s="798"/>
      <c r="J214" s="798"/>
      <c r="K214" s="800"/>
      <c r="L214" s="835"/>
      <c r="M214" s="835"/>
      <c r="N214" s="830"/>
      <c r="O214" s="830"/>
      <c r="P214" s="830"/>
      <c r="Q214" s="830"/>
      <c r="R214" s="830"/>
      <c r="S214" s="830"/>
      <c r="T214" s="830"/>
      <c r="U214" s="830"/>
      <c r="V214" s="830"/>
      <c r="W214" s="830"/>
      <c r="X214" s="830"/>
      <c r="Y214" s="830"/>
      <c r="Z214" s="830"/>
      <c r="AA214" s="835"/>
      <c r="AB214" s="835"/>
      <c r="AC214" s="835"/>
      <c r="AD214" s="835"/>
      <c r="AE214" s="835"/>
      <c r="AF214" s="835"/>
      <c r="AG214" s="835"/>
      <c r="AH214" s="835"/>
      <c r="AI214" s="835"/>
      <c r="AJ214" s="835"/>
      <c r="AK214" s="835"/>
      <c r="AL214" s="835"/>
      <c r="AM214" s="835"/>
      <c r="AN214" s="835"/>
      <c r="AO214" s="835"/>
      <c r="AP214" s="835"/>
      <c r="AQ214" s="835"/>
      <c r="AR214" s="835"/>
      <c r="AS214" s="835"/>
      <c r="AT214" s="835"/>
      <c r="AU214" s="835"/>
      <c r="AV214" s="835"/>
      <c r="AW214" s="835"/>
      <c r="AX214" s="835"/>
      <c r="AY214" s="835"/>
      <c r="AZ214" s="835"/>
      <c r="BA214" s="835"/>
      <c r="BB214" s="835"/>
      <c r="BC214" s="835"/>
      <c r="BD214" s="835"/>
      <c r="BE214" s="835"/>
      <c r="BF214" s="835"/>
      <c r="BG214" s="835"/>
      <c r="BH214" s="835"/>
      <c r="BI214" s="835"/>
      <c r="BJ214" s="835"/>
      <c r="BK214" s="835"/>
      <c r="BL214" s="835"/>
      <c r="BM214" s="835"/>
      <c r="BN214" s="835"/>
      <c r="BO214" s="835"/>
      <c r="BP214" s="835"/>
      <c r="BQ214" s="835"/>
      <c r="BR214" s="835"/>
      <c r="BS214" s="835"/>
      <c r="BT214" s="835"/>
      <c r="BU214" s="835"/>
      <c r="BV214" s="835"/>
      <c r="BW214" s="835"/>
      <c r="BX214" s="835"/>
      <c r="BY214" s="835"/>
      <c r="BZ214" s="835"/>
      <c r="CA214" s="835"/>
      <c r="CB214" s="835"/>
    </row>
    <row r="215" spans="1:80" x14ac:dyDescent="0.25">
      <c r="A215" s="860"/>
      <c r="B215" s="839">
        <v>565</v>
      </c>
      <c r="C215" s="843"/>
      <c r="D215" s="809" t="s">
        <v>691</v>
      </c>
      <c r="E215" s="829"/>
      <c r="F215" s="798"/>
      <c r="G215" s="798"/>
      <c r="H215" s="798"/>
      <c r="I215" s="798"/>
      <c r="J215" s="798"/>
      <c r="K215" s="800"/>
      <c r="L215" s="835"/>
      <c r="M215" s="835"/>
      <c r="N215" s="830"/>
      <c r="O215" s="830"/>
      <c r="P215" s="830"/>
      <c r="Q215" s="830"/>
      <c r="R215" s="830"/>
      <c r="S215" s="830"/>
      <c r="T215" s="830"/>
      <c r="U215" s="830"/>
      <c r="V215" s="830"/>
      <c r="W215" s="830"/>
      <c r="X215" s="830"/>
      <c r="Y215" s="830"/>
      <c r="Z215" s="830"/>
      <c r="AA215" s="835"/>
      <c r="AB215" s="835"/>
      <c r="AC215" s="835"/>
      <c r="AD215" s="835"/>
      <c r="AE215" s="835"/>
      <c r="AF215" s="835"/>
      <c r="AG215" s="835"/>
      <c r="AH215" s="835"/>
      <c r="AI215" s="835"/>
      <c r="AJ215" s="835"/>
      <c r="AK215" s="835"/>
      <c r="AL215" s="835"/>
      <c r="AM215" s="835"/>
      <c r="AN215" s="835"/>
      <c r="AO215" s="835"/>
      <c r="AP215" s="835"/>
      <c r="AQ215" s="835"/>
      <c r="AR215" s="835"/>
      <c r="AS215" s="835"/>
      <c r="AT215" s="835"/>
      <c r="AU215" s="835"/>
      <c r="AV215" s="835"/>
      <c r="AW215" s="835"/>
      <c r="AX215" s="835"/>
      <c r="AY215" s="835"/>
      <c r="AZ215" s="835"/>
      <c r="BA215" s="835"/>
      <c r="BB215" s="835"/>
      <c r="BC215" s="835"/>
      <c r="BD215" s="835"/>
      <c r="BE215" s="835"/>
      <c r="BF215" s="835"/>
      <c r="BG215" s="835"/>
      <c r="BH215" s="835"/>
      <c r="BI215" s="835"/>
      <c r="BJ215" s="835"/>
      <c r="BK215" s="835"/>
      <c r="BL215" s="835"/>
      <c r="BM215" s="835"/>
      <c r="BN215" s="835"/>
      <c r="BO215" s="835"/>
      <c r="BP215" s="835"/>
      <c r="BQ215" s="835"/>
      <c r="BR215" s="835"/>
      <c r="BS215" s="835"/>
      <c r="BT215" s="835"/>
      <c r="BU215" s="835"/>
      <c r="BV215" s="835"/>
      <c r="BW215" s="835"/>
      <c r="BX215" s="835"/>
      <c r="BY215" s="835"/>
      <c r="BZ215" s="835"/>
      <c r="CA215" s="835"/>
      <c r="CB215" s="835"/>
    </row>
    <row r="216" spans="1:80" x14ac:dyDescent="0.25">
      <c r="A216" s="860"/>
      <c r="B216" s="839">
        <v>566</v>
      </c>
      <c r="C216" s="843"/>
      <c r="D216" s="809" t="s">
        <v>692</v>
      </c>
      <c r="E216" s="829"/>
      <c r="F216" s="798"/>
      <c r="G216" s="798"/>
      <c r="H216" s="798"/>
      <c r="I216" s="798"/>
      <c r="J216" s="798"/>
      <c r="K216" s="800"/>
      <c r="L216" s="835"/>
      <c r="M216" s="835"/>
      <c r="N216" s="830"/>
      <c r="O216" s="830"/>
      <c r="P216" s="830"/>
      <c r="Q216" s="830"/>
      <c r="R216" s="830"/>
      <c r="S216" s="830"/>
      <c r="T216" s="830"/>
      <c r="U216" s="830"/>
      <c r="V216" s="830"/>
      <c r="W216" s="830"/>
      <c r="X216" s="830"/>
      <c r="Y216" s="830"/>
      <c r="Z216" s="830"/>
      <c r="AA216" s="835"/>
      <c r="AB216" s="835"/>
      <c r="AC216" s="835"/>
      <c r="AD216" s="835"/>
      <c r="AE216" s="835"/>
      <c r="AF216" s="835"/>
      <c r="AG216" s="835"/>
      <c r="AH216" s="835"/>
      <c r="AI216" s="835"/>
      <c r="AJ216" s="835"/>
      <c r="AK216" s="835"/>
      <c r="AL216" s="835"/>
      <c r="AM216" s="835"/>
      <c r="AN216" s="835"/>
      <c r="AO216" s="835"/>
      <c r="AP216" s="835"/>
      <c r="AQ216" s="835"/>
      <c r="AR216" s="835"/>
      <c r="AS216" s="835"/>
      <c r="AT216" s="835"/>
      <c r="AU216" s="835"/>
      <c r="AV216" s="835"/>
      <c r="AW216" s="835"/>
      <c r="AX216" s="835"/>
      <c r="AY216" s="835"/>
      <c r="AZ216" s="835"/>
      <c r="BA216" s="835"/>
      <c r="BB216" s="835"/>
      <c r="BC216" s="835"/>
      <c r="BD216" s="835"/>
      <c r="BE216" s="835"/>
      <c r="BF216" s="835"/>
      <c r="BG216" s="835"/>
      <c r="BH216" s="835"/>
      <c r="BI216" s="835"/>
      <c r="BJ216" s="835"/>
      <c r="BK216" s="835"/>
      <c r="BL216" s="835"/>
      <c r="BM216" s="835"/>
      <c r="BN216" s="835"/>
      <c r="BO216" s="835"/>
      <c r="BP216" s="835"/>
      <c r="BQ216" s="835"/>
      <c r="BR216" s="835"/>
      <c r="BS216" s="835"/>
      <c r="BT216" s="835"/>
      <c r="BU216" s="835"/>
      <c r="BV216" s="835"/>
      <c r="BW216" s="835"/>
      <c r="BX216" s="835"/>
      <c r="BY216" s="835"/>
      <c r="BZ216" s="835"/>
      <c r="CA216" s="835"/>
      <c r="CB216" s="835"/>
    </row>
    <row r="217" spans="1:80" x14ac:dyDescent="0.25">
      <c r="A217" s="860"/>
      <c r="B217" s="839">
        <v>567</v>
      </c>
      <c r="C217" s="843"/>
      <c r="D217" s="809" t="s">
        <v>693</v>
      </c>
      <c r="E217" s="829"/>
      <c r="F217" s="798"/>
      <c r="G217" s="798"/>
      <c r="H217" s="798"/>
      <c r="I217" s="798"/>
      <c r="J217" s="798"/>
      <c r="K217" s="800"/>
      <c r="L217" s="835"/>
      <c r="M217" s="835"/>
      <c r="N217" s="830"/>
      <c r="O217" s="830"/>
      <c r="P217" s="830"/>
      <c r="Q217" s="830"/>
      <c r="R217" s="830"/>
      <c r="S217" s="830"/>
      <c r="T217" s="830"/>
      <c r="U217" s="830"/>
      <c r="V217" s="830"/>
      <c r="W217" s="830"/>
      <c r="X217" s="830"/>
      <c r="Y217" s="830"/>
      <c r="Z217" s="830"/>
      <c r="AA217" s="835"/>
      <c r="AB217" s="835"/>
      <c r="AC217" s="835"/>
      <c r="AD217" s="835"/>
      <c r="AE217" s="835"/>
      <c r="AF217" s="835"/>
      <c r="AG217" s="835"/>
      <c r="AH217" s="835"/>
      <c r="AI217" s="835"/>
      <c r="AJ217" s="835"/>
      <c r="AK217" s="835"/>
      <c r="AL217" s="835"/>
      <c r="AM217" s="835"/>
      <c r="AN217" s="835"/>
      <c r="AO217" s="835"/>
      <c r="AP217" s="835"/>
      <c r="AQ217" s="835"/>
      <c r="AR217" s="835"/>
      <c r="AS217" s="835"/>
      <c r="AT217" s="835"/>
      <c r="AU217" s="835"/>
      <c r="AV217" s="835"/>
      <c r="AW217" s="835"/>
      <c r="AX217" s="835"/>
      <c r="AY217" s="835"/>
      <c r="AZ217" s="835"/>
      <c r="BA217" s="835"/>
      <c r="BB217" s="835"/>
      <c r="BC217" s="835"/>
      <c r="BD217" s="835"/>
      <c r="BE217" s="835"/>
      <c r="BF217" s="835"/>
      <c r="BG217" s="835"/>
      <c r="BH217" s="835"/>
      <c r="BI217" s="835"/>
      <c r="BJ217" s="835"/>
      <c r="BK217" s="835"/>
      <c r="BL217" s="835"/>
      <c r="BM217" s="835"/>
      <c r="BN217" s="835"/>
      <c r="BO217" s="835"/>
      <c r="BP217" s="835"/>
      <c r="BQ217" s="835"/>
      <c r="BR217" s="835"/>
      <c r="BS217" s="835"/>
      <c r="BT217" s="835"/>
      <c r="BU217" s="835"/>
      <c r="BV217" s="835"/>
      <c r="BW217" s="835"/>
      <c r="BX217" s="835"/>
      <c r="BY217" s="835"/>
      <c r="BZ217" s="835"/>
      <c r="CA217" s="835"/>
      <c r="CB217" s="835"/>
    </row>
    <row r="218" spans="1:80" x14ac:dyDescent="0.25">
      <c r="A218" s="860"/>
      <c r="B218" s="839">
        <v>568</v>
      </c>
      <c r="C218" s="843"/>
      <c r="D218" s="809" t="s">
        <v>694</v>
      </c>
      <c r="E218" s="829"/>
      <c r="F218" s="798"/>
      <c r="G218" s="798"/>
      <c r="H218" s="798"/>
      <c r="I218" s="798"/>
      <c r="J218" s="798"/>
      <c r="K218" s="800"/>
      <c r="L218" s="835"/>
      <c r="M218" s="835"/>
      <c r="N218" s="830"/>
      <c r="O218" s="830"/>
      <c r="P218" s="830"/>
      <c r="Q218" s="830"/>
      <c r="R218" s="830"/>
      <c r="S218" s="830"/>
      <c r="T218" s="830"/>
      <c r="U218" s="830"/>
      <c r="V218" s="830"/>
      <c r="W218" s="830"/>
      <c r="X218" s="830"/>
      <c r="Y218" s="830"/>
      <c r="Z218" s="830"/>
      <c r="AA218" s="835"/>
      <c r="AB218" s="835"/>
      <c r="AC218" s="835"/>
      <c r="AD218" s="835"/>
      <c r="AE218" s="835"/>
      <c r="AF218" s="835"/>
      <c r="AG218" s="835"/>
      <c r="AH218" s="835"/>
      <c r="AI218" s="835"/>
      <c r="AJ218" s="835"/>
      <c r="AK218" s="835"/>
      <c r="AL218" s="835"/>
      <c r="AM218" s="835"/>
      <c r="AN218" s="835"/>
      <c r="AO218" s="835"/>
      <c r="AP218" s="835"/>
      <c r="AQ218" s="835"/>
      <c r="AR218" s="835"/>
      <c r="AS218" s="835"/>
      <c r="AT218" s="835"/>
      <c r="AU218" s="835"/>
      <c r="AV218" s="835"/>
      <c r="AW218" s="835"/>
      <c r="AX218" s="835"/>
      <c r="AY218" s="835"/>
      <c r="AZ218" s="835"/>
      <c r="BA218" s="835"/>
      <c r="BB218" s="835"/>
      <c r="BC218" s="835"/>
      <c r="BD218" s="835"/>
      <c r="BE218" s="835"/>
      <c r="BF218" s="835"/>
      <c r="BG218" s="835"/>
      <c r="BH218" s="835"/>
      <c r="BI218" s="835"/>
      <c r="BJ218" s="835"/>
      <c r="BK218" s="835"/>
      <c r="BL218" s="835"/>
      <c r="BM218" s="835"/>
      <c r="BN218" s="835"/>
      <c r="BO218" s="835"/>
      <c r="BP218" s="835"/>
      <c r="BQ218" s="835"/>
      <c r="BR218" s="835"/>
      <c r="BS218" s="835"/>
      <c r="BT218" s="835"/>
      <c r="BU218" s="835"/>
      <c r="BV218" s="835"/>
      <c r="BW218" s="835"/>
      <c r="BX218" s="835"/>
      <c r="BY218" s="835"/>
      <c r="BZ218" s="835"/>
      <c r="CA218" s="835"/>
      <c r="CB218" s="835"/>
    </row>
    <row r="219" spans="1:80" x14ac:dyDescent="0.25">
      <c r="A219" s="860"/>
      <c r="B219" s="839">
        <v>569</v>
      </c>
      <c r="C219" s="843"/>
      <c r="D219" s="809" t="s">
        <v>695</v>
      </c>
      <c r="E219" s="829"/>
      <c r="F219" s="798"/>
      <c r="G219" s="798"/>
      <c r="H219" s="798"/>
      <c r="I219" s="798"/>
      <c r="J219" s="798"/>
      <c r="K219" s="800"/>
      <c r="L219" s="835"/>
      <c r="M219" s="835"/>
      <c r="N219" s="830"/>
      <c r="O219" s="830"/>
      <c r="P219" s="830"/>
      <c r="Q219" s="830"/>
      <c r="R219" s="830"/>
      <c r="S219" s="830"/>
      <c r="T219" s="830"/>
      <c r="U219" s="830"/>
      <c r="V219" s="830"/>
      <c r="W219" s="830"/>
      <c r="X219" s="830"/>
      <c r="Y219" s="830"/>
      <c r="Z219" s="830"/>
      <c r="AA219" s="835"/>
      <c r="AB219" s="835"/>
      <c r="AC219" s="835"/>
      <c r="AD219" s="835"/>
      <c r="AE219" s="835"/>
      <c r="AF219" s="835"/>
      <c r="AG219" s="835"/>
      <c r="AH219" s="835"/>
      <c r="AI219" s="835"/>
      <c r="AJ219" s="835"/>
      <c r="AK219" s="835"/>
      <c r="AL219" s="835"/>
      <c r="AM219" s="835"/>
      <c r="AN219" s="835"/>
      <c r="AO219" s="835"/>
      <c r="AP219" s="835"/>
      <c r="AQ219" s="835"/>
      <c r="AR219" s="835"/>
      <c r="AS219" s="835"/>
      <c r="AT219" s="835"/>
      <c r="AU219" s="835"/>
      <c r="AV219" s="835"/>
      <c r="AW219" s="835"/>
      <c r="AX219" s="835"/>
      <c r="AY219" s="835"/>
      <c r="AZ219" s="835"/>
      <c r="BA219" s="835"/>
      <c r="BB219" s="835"/>
      <c r="BC219" s="835"/>
      <c r="BD219" s="835"/>
      <c r="BE219" s="835"/>
      <c r="BF219" s="835"/>
      <c r="BG219" s="835"/>
      <c r="BH219" s="835"/>
      <c r="BI219" s="835"/>
      <c r="BJ219" s="835"/>
      <c r="BK219" s="835"/>
      <c r="BL219" s="835"/>
      <c r="BM219" s="835"/>
      <c r="BN219" s="835"/>
      <c r="BO219" s="835"/>
      <c r="BP219" s="835"/>
      <c r="BQ219" s="835"/>
      <c r="BR219" s="835"/>
      <c r="BS219" s="835"/>
      <c r="BT219" s="835"/>
      <c r="BU219" s="835"/>
      <c r="BV219" s="835"/>
      <c r="BW219" s="835"/>
      <c r="BX219" s="835"/>
      <c r="BY219" s="835"/>
      <c r="BZ219" s="835"/>
      <c r="CA219" s="835"/>
      <c r="CB219" s="835"/>
    </row>
    <row r="220" spans="1:80" x14ac:dyDescent="0.25">
      <c r="A220" s="860"/>
      <c r="B220" s="839">
        <v>570</v>
      </c>
      <c r="C220" s="843"/>
      <c r="D220" s="809" t="s">
        <v>696</v>
      </c>
      <c r="E220" s="829"/>
      <c r="F220" s="798"/>
      <c r="G220" s="798"/>
      <c r="H220" s="798"/>
      <c r="I220" s="798"/>
      <c r="J220" s="798"/>
      <c r="K220" s="800"/>
      <c r="L220" s="835"/>
      <c r="M220" s="835"/>
      <c r="N220" s="830"/>
      <c r="O220" s="830"/>
      <c r="P220" s="830"/>
      <c r="Q220" s="830"/>
      <c r="R220" s="830"/>
      <c r="S220" s="830"/>
      <c r="T220" s="830"/>
      <c r="U220" s="830"/>
      <c r="V220" s="830"/>
      <c r="W220" s="830"/>
      <c r="X220" s="830"/>
      <c r="Y220" s="830"/>
      <c r="Z220" s="830"/>
      <c r="AA220" s="835"/>
      <c r="AB220" s="835"/>
      <c r="AC220" s="835"/>
      <c r="AD220" s="835"/>
      <c r="AE220" s="835"/>
      <c r="AF220" s="835"/>
      <c r="AG220" s="835"/>
      <c r="AH220" s="835"/>
      <c r="AI220" s="835"/>
      <c r="AJ220" s="835"/>
      <c r="AK220" s="835"/>
      <c r="AL220" s="835"/>
      <c r="AM220" s="835"/>
      <c r="AN220" s="835"/>
      <c r="AO220" s="835"/>
      <c r="AP220" s="835"/>
      <c r="AQ220" s="835"/>
      <c r="AR220" s="835"/>
      <c r="AS220" s="835"/>
      <c r="AT220" s="835"/>
      <c r="AU220" s="835"/>
      <c r="AV220" s="835"/>
      <c r="AW220" s="835"/>
      <c r="AX220" s="835"/>
      <c r="AY220" s="835"/>
      <c r="AZ220" s="835"/>
      <c r="BA220" s="835"/>
      <c r="BB220" s="835"/>
      <c r="BC220" s="835"/>
      <c r="BD220" s="835"/>
      <c r="BE220" s="835"/>
      <c r="BF220" s="835"/>
      <c r="BG220" s="835"/>
      <c r="BH220" s="835"/>
      <c r="BI220" s="835"/>
      <c r="BJ220" s="835"/>
      <c r="BK220" s="835"/>
      <c r="BL220" s="835"/>
      <c r="BM220" s="835"/>
      <c r="BN220" s="835"/>
      <c r="BO220" s="835"/>
      <c r="BP220" s="835"/>
      <c r="BQ220" s="835"/>
      <c r="BR220" s="835"/>
      <c r="BS220" s="835"/>
      <c r="BT220" s="835"/>
      <c r="BU220" s="835"/>
      <c r="BV220" s="835"/>
      <c r="BW220" s="835"/>
      <c r="BX220" s="835"/>
      <c r="BY220" s="835"/>
      <c r="BZ220" s="835"/>
      <c r="CA220" s="835"/>
      <c r="CB220" s="835"/>
    </row>
    <row r="221" spans="1:80" x14ac:dyDescent="0.25">
      <c r="A221" s="860"/>
      <c r="B221" s="839">
        <v>571</v>
      </c>
      <c r="C221" s="843"/>
      <c r="D221" s="809" t="s">
        <v>697</v>
      </c>
      <c r="E221" s="829"/>
      <c r="F221" s="798"/>
      <c r="G221" s="798"/>
      <c r="H221" s="798"/>
      <c r="I221" s="798"/>
      <c r="J221" s="798"/>
      <c r="K221" s="800"/>
      <c r="L221" s="835"/>
      <c r="M221" s="835"/>
      <c r="N221" s="830"/>
      <c r="O221" s="830"/>
      <c r="P221" s="830"/>
      <c r="Q221" s="830"/>
      <c r="R221" s="830"/>
      <c r="S221" s="830"/>
      <c r="T221" s="830"/>
      <c r="U221" s="830"/>
      <c r="V221" s="830"/>
      <c r="W221" s="830"/>
      <c r="X221" s="830"/>
      <c r="Y221" s="830"/>
      <c r="Z221" s="830"/>
      <c r="AA221" s="835"/>
      <c r="AB221" s="835"/>
      <c r="AC221" s="835"/>
      <c r="AD221" s="835"/>
      <c r="AE221" s="835"/>
      <c r="AF221" s="835"/>
      <c r="AG221" s="835"/>
      <c r="AH221" s="835"/>
      <c r="AI221" s="835"/>
      <c r="AJ221" s="835"/>
      <c r="AK221" s="835"/>
      <c r="AL221" s="835"/>
      <c r="AM221" s="835"/>
      <c r="AN221" s="835"/>
      <c r="AO221" s="835"/>
      <c r="AP221" s="835"/>
      <c r="AQ221" s="835"/>
      <c r="AR221" s="835"/>
      <c r="AS221" s="835"/>
      <c r="AT221" s="835"/>
      <c r="AU221" s="835"/>
      <c r="AV221" s="835"/>
      <c r="AW221" s="835"/>
      <c r="AX221" s="835"/>
      <c r="AY221" s="835"/>
      <c r="AZ221" s="835"/>
      <c r="BA221" s="835"/>
      <c r="BB221" s="835"/>
      <c r="BC221" s="835"/>
      <c r="BD221" s="835"/>
      <c r="BE221" s="835"/>
      <c r="BF221" s="835"/>
      <c r="BG221" s="835"/>
      <c r="BH221" s="835"/>
      <c r="BI221" s="835"/>
      <c r="BJ221" s="835"/>
      <c r="BK221" s="835"/>
      <c r="BL221" s="835"/>
      <c r="BM221" s="835"/>
      <c r="BN221" s="835"/>
      <c r="BO221" s="835"/>
      <c r="BP221" s="835"/>
      <c r="BQ221" s="835"/>
      <c r="BR221" s="835"/>
      <c r="BS221" s="835"/>
      <c r="BT221" s="835"/>
      <c r="BU221" s="835"/>
      <c r="BV221" s="835"/>
      <c r="BW221" s="835"/>
      <c r="BX221" s="835"/>
      <c r="BY221" s="835"/>
      <c r="BZ221" s="835"/>
      <c r="CA221" s="835"/>
      <c r="CB221" s="835"/>
    </row>
    <row r="222" spans="1:80" x14ac:dyDescent="0.25">
      <c r="A222" s="860"/>
      <c r="B222" s="839">
        <v>572</v>
      </c>
      <c r="C222" s="843"/>
      <c r="D222" s="809" t="s">
        <v>698</v>
      </c>
      <c r="E222" s="829"/>
      <c r="F222" s="798"/>
      <c r="G222" s="798"/>
      <c r="H222" s="798"/>
      <c r="I222" s="798"/>
      <c r="J222" s="798"/>
      <c r="K222" s="800"/>
      <c r="L222" s="835"/>
      <c r="M222" s="835"/>
      <c r="N222" s="830"/>
      <c r="O222" s="830"/>
      <c r="P222" s="830"/>
      <c r="Q222" s="830"/>
      <c r="R222" s="830"/>
      <c r="S222" s="830"/>
      <c r="T222" s="830"/>
      <c r="U222" s="830"/>
      <c r="V222" s="830"/>
      <c r="W222" s="830"/>
      <c r="X222" s="830"/>
      <c r="Y222" s="830"/>
      <c r="Z222" s="830"/>
      <c r="AA222" s="835"/>
      <c r="AB222" s="835"/>
      <c r="AC222" s="835"/>
      <c r="AD222" s="835"/>
      <c r="AE222" s="835"/>
      <c r="AF222" s="835"/>
      <c r="AG222" s="835"/>
      <c r="AH222" s="835"/>
      <c r="AI222" s="835"/>
      <c r="AJ222" s="835"/>
      <c r="AK222" s="835"/>
      <c r="AL222" s="835"/>
      <c r="AM222" s="835"/>
      <c r="AN222" s="835"/>
      <c r="AO222" s="835"/>
      <c r="AP222" s="835"/>
      <c r="AQ222" s="835"/>
      <c r="AR222" s="835"/>
      <c r="AS222" s="835"/>
      <c r="AT222" s="835"/>
      <c r="AU222" s="835"/>
      <c r="AV222" s="835"/>
      <c r="AW222" s="835"/>
      <c r="AX222" s="835"/>
      <c r="AY222" s="835"/>
      <c r="AZ222" s="835"/>
      <c r="BA222" s="835"/>
      <c r="BB222" s="835"/>
      <c r="BC222" s="835"/>
      <c r="BD222" s="835"/>
      <c r="BE222" s="835"/>
      <c r="BF222" s="835"/>
      <c r="BG222" s="835"/>
      <c r="BH222" s="835"/>
      <c r="BI222" s="835"/>
      <c r="BJ222" s="835"/>
      <c r="BK222" s="835"/>
      <c r="BL222" s="835"/>
      <c r="BM222" s="835"/>
      <c r="BN222" s="835"/>
      <c r="BO222" s="835"/>
      <c r="BP222" s="835"/>
      <c r="BQ222" s="835"/>
      <c r="BR222" s="835"/>
      <c r="BS222" s="835"/>
      <c r="BT222" s="835"/>
      <c r="BU222" s="835"/>
      <c r="BV222" s="835"/>
      <c r="BW222" s="835"/>
      <c r="BX222" s="835"/>
      <c r="BY222" s="835"/>
      <c r="BZ222" s="835"/>
      <c r="CA222" s="835"/>
      <c r="CB222" s="835"/>
    </row>
    <row r="223" spans="1:80" x14ac:dyDescent="0.25">
      <c r="A223" s="860"/>
      <c r="B223" s="839">
        <v>573</v>
      </c>
      <c r="C223" s="843"/>
      <c r="D223" s="809" t="s">
        <v>699</v>
      </c>
      <c r="E223" s="829"/>
      <c r="F223" s="798"/>
      <c r="G223" s="798"/>
      <c r="H223" s="798"/>
      <c r="I223" s="798"/>
      <c r="J223" s="798"/>
      <c r="K223" s="800"/>
      <c r="L223" s="835"/>
      <c r="M223" s="835"/>
      <c r="N223" s="830"/>
      <c r="O223" s="830"/>
      <c r="P223" s="830"/>
      <c r="Q223" s="830"/>
      <c r="R223" s="830"/>
      <c r="S223" s="830"/>
      <c r="T223" s="830"/>
      <c r="U223" s="830"/>
      <c r="V223" s="830"/>
      <c r="W223" s="830"/>
      <c r="X223" s="830"/>
      <c r="Y223" s="830"/>
      <c r="Z223" s="830"/>
      <c r="AA223" s="835"/>
      <c r="AB223" s="835"/>
      <c r="AC223" s="835"/>
      <c r="AD223" s="835"/>
      <c r="AE223" s="835"/>
      <c r="AF223" s="835"/>
      <c r="AG223" s="835"/>
      <c r="AH223" s="835"/>
      <c r="AI223" s="835"/>
      <c r="AJ223" s="835"/>
      <c r="AK223" s="835"/>
      <c r="AL223" s="835"/>
      <c r="AM223" s="835"/>
      <c r="AN223" s="835"/>
      <c r="AO223" s="835"/>
      <c r="AP223" s="835"/>
      <c r="AQ223" s="835"/>
      <c r="AR223" s="835"/>
      <c r="AS223" s="835"/>
      <c r="AT223" s="835"/>
      <c r="AU223" s="835"/>
      <c r="AV223" s="835"/>
      <c r="AW223" s="835"/>
      <c r="AX223" s="835"/>
      <c r="AY223" s="835"/>
      <c r="AZ223" s="835"/>
      <c r="BA223" s="835"/>
      <c r="BB223" s="835"/>
      <c r="BC223" s="835"/>
      <c r="BD223" s="835"/>
      <c r="BE223" s="835"/>
      <c r="BF223" s="835"/>
      <c r="BG223" s="835"/>
      <c r="BH223" s="835"/>
      <c r="BI223" s="835"/>
      <c r="BJ223" s="835"/>
      <c r="BK223" s="835"/>
      <c r="BL223" s="835"/>
      <c r="BM223" s="835"/>
      <c r="BN223" s="835"/>
      <c r="BO223" s="835"/>
      <c r="BP223" s="835"/>
      <c r="BQ223" s="835"/>
      <c r="BR223" s="835"/>
      <c r="BS223" s="835"/>
      <c r="BT223" s="835"/>
      <c r="BU223" s="835"/>
      <c r="BV223" s="835"/>
      <c r="BW223" s="835"/>
      <c r="BX223" s="835"/>
      <c r="BY223" s="835"/>
      <c r="BZ223" s="835"/>
      <c r="CA223" s="835"/>
      <c r="CB223" s="835"/>
    </row>
    <row r="224" spans="1:80" x14ac:dyDescent="0.25">
      <c r="A224" s="860"/>
      <c r="B224" s="839">
        <v>574</v>
      </c>
      <c r="C224" s="843"/>
      <c r="D224" s="809" t="s">
        <v>700</v>
      </c>
      <c r="E224" s="829"/>
      <c r="F224" s="798"/>
      <c r="G224" s="798"/>
      <c r="H224" s="798"/>
      <c r="I224" s="798"/>
      <c r="J224" s="798"/>
      <c r="K224" s="800"/>
      <c r="L224" s="835"/>
      <c r="M224" s="835"/>
      <c r="N224" s="830"/>
      <c r="O224" s="830"/>
      <c r="P224" s="830"/>
      <c r="Q224" s="830"/>
      <c r="R224" s="830"/>
      <c r="S224" s="830"/>
      <c r="T224" s="830"/>
      <c r="U224" s="830"/>
      <c r="V224" s="830"/>
      <c r="W224" s="830"/>
      <c r="X224" s="830"/>
      <c r="Y224" s="830"/>
      <c r="Z224" s="830"/>
      <c r="AA224" s="835"/>
      <c r="AB224" s="835"/>
      <c r="AC224" s="835"/>
      <c r="AD224" s="835"/>
      <c r="AE224" s="835"/>
      <c r="AF224" s="835"/>
      <c r="AG224" s="835"/>
      <c r="AH224" s="835"/>
      <c r="AI224" s="835"/>
      <c r="AJ224" s="835"/>
      <c r="AK224" s="835"/>
      <c r="AL224" s="835"/>
      <c r="AM224" s="835"/>
      <c r="AN224" s="835"/>
      <c r="AO224" s="835"/>
      <c r="AP224" s="835"/>
      <c r="AQ224" s="835"/>
      <c r="AR224" s="835"/>
      <c r="AS224" s="835"/>
      <c r="AT224" s="835"/>
      <c r="AU224" s="835"/>
      <c r="AV224" s="835"/>
      <c r="AW224" s="835"/>
      <c r="AX224" s="835"/>
      <c r="AY224" s="835"/>
      <c r="AZ224" s="835"/>
      <c r="BA224" s="835"/>
      <c r="BB224" s="835"/>
      <c r="BC224" s="835"/>
      <c r="BD224" s="835"/>
      <c r="BE224" s="835"/>
      <c r="BF224" s="835"/>
      <c r="BG224" s="835"/>
      <c r="BH224" s="835"/>
      <c r="BI224" s="835"/>
      <c r="BJ224" s="835"/>
      <c r="BK224" s="835"/>
      <c r="BL224" s="835"/>
      <c r="BM224" s="835"/>
      <c r="BN224" s="835"/>
      <c r="BO224" s="835"/>
      <c r="BP224" s="835"/>
      <c r="BQ224" s="835"/>
      <c r="BR224" s="835"/>
      <c r="BS224" s="835"/>
      <c r="BT224" s="835"/>
      <c r="BU224" s="835"/>
      <c r="BV224" s="835"/>
      <c r="BW224" s="835"/>
      <c r="BX224" s="835"/>
      <c r="BY224" s="835"/>
      <c r="BZ224" s="835"/>
      <c r="CA224" s="835"/>
      <c r="CB224" s="835"/>
    </row>
    <row r="225" spans="1:80" x14ac:dyDescent="0.25">
      <c r="A225" s="787">
        <v>575</v>
      </c>
      <c r="B225" s="859">
        <v>575</v>
      </c>
      <c r="C225" s="859" t="s">
        <v>641</v>
      </c>
      <c r="D225" s="859" t="s">
        <v>742</v>
      </c>
      <c r="E225" s="829">
        <v>0</v>
      </c>
      <c r="F225" s="798">
        <v>0</v>
      </c>
      <c r="G225" s="798">
        <v>0</v>
      </c>
      <c r="H225" s="798">
        <v>0</v>
      </c>
      <c r="I225" s="798">
        <v>0</v>
      </c>
      <c r="J225" s="798">
        <v>27196</v>
      </c>
      <c r="K225" s="800">
        <v>0</v>
      </c>
      <c r="L225" s="835">
        <v>528511</v>
      </c>
      <c r="M225" s="835">
        <v>0</v>
      </c>
      <c r="N225" s="830">
        <v>0</v>
      </c>
      <c r="O225" s="830">
        <v>0</v>
      </c>
      <c r="P225" s="830">
        <v>0</v>
      </c>
      <c r="Q225" s="830">
        <v>0</v>
      </c>
      <c r="R225" s="830">
        <v>0</v>
      </c>
      <c r="S225" s="830">
        <v>0</v>
      </c>
      <c r="T225" s="830">
        <v>0</v>
      </c>
      <c r="U225" s="830">
        <v>116373</v>
      </c>
      <c r="V225" s="830">
        <v>0</v>
      </c>
      <c r="W225" s="830">
        <v>0</v>
      </c>
      <c r="X225" s="830">
        <v>0</v>
      </c>
      <c r="Y225" s="830">
        <v>0</v>
      </c>
      <c r="Z225" s="830">
        <v>0</v>
      </c>
      <c r="AA225" s="835">
        <v>0</v>
      </c>
      <c r="AB225" s="835">
        <v>0</v>
      </c>
      <c r="AC225" s="835">
        <v>0</v>
      </c>
      <c r="AD225" s="835">
        <v>0</v>
      </c>
      <c r="AE225" s="835">
        <v>0</v>
      </c>
      <c r="AF225" s="835">
        <v>0</v>
      </c>
      <c r="AG225" s="835">
        <v>0</v>
      </c>
      <c r="AH225" s="835">
        <v>0</v>
      </c>
      <c r="AI225" s="835">
        <v>0</v>
      </c>
      <c r="AJ225" s="835">
        <v>1550</v>
      </c>
      <c r="AK225" s="835">
        <v>0</v>
      </c>
      <c r="AL225" s="835">
        <v>0</v>
      </c>
      <c r="AM225" s="835">
        <v>0</v>
      </c>
      <c r="AN225" s="835">
        <v>1066410</v>
      </c>
      <c r="AO225" s="835">
        <v>0</v>
      </c>
      <c r="AP225" s="835">
        <v>0</v>
      </c>
      <c r="AQ225" s="835">
        <v>0</v>
      </c>
      <c r="AR225" s="835">
        <v>0</v>
      </c>
      <c r="AS225" s="835">
        <v>0</v>
      </c>
      <c r="AT225" s="835">
        <v>0</v>
      </c>
      <c r="AU225" s="835">
        <v>0</v>
      </c>
      <c r="AV225" s="835">
        <v>0</v>
      </c>
      <c r="AW225" s="835">
        <v>0</v>
      </c>
      <c r="AX225" s="835">
        <v>0</v>
      </c>
      <c r="AY225" s="835">
        <v>0</v>
      </c>
      <c r="AZ225" s="835">
        <v>0</v>
      </c>
      <c r="BA225" s="835">
        <v>50000</v>
      </c>
      <c r="BB225" s="835">
        <v>0</v>
      </c>
      <c r="BC225" s="835">
        <v>0</v>
      </c>
      <c r="BD225" s="835">
        <v>0</v>
      </c>
      <c r="BE225" s="835">
        <v>0</v>
      </c>
      <c r="BF225" s="835">
        <v>0</v>
      </c>
      <c r="BG225" s="835">
        <v>0</v>
      </c>
      <c r="BH225" s="835">
        <v>0</v>
      </c>
      <c r="BI225" s="835">
        <v>0</v>
      </c>
      <c r="BJ225" s="835">
        <v>0</v>
      </c>
      <c r="BK225" s="835">
        <v>0</v>
      </c>
      <c r="BL225" s="835">
        <v>0</v>
      </c>
      <c r="BM225" s="835">
        <v>0</v>
      </c>
      <c r="BN225" s="835">
        <v>0</v>
      </c>
      <c r="BO225" s="835">
        <v>56438</v>
      </c>
      <c r="BP225" s="835">
        <v>0</v>
      </c>
      <c r="BQ225" s="835">
        <v>0</v>
      </c>
      <c r="BR225" s="835">
        <v>0</v>
      </c>
      <c r="BS225" s="835">
        <v>0</v>
      </c>
      <c r="BT225" s="835">
        <v>0</v>
      </c>
      <c r="BU225" s="835">
        <v>0</v>
      </c>
      <c r="BV225" s="835">
        <v>0</v>
      </c>
      <c r="BW225" s="835">
        <v>0</v>
      </c>
      <c r="BX225" s="835">
        <v>2189</v>
      </c>
      <c r="BY225" s="835">
        <v>0</v>
      </c>
      <c r="BZ225" s="835">
        <v>0</v>
      </c>
      <c r="CA225" s="835">
        <v>0</v>
      </c>
      <c r="CB225" s="835">
        <v>0</v>
      </c>
    </row>
    <row r="226" spans="1:80" s="388" customFormat="1" x14ac:dyDescent="0.25">
      <c r="A226" s="787">
        <v>576</v>
      </c>
      <c r="B226" s="859">
        <v>576</v>
      </c>
      <c r="C226" s="859" t="s">
        <v>642</v>
      </c>
      <c r="D226" s="859" t="s">
        <v>743</v>
      </c>
      <c r="E226" s="829">
        <v>0</v>
      </c>
      <c r="F226" s="798">
        <v>0</v>
      </c>
      <c r="G226" s="798">
        <v>0</v>
      </c>
      <c r="H226" s="798">
        <v>440000</v>
      </c>
      <c r="I226" s="798">
        <v>0</v>
      </c>
      <c r="J226" s="798">
        <v>0</v>
      </c>
      <c r="K226" s="800">
        <v>4950</v>
      </c>
      <c r="L226" s="835">
        <v>0</v>
      </c>
      <c r="M226" s="835">
        <v>0</v>
      </c>
      <c r="N226" s="830">
        <v>0</v>
      </c>
      <c r="O226" s="830">
        <v>0</v>
      </c>
      <c r="P226" s="830">
        <v>0</v>
      </c>
      <c r="Q226" s="830">
        <v>0</v>
      </c>
      <c r="R226" s="830">
        <v>0</v>
      </c>
      <c r="S226" s="830">
        <v>0</v>
      </c>
      <c r="T226" s="830">
        <v>60000</v>
      </c>
      <c r="U226" s="830">
        <v>0</v>
      </c>
      <c r="V226" s="830">
        <v>0</v>
      </c>
      <c r="W226" s="830">
        <v>0</v>
      </c>
      <c r="X226" s="830">
        <v>0</v>
      </c>
      <c r="Y226" s="830">
        <v>0</v>
      </c>
      <c r="Z226" s="830">
        <v>0</v>
      </c>
      <c r="AA226" s="835">
        <v>30714</v>
      </c>
      <c r="AB226" s="835">
        <v>0</v>
      </c>
      <c r="AC226" s="835">
        <v>0</v>
      </c>
      <c r="AD226" s="835">
        <v>41451</v>
      </c>
      <c r="AE226" s="835">
        <v>0</v>
      </c>
      <c r="AF226" s="835">
        <v>54477</v>
      </c>
      <c r="AG226" s="835">
        <v>0</v>
      </c>
      <c r="AH226" s="835">
        <v>0</v>
      </c>
      <c r="AI226" s="835">
        <v>0</v>
      </c>
      <c r="AJ226" s="835">
        <v>0</v>
      </c>
      <c r="AK226" s="835">
        <v>0</v>
      </c>
      <c r="AL226" s="835">
        <v>19900</v>
      </c>
      <c r="AM226" s="835">
        <v>0</v>
      </c>
      <c r="AN226" s="835">
        <v>0</v>
      </c>
      <c r="AO226" s="835">
        <v>0</v>
      </c>
      <c r="AP226" s="835">
        <v>0</v>
      </c>
      <c r="AQ226" s="835">
        <v>0</v>
      </c>
      <c r="AR226" s="835">
        <v>3132693</v>
      </c>
      <c r="AS226" s="835">
        <v>0</v>
      </c>
      <c r="AT226" s="835">
        <v>0</v>
      </c>
      <c r="AU226" s="835">
        <v>0</v>
      </c>
      <c r="AV226" s="835">
        <v>1000000</v>
      </c>
      <c r="AW226" s="835">
        <v>36370</v>
      </c>
      <c r="AX226" s="835">
        <v>0</v>
      </c>
      <c r="AY226" s="835">
        <v>1294535</v>
      </c>
      <c r="AZ226" s="835">
        <v>0</v>
      </c>
      <c r="BA226" s="835">
        <v>0</v>
      </c>
      <c r="BB226" s="835">
        <v>0</v>
      </c>
      <c r="BC226" s="835">
        <v>0</v>
      </c>
      <c r="BD226" s="835">
        <v>0</v>
      </c>
      <c r="BE226" s="835">
        <v>0</v>
      </c>
      <c r="BF226" s="835">
        <v>0</v>
      </c>
      <c r="BG226" s="835">
        <v>0</v>
      </c>
      <c r="BH226" s="835">
        <v>0</v>
      </c>
      <c r="BI226" s="835">
        <v>0</v>
      </c>
      <c r="BJ226" s="835">
        <v>0</v>
      </c>
      <c r="BK226" s="835">
        <v>11329</v>
      </c>
      <c r="BL226" s="835">
        <v>0</v>
      </c>
      <c r="BM226" s="835">
        <v>0</v>
      </c>
      <c r="BN226" s="835">
        <v>0</v>
      </c>
      <c r="BO226" s="835">
        <v>0</v>
      </c>
      <c r="BP226" s="835">
        <v>89496</v>
      </c>
      <c r="BQ226" s="835">
        <v>0</v>
      </c>
      <c r="BR226" s="835">
        <v>0</v>
      </c>
      <c r="BS226" s="835">
        <v>0</v>
      </c>
      <c r="BT226" s="835">
        <v>0</v>
      </c>
      <c r="BU226" s="835">
        <v>80000</v>
      </c>
      <c r="BV226" s="835">
        <v>0</v>
      </c>
      <c r="BW226" s="835">
        <v>0</v>
      </c>
      <c r="BX226" s="835">
        <v>0</v>
      </c>
      <c r="BY226" s="835">
        <v>0</v>
      </c>
      <c r="BZ226" s="835">
        <v>0</v>
      </c>
      <c r="CA226" s="835">
        <v>0</v>
      </c>
      <c r="CB226" s="835">
        <v>0</v>
      </c>
    </row>
    <row r="227" spans="1:80" x14ac:dyDescent="0.25">
      <c r="A227" s="824">
        <v>577</v>
      </c>
      <c r="B227" s="866">
        <v>577</v>
      </c>
      <c r="C227" s="866" t="s">
        <v>744</v>
      </c>
      <c r="D227" s="866" t="s">
        <v>745</v>
      </c>
      <c r="E227" s="780">
        <v>2</v>
      </c>
      <c r="F227" s="819">
        <v>2</v>
      </c>
      <c r="G227" s="819">
        <v>2</v>
      </c>
      <c r="H227" s="819">
        <v>2</v>
      </c>
      <c r="I227" s="819">
        <v>2</v>
      </c>
      <c r="J227" s="819">
        <v>2</v>
      </c>
      <c r="K227" s="817">
        <v>2</v>
      </c>
      <c r="L227" s="818">
        <v>2</v>
      </c>
      <c r="M227" s="818">
        <v>2</v>
      </c>
      <c r="N227" s="779">
        <v>2</v>
      </c>
      <c r="O227" s="779">
        <v>2</v>
      </c>
      <c r="P227" s="779">
        <v>0</v>
      </c>
      <c r="Q227" s="779">
        <v>2</v>
      </c>
      <c r="R227" s="779">
        <v>2</v>
      </c>
      <c r="S227" s="779">
        <v>2</v>
      </c>
      <c r="T227" s="779">
        <v>2</v>
      </c>
      <c r="U227" s="779">
        <v>2</v>
      </c>
      <c r="V227" s="779">
        <v>2</v>
      </c>
      <c r="W227" s="779">
        <v>2</v>
      </c>
      <c r="X227" s="779">
        <v>2</v>
      </c>
      <c r="Y227" s="779">
        <v>2</v>
      </c>
      <c r="Z227" s="779">
        <v>2</v>
      </c>
      <c r="AA227" s="818">
        <v>2</v>
      </c>
      <c r="AB227" s="818">
        <v>1</v>
      </c>
      <c r="AC227" s="818">
        <v>0</v>
      </c>
      <c r="AD227" s="818">
        <v>0</v>
      </c>
      <c r="AE227" s="818">
        <v>2</v>
      </c>
      <c r="AF227" s="818">
        <v>2</v>
      </c>
      <c r="AG227" s="818">
        <v>0</v>
      </c>
      <c r="AH227" s="818">
        <v>0</v>
      </c>
      <c r="AI227" s="818">
        <v>2</v>
      </c>
      <c r="AJ227" s="818">
        <v>2</v>
      </c>
      <c r="AK227" s="818">
        <v>2</v>
      </c>
      <c r="AL227" s="818">
        <v>2</v>
      </c>
      <c r="AM227" s="818">
        <v>2</v>
      </c>
      <c r="AN227" s="818">
        <v>2</v>
      </c>
      <c r="AO227" s="818">
        <v>2</v>
      </c>
      <c r="AP227" s="818">
        <v>2</v>
      </c>
      <c r="AQ227" s="818">
        <v>2</v>
      </c>
      <c r="AR227" s="818">
        <v>2</v>
      </c>
      <c r="AS227" s="818">
        <v>2</v>
      </c>
      <c r="AT227" s="818">
        <v>2</v>
      </c>
      <c r="AU227" s="818">
        <v>2</v>
      </c>
      <c r="AV227" s="818">
        <v>2</v>
      </c>
      <c r="AW227" s="818">
        <v>2</v>
      </c>
      <c r="AX227" s="818">
        <v>2</v>
      </c>
      <c r="AY227" s="818">
        <v>2</v>
      </c>
      <c r="AZ227" s="818">
        <v>2</v>
      </c>
      <c r="BA227" s="818">
        <v>2</v>
      </c>
      <c r="BB227" s="818">
        <v>2</v>
      </c>
      <c r="BC227" s="818">
        <v>2</v>
      </c>
      <c r="BD227" s="818">
        <v>2</v>
      </c>
      <c r="BE227" s="818">
        <v>2</v>
      </c>
      <c r="BF227" s="818">
        <v>2</v>
      </c>
      <c r="BG227" s="818">
        <v>2</v>
      </c>
      <c r="BH227" s="818">
        <v>2</v>
      </c>
      <c r="BI227" s="818">
        <v>2</v>
      </c>
      <c r="BJ227" s="818">
        <v>2</v>
      </c>
      <c r="BK227" s="818">
        <v>2</v>
      </c>
      <c r="BL227" s="818">
        <v>2</v>
      </c>
      <c r="BM227" s="818">
        <v>2</v>
      </c>
      <c r="BN227" s="818">
        <v>2</v>
      </c>
      <c r="BO227" s="818">
        <v>2</v>
      </c>
      <c r="BP227" s="818">
        <v>2</v>
      </c>
      <c r="BQ227" s="818">
        <v>2</v>
      </c>
      <c r="BR227" s="818">
        <v>2</v>
      </c>
      <c r="BS227" s="818">
        <v>2</v>
      </c>
      <c r="BT227" s="818">
        <v>2</v>
      </c>
      <c r="BU227" s="818">
        <v>2</v>
      </c>
      <c r="BV227" s="818">
        <v>2</v>
      </c>
      <c r="BW227" s="818">
        <v>2</v>
      </c>
      <c r="BX227" s="818">
        <v>2</v>
      </c>
      <c r="BY227" s="818">
        <v>2</v>
      </c>
      <c r="BZ227" s="818">
        <v>0</v>
      </c>
      <c r="CA227" s="818">
        <v>2</v>
      </c>
      <c r="CB227" s="818">
        <v>2</v>
      </c>
    </row>
    <row r="228" spans="1:80" x14ac:dyDescent="0.25">
      <c r="A228" s="787">
        <v>578</v>
      </c>
      <c r="B228" s="859">
        <v>578</v>
      </c>
      <c r="C228" s="859" t="s">
        <v>746</v>
      </c>
      <c r="D228" s="859" t="s">
        <v>747</v>
      </c>
      <c r="E228" s="829">
        <v>0</v>
      </c>
      <c r="F228" s="798">
        <v>0</v>
      </c>
      <c r="G228" s="798">
        <v>0</v>
      </c>
      <c r="H228" s="798">
        <v>0</v>
      </c>
      <c r="I228" s="798">
        <v>0</v>
      </c>
      <c r="J228" s="798">
        <v>0</v>
      </c>
      <c r="K228" s="800">
        <v>0</v>
      </c>
      <c r="L228" s="835">
        <v>528511</v>
      </c>
      <c r="M228" s="835">
        <v>0</v>
      </c>
      <c r="N228" s="830">
        <v>0</v>
      </c>
      <c r="O228" s="830">
        <v>0</v>
      </c>
      <c r="P228" s="830">
        <v>0</v>
      </c>
      <c r="Q228" s="830">
        <v>0</v>
      </c>
      <c r="R228" s="830">
        <v>0</v>
      </c>
      <c r="S228" s="830">
        <v>0</v>
      </c>
      <c r="T228" s="830">
        <v>0</v>
      </c>
      <c r="U228" s="830">
        <v>0</v>
      </c>
      <c r="V228" s="830">
        <v>0</v>
      </c>
      <c r="W228" s="830">
        <v>0</v>
      </c>
      <c r="X228" s="830">
        <v>0</v>
      </c>
      <c r="Y228" s="830">
        <v>0</v>
      </c>
      <c r="Z228" s="830">
        <v>0</v>
      </c>
      <c r="AA228" s="835">
        <v>0</v>
      </c>
      <c r="AB228" s="835">
        <v>212975</v>
      </c>
      <c r="AC228" s="835">
        <v>0</v>
      </c>
      <c r="AD228" s="835">
        <v>0</v>
      </c>
      <c r="AE228" s="835">
        <v>0</v>
      </c>
      <c r="AF228" s="835">
        <v>129986</v>
      </c>
      <c r="AG228" s="835">
        <v>0</v>
      </c>
      <c r="AH228" s="835">
        <v>0</v>
      </c>
      <c r="AI228" s="835">
        <v>0</v>
      </c>
      <c r="AJ228" s="835">
        <v>0</v>
      </c>
      <c r="AK228" s="835">
        <v>0</v>
      </c>
      <c r="AL228" s="835">
        <v>0</v>
      </c>
      <c r="AM228" s="835">
        <v>0</v>
      </c>
      <c r="AN228" s="835">
        <v>0</v>
      </c>
      <c r="AO228" s="835">
        <v>0</v>
      </c>
      <c r="AP228" s="835">
        <v>0</v>
      </c>
      <c r="AQ228" s="835">
        <v>0</v>
      </c>
      <c r="AR228" s="835">
        <v>0</v>
      </c>
      <c r="AS228" s="835">
        <v>0</v>
      </c>
      <c r="AT228" s="835">
        <v>0</v>
      </c>
      <c r="AU228" s="835">
        <v>0</v>
      </c>
      <c r="AV228" s="835">
        <v>0</v>
      </c>
      <c r="AW228" s="835">
        <v>0</v>
      </c>
      <c r="AX228" s="835">
        <v>0</v>
      </c>
      <c r="AY228" s="835">
        <v>0</v>
      </c>
      <c r="AZ228" s="835">
        <v>0</v>
      </c>
      <c r="BA228" s="835">
        <v>0</v>
      </c>
      <c r="BB228" s="835">
        <v>0</v>
      </c>
      <c r="BC228" s="835">
        <v>0</v>
      </c>
      <c r="BD228" s="835">
        <v>0</v>
      </c>
      <c r="BE228" s="835">
        <v>0</v>
      </c>
      <c r="BF228" s="835">
        <v>0</v>
      </c>
      <c r="BG228" s="835">
        <v>0</v>
      </c>
      <c r="BH228" s="835">
        <v>0</v>
      </c>
      <c r="BI228" s="835">
        <v>0</v>
      </c>
      <c r="BJ228" s="835">
        <v>0</v>
      </c>
      <c r="BK228" s="835">
        <v>0</v>
      </c>
      <c r="BL228" s="835">
        <v>0</v>
      </c>
      <c r="BM228" s="835">
        <v>0</v>
      </c>
      <c r="BN228" s="835">
        <v>0</v>
      </c>
      <c r="BO228" s="835">
        <v>0</v>
      </c>
      <c r="BP228" s="835">
        <v>0</v>
      </c>
      <c r="BQ228" s="835">
        <v>0</v>
      </c>
      <c r="BR228" s="835">
        <v>0</v>
      </c>
      <c r="BS228" s="835">
        <v>0</v>
      </c>
      <c r="BT228" s="835">
        <v>0</v>
      </c>
      <c r="BU228" s="835">
        <v>0</v>
      </c>
      <c r="BV228" s="835">
        <v>0</v>
      </c>
      <c r="BW228" s="835">
        <v>0</v>
      </c>
      <c r="BX228" s="835">
        <v>2189</v>
      </c>
      <c r="BY228" s="835">
        <v>0</v>
      </c>
      <c r="BZ228" s="835">
        <v>0</v>
      </c>
      <c r="CA228" s="835">
        <v>0</v>
      </c>
      <c r="CB228" s="835">
        <v>0</v>
      </c>
    </row>
    <row r="229" spans="1:80" x14ac:dyDescent="0.25">
      <c r="A229" s="787">
        <v>579</v>
      </c>
      <c r="B229" s="859">
        <v>579</v>
      </c>
      <c r="C229" s="859" t="s">
        <v>748</v>
      </c>
      <c r="D229" s="859" t="s">
        <v>749</v>
      </c>
      <c r="E229" s="829">
        <v>0</v>
      </c>
      <c r="F229" s="798">
        <v>0</v>
      </c>
      <c r="G229" s="798">
        <v>0</v>
      </c>
      <c r="H229" s="798">
        <v>0</v>
      </c>
      <c r="I229" s="798">
        <v>0</v>
      </c>
      <c r="J229" s="798">
        <v>0</v>
      </c>
      <c r="K229" s="800">
        <v>0</v>
      </c>
      <c r="L229" s="835">
        <v>0</v>
      </c>
      <c r="M229" s="835">
        <v>0</v>
      </c>
      <c r="N229" s="830">
        <v>0</v>
      </c>
      <c r="O229" s="830">
        <v>0</v>
      </c>
      <c r="P229" s="830">
        <v>0</v>
      </c>
      <c r="Q229" s="830">
        <v>0</v>
      </c>
      <c r="R229" s="830">
        <v>0</v>
      </c>
      <c r="S229" s="830">
        <v>0</v>
      </c>
      <c r="T229" s="830">
        <v>0</v>
      </c>
      <c r="U229" s="830">
        <v>0</v>
      </c>
      <c r="V229" s="830">
        <v>0</v>
      </c>
      <c r="W229" s="830">
        <v>0</v>
      </c>
      <c r="X229" s="830">
        <v>0</v>
      </c>
      <c r="Y229" s="830">
        <v>0</v>
      </c>
      <c r="Z229" s="830">
        <v>0</v>
      </c>
      <c r="AA229" s="835">
        <v>0</v>
      </c>
      <c r="AB229" s="835">
        <v>0</v>
      </c>
      <c r="AC229" s="835">
        <v>0</v>
      </c>
      <c r="AD229" s="835">
        <v>0</v>
      </c>
      <c r="AE229" s="835">
        <v>0</v>
      </c>
      <c r="AF229" s="835">
        <v>129986</v>
      </c>
      <c r="AG229" s="835">
        <v>0</v>
      </c>
      <c r="AH229" s="835">
        <v>0</v>
      </c>
      <c r="AI229" s="835">
        <v>0</v>
      </c>
      <c r="AJ229" s="835">
        <v>0</v>
      </c>
      <c r="AK229" s="835">
        <v>0</v>
      </c>
      <c r="AL229" s="835">
        <v>0</v>
      </c>
      <c r="AM229" s="835">
        <v>0</v>
      </c>
      <c r="AN229" s="835">
        <v>0</v>
      </c>
      <c r="AO229" s="835">
        <v>0</v>
      </c>
      <c r="AP229" s="835">
        <v>0</v>
      </c>
      <c r="AQ229" s="835">
        <v>0</v>
      </c>
      <c r="AR229" s="835">
        <v>0</v>
      </c>
      <c r="AS229" s="835">
        <v>0</v>
      </c>
      <c r="AT229" s="835">
        <v>0</v>
      </c>
      <c r="AU229" s="835">
        <v>0</v>
      </c>
      <c r="AV229" s="835">
        <v>0</v>
      </c>
      <c r="AW229" s="835">
        <v>0</v>
      </c>
      <c r="AX229" s="835">
        <v>0</v>
      </c>
      <c r="AY229" s="835">
        <v>0</v>
      </c>
      <c r="AZ229" s="835">
        <v>0</v>
      </c>
      <c r="BA229" s="835">
        <v>0</v>
      </c>
      <c r="BB229" s="835">
        <v>0</v>
      </c>
      <c r="BC229" s="835">
        <v>0</v>
      </c>
      <c r="BD229" s="835">
        <v>0</v>
      </c>
      <c r="BE229" s="835">
        <v>0</v>
      </c>
      <c r="BF229" s="835">
        <v>0</v>
      </c>
      <c r="BG229" s="835">
        <v>0</v>
      </c>
      <c r="BH229" s="835">
        <v>0</v>
      </c>
      <c r="BI229" s="835">
        <v>0</v>
      </c>
      <c r="BJ229" s="835">
        <v>0</v>
      </c>
      <c r="BK229" s="835">
        <v>0</v>
      </c>
      <c r="BL229" s="835">
        <v>0</v>
      </c>
      <c r="BM229" s="835">
        <v>0</v>
      </c>
      <c r="BN229" s="835">
        <v>0</v>
      </c>
      <c r="BO229" s="835">
        <v>0</v>
      </c>
      <c r="BP229" s="835">
        <v>0</v>
      </c>
      <c r="BQ229" s="835">
        <v>0</v>
      </c>
      <c r="BR229" s="835">
        <v>0</v>
      </c>
      <c r="BS229" s="835">
        <v>0</v>
      </c>
      <c r="BT229" s="835">
        <v>0</v>
      </c>
      <c r="BU229" s="835">
        <v>0</v>
      </c>
      <c r="BV229" s="835">
        <v>0</v>
      </c>
      <c r="BW229" s="835">
        <v>0</v>
      </c>
      <c r="BX229" s="835">
        <v>0</v>
      </c>
      <c r="BY229" s="835">
        <v>0</v>
      </c>
      <c r="BZ229" s="835">
        <v>0</v>
      </c>
      <c r="CA229" s="835">
        <v>0</v>
      </c>
      <c r="CB229" s="835">
        <v>0</v>
      </c>
    </row>
    <row r="230" spans="1:80" x14ac:dyDescent="0.25">
      <c r="A230" s="787">
        <v>580</v>
      </c>
      <c r="B230" s="859">
        <v>580</v>
      </c>
      <c r="C230" s="859" t="s">
        <v>750</v>
      </c>
      <c r="D230" s="859" t="s">
        <v>751</v>
      </c>
      <c r="E230" s="829">
        <v>0</v>
      </c>
      <c r="F230" s="798">
        <v>0</v>
      </c>
      <c r="G230" s="798">
        <v>0</v>
      </c>
      <c r="H230" s="798">
        <v>0</v>
      </c>
      <c r="I230" s="798">
        <v>0</v>
      </c>
      <c r="J230" s="798">
        <v>0</v>
      </c>
      <c r="K230" s="800">
        <v>0</v>
      </c>
      <c r="L230" s="835">
        <v>0</v>
      </c>
      <c r="M230" s="835">
        <v>0</v>
      </c>
      <c r="N230" s="830">
        <v>0</v>
      </c>
      <c r="O230" s="830">
        <v>0</v>
      </c>
      <c r="P230" s="830">
        <v>0</v>
      </c>
      <c r="Q230" s="830">
        <v>0</v>
      </c>
      <c r="R230" s="830">
        <v>0</v>
      </c>
      <c r="S230" s="830">
        <v>0</v>
      </c>
      <c r="T230" s="830">
        <v>0</v>
      </c>
      <c r="U230" s="830">
        <v>0</v>
      </c>
      <c r="V230" s="830">
        <v>0</v>
      </c>
      <c r="W230" s="830">
        <v>0</v>
      </c>
      <c r="X230" s="830">
        <v>0</v>
      </c>
      <c r="Y230" s="830">
        <v>0</v>
      </c>
      <c r="Z230" s="830">
        <v>0</v>
      </c>
      <c r="AA230" s="835">
        <v>0</v>
      </c>
      <c r="AB230" s="835">
        <v>0</v>
      </c>
      <c r="AC230" s="835">
        <v>0</v>
      </c>
      <c r="AD230" s="835">
        <v>0</v>
      </c>
      <c r="AE230" s="835">
        <v>0</v>
      </c>
      <c r="AF230" s="835">
        <v>0</v>
      </c>
      <c r="AG230" s="835">
        <v>0</v>
      </c>
      <c r="AH230" s="835">
        <v>0</v>
      </c>
      <c r="AI230" s="835">
        <v>0</v>
      </c>
      <c r="AJ230" s="835">
        <v>0</v>
      </c>
      <c r="AK230" s="835">
        <v>0</v>
      </c>
      <c r="AL230" s="835">
        <v>0</v>
      </c>
      <c r="AM230" s="835">
        <v>0</v>
      </c>
      <c r="AN230" s="835">
        <v>0</v>
      </c>
      <c r="AO230" s="835">
        <v>0</v>
      </c>
      <c r="AP230" s="835">
        <v>0</v>
      </c>
      <c r="AQ230" s="835">
        <v>0</v>
      </c>
      <c r="AR230" s="835">
        <v>0</v>
      </c>
      <c r="AS230" s="835">
        <v>0</v>
      </c>
      <c r="AT230" s="835">
        <v>0</v>
      </c>
      <c r="AU230" s="835">
        <v>0</v>
      </c>
      <c r="AV230" s="835">
        <v>0</v>
      </c>
      <c r="AW230" s="835">
        <v>0</v>
      </c>
      <c r="AX230" s="835">
        <v>0</v>
      </c>
      <c r="AY230" s="835">
        <v>0</v>
      </c>
      <c r="AZ230" s="835">
        <v>0</v>
      </c>
      <c r="BA230" s="835">
        <v>0</v>
      </c>
      <c r="BB230" s="835">
        <v>0</v>
      </c>
      <c r="BC230" s="835">
        <v>0</v>
      </c>
      <c r="BD230" s="835">
        <v>0</v>
      </c>
      <c r="BE230" s="835">
        <v>0</v>
      </c>
      <c r="BF230" s="835">
        <v>0</v>
      </c>
      <c r="BG230" s="835">
        <v>0</v>
      </c>
      <c r="BH230" s="835">
        <v>0</v>
      </c>
      <c r="BI230" s="835">
        <v>0</v>
      </c>
      <c r="BJ230" s="835">
        <v>0</v>
      </c>
      <c r="BK230" s="835">
        <v>0</v>
      </c>
      <c r="BL230" s="835">
        <v>0</v>
      </c>
      <c r="BM230" s="835">
        <v>0</v>
      </c>
      <c r="BN230" s="835">
        <v>0</v>
      </c>
      <c r="BO230" s="835">
        <v>0</v>
      </c>
      <c r="BP230" s="835">
        <v>0</v>
      </c>
      <c r="BQ230" s="835">
        <v>0</v>
      </c>
      <c r="BR230" s="835">
        <v>0</v>
      </c>
      <c r="BS230" s="835">
        <v>0</v>
      </c>
      <c r="BT230" s="835">
        <v>0</v>
      </c>
      <c r="BU230" s="835">
        <v>0</v>
      </c>
      <c r="BV230" s="835">
        <v>0</v>
      </c>
      <c r="BW230" s="835">
        <v>0</v>
      </c>
      <c r="BX230" s="835">
        <v>0</v>
      </c>
      <c r="BY230" s="835">
        <v>0</v>
      </c>
      <c r="BZ230" s="835">
        <v>0</v>
      </c>
      <c r="CA230" s="835">
        <v>0</v>
      </c>
      <c r="CB230" s="835">
        <v>0</v>
      </c>
    </row>
    <row r="231" spans="1:80" x14ac:dyDescent="0.25">
      <c r="A231" s="787">
        <v>581</v>
      </c>
      <c r="B231" s="859">
        <v>581</v>
      </c>
      <c r="C231" s="859" t="s">
        <v>752</v>
      </c>
      <c r="D231" s="859" t="s">
        <v>753</v>
      </c>
      <c r="E231" s="829">
        <v>0</v>
      </c>
      <c r="F231" s="798">
        <v>0</v>
      </c>
      <c r="G231" s="798">
        <v>0</v>
      </c>
      <c r="H231" s="798">
        <v>0</v>
      </c>
      <c r="I231" s="798">
        <v>0</v>
      </c>
      <c r="J231" s="798">
        <v>0</v>
      </c>
      <c r="K231" s="800">
        <v>0</v>
      </c>
      <c r="L231" s="835">
        <v>0</v>
      </c>
      <c r="M231" s="835">
        <v>0</v>
      </c>
      <c r="N231" s="830">
        <v>0</v>
      </c>
      <c r="O231" s="830">
        <v>0</v>
      </c>
      <c r="P231" s="830">
        <v>0</v>
      </c>
      <c r="Q231" s="830">
        <v>0</v>
      </c>
      <c r="R231" s="830">
        <v>0</v>
      </c>
      <c r="S231" s="830">
        <v>0</v>
      </c>
      <c r="T231" s="830">
        <v>0</v>
      </c>
      <c r="U231" s="830">
        <v>0</v>
      </c>
      <c r="V231" s="830">
        <v>0</v>
      </c>
      <c r="W231" s="830">
        <v>0</v>
      </c>
      <c r="X231" s="830">
        <v>0</v>
      </c>
      <c r="Y231" s="830">
        <v>0</v>
      </c>
      <c r="Z231" s="830">
        <v>0</v>
      </c>
      <c r="AA231" s="835">
        <v>0</v>
      </c>
      <c r="AB231" s="835">
        <v>0</v>
      </c>
      <c r="AC231" s="835">
        <v>0</v>
      </c>
      <c r="AD231" s="835">
        <v>0</v>
      </c>
      <c r="AE231" s="835">
        <v>0</v>
      </c>
      <c r="AF231" s="835">
        <v>0</v>
      </c>
      <c r="AG231" s="835">
        <v>0</v>
      </c>
      <c r="AH231" s="835">
        <v>0</v>
      </c>
      <c r="AI231" s="835">
        <v>0</v>
      </c>
      <c r="AJ231" s="835">
        <v>0</v>
      </c>
      <c r="AK231" s="835">
        <v>0</v>
      </c>
      <c r="AL231" s="835">
        <v>0</v>
      </c>
      <c r="AM231" s="835">
        <v>0</v>
      </c>
      <c r="AN231" s="835">
        <v>0</v>
      </c>
      <c r="AO231" s="835">
        <v>0</v>
      </c>
      <c r="AP231" s="835">
        <v>0</v>
      </c>
      <c r="AQ231" s="835">
        <v>0</v>
      </c>
      <c r="AR231" s="835">
        <v>0</v>
      </c>
      <c r="AS231" s="835">
        <v>0</v>
      </c>
      <c r="AT231" s="835">
        <v>0</v>
      </c>
      <c r="AU231" s="835">
        <v>0</v>
      </c>
      <c r="AV231" s="835">
        <v>940056</v>
      </c>
      <c r="AW231" s="835">
        <v>0</v>
      </c>
      <c r="AX231" s="835">
        <v>0</v>
      </c>
      <c r="AY231" s="835">
        <v>0</v>
      </c>
      <c r="AZ231" s="835">
        <v>0</v>
      </c>
      <c r="BA231" s="835">
        <v>0</v>
      </c>
      <c r="BB231" s="835">
        <v>0</v>
      </c>
      <c r="BC231" s="835">
        <v>0</v>
      </c>
      <c r="BD231" s="835">
        <v>0</v>
      </c>
      <c r="BE231" s="835">
        <v>0</v>
      </c>
      <c r="BF231" s="835">
        <v>0</v>
      </c>
      <c r="BG231" s="835">
        <v>0</v>
      </c>
      <c r="BH231" s="835">
        <v>0</v>
      </c>
      <c r="BI231" s="835">
        <v>0</v>
      </c>
      <c r="BJ231" s="835">
        <v>0</v>
      </c>
      <c r="BK231" s="835">
        <v>0</v>
      </c>
      <c r="BL231" s="835">
        <v>0</v>
      </c>
      <c r="BM231" s="835">
        <v>0</v>
      </c>
      <c r="BN231" s="835">
        <v>0</v>
      </c>
      <c r="BO231" s="835">
        <v>0</v>
      </c>
      <c r="BP231" s="835">
        <v>0</v>
      </c>
      <c r="BQ231" s="835">
        <v>0</v>
      </c>
      <c r="BR231" s="835">
        <v>0</v>
      </c>
      <c r="BS231" s="835">
        <v>0</v>
      </c>
      <c r="BT231" s="835">
        <v>0</v>
      </c>
      <c r="BU231" s="835">
        <v>0</v>
      </c>
      <c r="BV231" s="835">
        <v>0</v>
      </c>
      <c r="BW231" s="835">
        <v>0</v>
      </c>
      <c r="BX231" s="835">
        <v>0</v>
      </c>
      <c r="BY231" s="835">
        <v>0</v>
      </c>
      <c r="BZ231" s="835">
        <v>0</v>
      </c>
      <c r="CA231" s="835">
        <v>0</v>
      </c>
      <c r="CB231" s="835">
        <v>0</v>
      </c>
    </row>
    <row r="232" spans="1:80" x14ac:dyDescent="0.25">
      <c r="A232" s="860"/>
      <c r="B232" s="859">
        <v>582</v>
      </c>
      <c r="C232" s="859" t="s">
        <v>754</v>
      </c>
      <c r="D232" s="859" t="s">
        <v>755</v>
      </c>
      <c r="E232" s="829"/>
      <c r="F232" s="798"/>
      <c r="G232" s="798"/>
      <c r="H232" s="798"/>
      <c r="I232" s="798"/>
      <c r="J232" s="798"/>
      <c r="K232" s="800"/>
      <c r="L232" s="835"/>
      <c r="M232" s="835"/>
      <c r="N232" s="830"/>
      <c r="O232" s="830"/>
      <c r="P232" s="830"/>
      <c r="Q232" s="830"/>
      <c r="R232" s="830"/>
      <c r="S232" s="830"/>
      <c r="T232" s="830"/>
      <c r="U232" s="830"/>
      <c r="V232" s="830"/>
      <c r="W232" s="830"/>
      <c r="X232" s="830"/>
      <c r="Y232" s="830"/>
      <c r="Z232" s="830"/>
      <c r="AA232" s="835"/>
      <c r="AB232" s="835"/>
      <c r="AC232" s="835"/>
      <c r="AD232" s="835"/>
      <c r="AE232" s="835"/>
      <c r="AF232" s="835"/>
      <c r="AG232" s="835"/>
      <c r="AH232" s="835"/>
      <c r="AI232" s="835"/>
      <c r="AJ232" s="835"/>
      <c r="AK232" s="835"/>
      <c r="AL232" s="835"/>
      <c r="AM232" s="835"/>
      <c r="AN232" s="835"/>
      <c r="AO232" s="835"/>
      <c r="AP232" s="835"/>
      <c r="AQ232" s="835"/>
      <c r="AR232" s="835"/>
      <c r="AS232" s="835"/>
      <c r="AT232" s="835"/>
      <c r="AU232" s="835"/>
      <c r="AV232" s="835"/>
      <c r="AW232" s="835"/>
      <c r="AX232" s="835"/>
      <c r="AY232" s="835"/>
      <c r="AZ232" s="835"/>
      <c r="BA232" s="835"/>
      <c r="BB232" s="835"/>
      <c r="BC232" s="835"/>
      <c r="BD232" s="835"/>
      <c r="BE232" s="835"/>
      <c r="BF232" s="835"/>
      <c r="BG232" s="835"/>
      <c r="BH232" s="835"/>
      <c r="BI232" s="835"/>
      <c r="BJ232" s="835"/>
      <c r="BK232" s="835"/>
      <c r="BL232" s="835"/>
      <c r="BM232" s="835"/>
      <c r="BN232" s="835"/>
      <c r="BO232" s="835"/>
      <c r="BP232" s="835"/>
      <c r="BQ232" s="835"/>
      <c r="BR232" s="835"/>
      <c r="BS232" s="835"/>
      <c r="BT232" s="835"/>
      <c r="BU232" s="835"/>
      <c r="BV232" s="835"/>
      <c r="BW232" s="835"/>
      <c r="BX232" s="835"/>
      <c r="BY232" s="835"/>
      <c r="BZ232" s="835"/>
      <c r="CA232" s="835"/>
      <c r="CB232" s="835"/>
    </row>
    <row r="233" spans="1:80" x14ac:dyDescent="0.25">
      <c r="A233" s="860"/>
      <c r="B233" s="859">
        <v>583</v>
      </c>
      <c r="C233" s="859" t="s">
        <v>756</v>
      </c>
      <c r="D233" s="859" t="s">
        <v>757</v>
      </c>
      <c r="E233" s="829"/>
      <c r="F233" s="798"/>
      <c r="G233" s="798"/>
      <c r="H233" s="798"/>
      <c r="I233" s="798"/>
      <c r="J233" s="798"/>
      <c r="K233" s="800"/>
      <c r="L233" s="835"/>
      <c r="M233" s="835"/>
      <c r="N233" s="830"/>
      <c r="O233" s="830"/>
      <c r="P233" s="830"/>
      <c r="Q233" s="830"/>
      <c r="R233" s="830"/>
      <c r="S233" s="830"/>
      <c r="T233" s="830"/>
      <c r="U233" s="830"/>
      <c r="V233" s="830"/>
      <c r="W233" s="830"/>
      <c r="X233" s="830"/>
      <c r="Y233" s="830"/>
      <c r="Z233" s="830"/>
      <c r="AA233" s="835"/>
      <c r="AB233" s="835"/>
      <c r="AC233" s="835"/>
      <c r="AD233" s="835"/>
      <c r="AE233" s="835"/>
      <c r="AF233" s="835"/>
      <c r="AG233" s="835"/>
      <c r="AH233" s="835"/>
      <c r="AI233" s="835"/>
      <c r="AJ233" s="835"/>
      <c r="AK233" s="835"/>
      <c r="AL233" s="835"/>
      <c r="AM233" s="835"/>
      <c r="AN233" s="835"/>
      <c r="AO233" s="835"/>
      <c r="AP233" s="835"/>
      <c r="AQ233" s="835"/>
      <c r="AR233" s="835"/>
      <c r="AS233" s="835"/>
      <c r="AT233" s="835"/>
      <c r="AU233" s="835"/>
      <c r="AV233" s="835"/>
      <c r="AW233" s="835"/>
      <c r="AX233" s="835"/>
      <c r="AY233" s="835"/>
      <c r="AZ233" s="835"/>
      <c r="BA233" s="835"/>
      <c r="BB233" s="835"/>
      <c r="BC233" s="835"/>
      <c r="BD233" s="835"/>
      <c r="BE233" s="835"/>
      <c r="BF233" s="835"/>
      <c r="BG233" s="835"/>
      <c r="BH233" s="835"/>
      <c r="BI233" s="835"/>
      <c r="BJ233" s="835"/>
      <c r="BK233" s="835"/>
      <c r="BL233" s="835"/>
      <c r="BM233" s="835"/>
      <c r="BN233" s="835"/>
      <c r="BO233" s="835"/>
      <c r="BP233" s="835"/>
      <c r="BQ233" s="835"/>
      <c r="BR233" s="835"/>
      <c r="BS233" s="835"/>
      <c r="BT233" s="835"/>
      <c r="BU233" s="835"/>
      <c r="BV233" s="835"/>
      <c r="BW233" s="835"/>
      <c r="BX233" s="835"/>
      <c r="BY233" s="835"/>
      <c r="BZ233" s="835"/>
      <c r="CA233" s="835"/>
      <c r="CB233" s="835"/>
    </row>
    <row r="234" spans="1:80" x14ac:dyDescent="0.25">
      <c r="A234" s="860"/>
      <c r="B234" s="859">
        <v>584</v>
      </c>
      <c r="C234" s="859" t="s">
        <v>758</v>
      </c>
      <c r="D234" s="859" t="s">
        <v>759</v>
      </c>
      <c r="E234" s="829"/>
      <c r="F234" s="798"/>
      <c r="G234" s="798"/>
      <c r="H234" s="798"/>
      <c r="I234" s="798"/>
      <c r="J234" s="798"/>
      <c r="K234" s="800"/>
      <c r="L234" s="835"/>
      <c r="M234" s="835"/>
      <c r="N234" s="830"/>
      <c r="O234" s="830"/>
      <c r="P234" s="830"/>
      <c r="Q234" s="830"/>
      <c r="R234" s="830"/>
      <c r="S234" s="830"/>
      <c r="T234" s="830"/>
      <c r="U234" s="830"/>
      <c r="V234" s="830"/>
      <c r="W234" s="830"/>
      <c r="X234" s="830"/>
      <c r="Y234" s="830"/>
      <c r="Z234" s="830"/>
      <c r="AA234" s="835"/>
      <c r="AB234" s="835"/>
      <c r="AC234" s="835"/>
      <c r="AD234" s="835"/>
      <c r="AE234" s="835"/>
      <c r="AF234" s="835"/>
      <c r="AG234" s="835"/>
      <c r="AH234" s="835"/>
      <c r="AI234" s="835"/>
      <c r="AJ234" s="835"/>
      <c r="AK234" s="835"/>
      <c r="AL234" s="835"/>
      <c r="AM234" s="835"/>
      <c r="AN234" s="835"/>
      <c r="AO234" s="835"/>
      <c r="AP234" s="835"/>
      <c r="AQ234" s="835"/>
      <c r="AR234" s="835"/>
      <c r="AS234" s="835"/>
      <c r="AT234" s="835"/>
      <c r="AU234" s="835"/>
      <c r="AV234" s="835"/>
      <c r="AW234" s="835"/>
      <c r="AX234" s="835"/>
      <c r="AY234" s="835"/>
      <c r="AZ234" s="835"/>
      <c r="BA234" s="835"/>
      <c r="BB234" s="835"/>
      <c r="BC234" s="835"/>
      <c r="BD234" s="835"/>
      <c r="BE234" s="835"/>
      <c r="BF234" s="835"/>
      <c r="BG234" s="835"/>
      <c r="BH234" s="835"/>
      <c r="BI234" s="835"/>
      <c r="BJ234" s="835"/>
      <c r="BK234" s="835"/>
      <c r="BL234" s="835"/>
      <c r="BM234" s="835"/>
      <c r="BN234" s="835"/>
      <c r="BO234" s="835"/>
      <c r="BP234" s="835"/>
      <c r="BQ234" s="835"/>
      <c r="BR234" s="835"/>
      <c r="BS234" s="835"/>
      <c r="BT234" s="835"/>
      <c r="BU234" s="835"/>
      <c r="BV234" s="835"/>
      <c r="BW234" s="835"/>
      <c r="BX234" s="835"/>
      <c r="BY234" s="835"/>
      <c r="BZ234" s="835"/>
      <c r="CA234" s="835"/>
      <c r="CB234" s="835"/>
    </row>
    <row r="235" spans="1:80" x14ac:dyDescent="0.25">
      <c r="A235" s="860"/>
      <c r="B235" s="859">
        <v>585</v>
      </c>
      <c r="C235" s="859" t="s">
        <v>760</v>
      </c>
      <c r="D235" s="859" t="s">
        <v>761</v>
      </c>
      <c r="E235" s="829"/>
      <c r="F235" s="798"/>
      <c r="G235" s="798"/>
      <c r="H235" s="798"/>
      <c r="I235" s="798"/>
      <c r="J235" s="798"/>
      <c r="K235" s="800"/>
      <c r="L235" s="835"/>
      <c r="M235" s="835"/>
      <c r="N235" s="830"/>
      <c r="O235" s="830"/>
      <c r="P235" s="830"/>
      <c r="Q235" s="830"/>
      <c r="R235" s="830"/>
      <c r="S235" s="830"/>
      <c r="T235" s="830"/>
      <c r="U235" s="830"/>
      <c r="V235" s="830"/>
      <c r="W235" s="830"/>
      <c r="X235" s="830"/>
      <c r="Y235" s="830"/>
      <c r="Z235" s="830"/>
      <c r="AA235" s="835"/>
      <c r="AB235" s="835"/>
      <c r="AC235" s="835"/>
      <c r="AD235" s="835"/>
      <c r="AE235" s="835"/>
      <c r="AF235" s="835"/>
      <c r="AG235" s="835"/>
      <c r="AH235" s="835"/>
      <c r="AI235" s="835"/>
      <c r="AJ235" s="835"/>
      <c r="AK235" s="835"/>
      <c r="AL235" s="835"/>
      <c r="AM235" s="835"/>
      <c r="AN235" s="835"/>
      <c r="AO235" s="835"/>
      <c r="AP235" s="835"/>
      <c r="AQ235" s="835"/>
      <c r="AR235" s="835"/>
      <c r="AS235" s="835"/>
      <c r="AT235" s="835"/>
      <c r="AU235" s="835"/>
      <c r="AV235" s="835"/>
      <c r="AW235" s="835"/>
      <c r="AX235" s="835"/>
      <c r="AY235" s="835"/>
      <c r="AZ235" s="835"/>
      <c r="BA235" s="835"/>
      <c r="BB235" s="835"/>
      <c r="BC235" s="835"/>
      <c r="BD235" s="835"/>
      <c r="BE235" s="835"/>
      <c r="BF235" s="835"/>
      <c r="BG235" s="835"/>
      <c r="BH235" s="835"/>
      <c r="BI235" s="835"/>
      <c r="BJ235" s="835"/>
      <c r="BK235" s="835"/>
      <c r="BL235" s="835"/>
      <c r="BM235" s="835"/>
      <c r="BN235" s="835"/>
      <c r="BO235" s="835"/>
      <c r="BP235" s="835"/>
      <c r="BQ235" s="835"/>
      <c r="BR235" s="835"/>
      <c r="BS235" s="835"/>
      <c r="BT235" s="835"/>
      <c r="BU235" s="835"/>
      <c r="BV235" s="835"/>
      <c r="BW235" s="835"/>
      <c r="BX235" s="835"/>
      <c r="BY235" s="835"/>
      <c r="BZ235" s="835"/>
      <c r="CA235" s="835"/>
      <c r="CB235" s="835"/>
    </row>
    <row r="236" spans="1:80" x14ac:dyDescent="0.25">
      <c r="A236" s="787">
        <v>586</v>
      </c>
      <c r="B236" s="859">
        <v>586</v>
      </c>
      <c r="C236" s="859" t="s">
        <v>762</v>
      </c>
      <c r="D236" s="859" t="s">
        <v>763</v>
      </c>
      <c r="E236" s="829">
        <v>0</v>
      </c>
      <c r="F236" s="798">
        <v>0</v>
      </c>
      <c r="G236" s="798">
        <v>0</v>
      </c>
      <c r="H236" s="798">
        <v>0</v>
      </c>
      <c r="I236" s="798">
        <v>0</v>
      </c>
      <c r="J236" s="798">
        <v>0</v>
      </c>
      <c r="K236" s="800">
        <v>0</v>
      </c>
      <c r="L236" s="835">
        <v>528511</v>
      </c>
      <c r="M236" s="835">
        <v>0</v>
      </c>
      <c r="N236" s="830">
        <v>0</v>
      </c>
      <c r="O236" s="830">
        <v>0</v>
      </c>
      <c r="P236" s="830">
        <v>0</v>
      </c>
      <c r="Q236" s="830">
        <v>0</v>
      </c>
      <c r="R236" s="830">
        <v>0</v>
      </c>
      <c r="S236" s="830">
        <v>0</v>
      </c>
      <c r="T236" s="830">
        <v>0</v>
      </c>
      <c r="U236" s="830">
        <v>0</v>
      </c>
      <c r="V236" s="830">
        <v>0</v>
      </c>
      <c r="W236" s="830">
        <v>0</v>
      </c>
      <c r="X236" s="830">
        <v>0</v>
      </c>
      <c r="Y236" s="830">
        <v>0</v>
      </c>
      <c r="Z236" s="830">
        <v>0</v>
      </c>
      <c r="AA236" s="835">
        <v>0</v>
      </c>
      <c r="AB236" s="835">
        <v>212975</v>
      </c>
      <c r="AC236" s="835">
        <v>0</v>
      </c>
      <c r="AD236" s="835">
        <v>0</v>
      </c>
      <c r="AE236" s="835">
        <v>0</v>
      </c>
      <c r="AF236" s="835">
        <v>0</v>
      </c>
      <c r="AG236" s="835">
        <v>0</v>
      </c>
      <c r="AH236" s="835">
        <v>0</v>
      </c>
      <c r="AI236" s="835">
        <v>0</v>
      </c>
      <c r="AJ236" s="835">
        <v>0</v>
      </c>
      <c r="AK236" s="835">
        <v>0</v>
      </c>
      <c r="AL236" s="835">
        <v>0</v>
      </c>
      <c r="AM236" s="835">
        <v>0</v>
      </c>
      <c r="AN236" s="835">
        <v>0</v>
      </c>
      <c r="AO236" s="835">
        <v>0</v>
      </c>
      <c r="AP236" s="835">
        <v>0</v>
      </c>
      <c r="AQ236" s="835">
        <v>0</v>
      </c>
      <c r="AR236" s="835">
        <v>0</v>
      </c>
      <c r="AS236" s="835">
        <v>0</v>
      </c>
      <c r="AT236" s="835">
        <v>0</v>
      </c>
      <c r="AU236" s="835">
        <v>0</v>
      </c>
      <c r="AV236" s="835">
        <v>0</v>
      </c>
      <c r="AW236" s="835">
        <v>0</v>
      </c>
      <c r="AX236" s="835">
        <v>0</v>
      </c>
      <c r="AY236" s="835">
        <v>0</v>
      </c>
      <c r="AZ236" s="835">
        <v>0</v>
      </c>
      <c r="BA236" s="835">
        <v>0</v>
      </c>
      <c r="BB236" s="835">
        <v>0</v>
      </c>
      <c r="BC236" s="835">
        <v>0</v>
      </c>
      <c r="BD236" s="835">
        <v>0</v>
      </c>
      <c r="BE236" s="835">
        <v>0</v>
      </c>
      <c r="BF236" s="835">
        <v>0</v>
      </c>
      <c r="BG236" s="835">
        <v>0</v>
      </c>
      <c r="BH236" s="835">
        <v>0</v>
      </c>
      <c r="BI236" s="835">
        <v>0</v>
      </c>
      <c r="BJ236" s="835">
        <v>0</v>
      </c>
      <c r="BK236" s="835">
        <v>0</v>
      </c>
      <c r="BL236" s="835">
        <v>0</v>
      </c>
      <c r="BM236" s="835">
        <v>0</v>
      </c>
      <c r="BN236" s="835">
        <v>0</v>
      </c>
      <c r="BO236" s="835">
        <v>0</v>
      </c>
      <c r="BP236" s="835">
        <v>0</v>
      </c>
      <c r="BQ236" s="835">
        <v>0</v>
      </c>
      <c r="BR236" s="835">
        <v>0</v>
      </c>
      <c r="BS236" s="835">
        <v>0</v>
      </c>
      <c r="BT236" s="835">
        <v>0</v>
      </c>
      <c r="BU236" s="835">
        <v>0</v>
      </c>
      <c r="BV236" s="835">
        <v>0</v>
      </c>
      <c r="BW236" s="835">
        <v>0</v>
      </c>
      <c r="BX236" s="835">
        <v>0</v>
      </c>
      <c r="BY236" s="835">
        <v>0</v>
      </c>
      <c r="BZ236" s="835">
        <v>0</v>
      </c>
      <c r="CA236" s="835">
        <v>0</v>
      </c>
      <c r="CB236" s="835">
        <v>0</v>
      </c>
    </row>
    <row r="237" spans="1:80" x14ac:dyDescent="0.25">
      <c r="A237" s="860"/>
      <c r="B237" s="859">
        <v>587</v>
      </c>
      <c r="C237" s="859" t="s">
        <v>764</v>
      </c>
      <c r="D237" s="859" t="s">
        <v>765</v>
      </c>
      <c r="E237" s="829"/>
      <c r="F237" s="798"/>
      <c r="G237" s="798"/>
      <c r="H237" s="798"/>
      <c r="I237" s="798"/>
      <c r="J237" s="798"/>
      <c r="K237" s="800"/>
      <c r="L237" s="835"/>
      <c r="M237" s="835"/>
      <c r="N237" s="830"/>
      <c r="O237" s="830"/>
      <c r="P237" s="830"/>
      <c r="Q237" s="830"/>
      <c r="R237" s="830"/>
      <c r="S237" s="830"/>
      <c r="T237" s="830"/>
      <c r="U237" s="830"/>
      <c r="V237" s="830"/>
      <c r="W237" s="830"/>
      <c r="X237" s="830"/>
      <c r="Y237" s="830"/>
      <c r="Z237" s="830"/>
      <c r="AA237" s="835"/>
      <c r="AB237" s="835"/>
      <c r="AC237" s="835"/>
      <c r="AD237" s="835"/>
      <c r="AE237" s="835"/>
      <c r="AF237" s="835"/>
      <c r="AG237" s="835"/>
      <c r="AH237" s="835"/>
      <c r="AI237" s="835"/>
      <c r="AJ237" s="835"/>
      <c r="AK237" s="835"/>
      <c r="AL237" s="835"/>
      <c r="AM237" s="835"/>
      <c r="AN237" s="835"/>
      <c r="AO237" s="835"/>
      <c r="AP237" s="835"/>
      <c r="AQ237" s="835"/>
      <c r="AR237" s="835"/>
      <c r="AS237" s="835"/>
      <c r="AT237" s="835"/>
      <c r="AU237" s="835"/>
      <c r="AV237" s="835"/>
      <c r="AW237" s="835"/>
      <c r="AX237" s="835"/>
      <c r="AY237" s="835"/>
      <c r="AZ237" s="835"/>
      <c r="BA237" s="835"/>
      <c r="BB237" s="835"/>
      <c r="BC237" s="835"/>
      <c r="BD237" s="835"/>
      <c r="BE237" s="835"/>
      <c r="BF237" s="835"/>
      <c r="BG237" s="835"/>
      <c r="BH237" s="835"/>
      <c r="BI237" s="835"/>
      <c r="BJ237" s="835"/>
      <c r="BK237" s="835"/>
      <c r="BL237" s="835"/>
      <c r="BM237" s="835"/>
      <c r="BN237" s="835"/>
      <c r="BO237" s="835"/>
      <c r="BP237" s="835"/>
      <c r="BQ237" s="835"/>
      <c r="BR237" s="835"/>
      <c r="BS237" s="835"/>
      <c r="BT237" s="835"/>
      <c r="BU237" s="835"/>
      <c r="BV237" s="835"/>
      <c r="BW237" s="835"/>
      <c r="BX237" s="835"/>
      <c r="BY237" s="835"/>
      <c r="BZ237" s="835"/>
      <c r="CA237" s="835"/>
      <c r="CB237" s="835"/>
    </row>
    <row r="238" spans="1:80" x14ac:dyDescent="0.25">
      <c r="A238" s="860"/>
      <c r="B238" s="859">
        <v>588</v>
      </c>
      <c r="C238" s="859" t="s">
        <v>766</v>
      </c>
      <c r="D238" s="859" t="s">
        <v>767</v>
      </c>
      <c r="E238" s="829"/>
      <c r="F238" s="798"/>
      <c r="G238" s="798"/>
      <c r="H238" s="798"/>
      <c r="I238" s="798"/>
      <c r="J238" s="798"/>
      <c r="K238" s="800"/>
      <c r="L238" s="835"/>
      <c r="M238" s="835"/>
      <c r="N238" s="830"/>
      <c r="O238" s="830"/>
      <c r="P238" s="830"/>
      <c r="Q238" s="830"/>
      <c r="R238" s="830"/>
      <c r="S238" s="830"/>
      <c r="T238" s="830"/>
      <c r="U238" s="830"/>
      <c r="V238" s="830"/>
      <c r="W238" s="830"/>
      <c r="X238" s="830"/>
      <c r="Y238" s="830"/>
      <c r="Z238" s="830"/>
      <c r="AA238" s="835"/>
      <c r="AB238" s="835"/>
      <c r="AC238" s="835"/>
      <c r="AD238" s="835"/>
      <c r="AE238" s="835"/>
      <c r="AF238" s="835"/>
      <c r="AG238" s="835"/>
      <c r="AH238" s="835"/>
      <c r="AI238" s="835"/>
      <c r="AJ238" s="835"/>
      <c r="AK238" s="835"/>
      <c r="AL238" s="835"/>
      <c r="AM238" s="835"/>
      <c r="AN238" s="835"/>
      <c r="AO238" s="835"/>
      <c r="AP238" s="835"/>
      <c r="AQ238" s="835"/>
      <c r="AR238" s="835"/>
      <c r="AS238" s="835"/>
      <c r="AT238" s="835"/>
      <c r="AU238" s="835"/>
      <c r="AV238" s="835"/>
      <c r="AW238" s="835"/>
      <c r="AX238" s="835"/>
      <c r="AY238" s="835"/>
      <c r="AZ238" s="835"/>
      <c r="BA238" s="835"/>
      <c r="BB238" s="835"/>
      <c r="BC238" s="835"/>
      <c r="BD238" s="835"/>
      <c r="BE238" s="835"/>
      <c r="BF238" s="835"/>
      <c r="BG238" s="835"/>
      <c r="BH238" s="835"/>
      <c r="BI238" s="835"/>
      <c r="BJ238" s="835"/>
      <c r="BK238" s="835"/>
      <c r="BL238" s="835"/>
      <c r="BM238" s="835"/>
      <c r="BN238" s="835"/>
      <c r="BO238" s="835"/>
      <c r="BP238" s="835"/>
      <c r="BQ238" s="835"/>
      <c r="BR238" s="835"/>
      <c r="BS238" s="835"/>
      <c r="BT238" s="835"/>
      <c r="BU238" s="835"/>
      <c r="BV238" s="835"/>
      <c r="BW238" s="835"/>
      <c r="BX238" s="835"/>
      <c r="BY238" s="835"/>
      <c r="BZ238" s="835"/>
      <c r="CA238" s="835"/>
      <c r="CB238" s="835"/>
    </row>
    <row r="239" spans="1:80" x14ac:dyDescent="0.25">
      <c r="A239" s="860"/>
      <c r="B239" s="859">
        <v>589</v>
      </c>
      <c r="C239" s="859" t="s">
        <v>768</v>
      </c>
      <c r="D239" s="859" t="s">
        <v>769</v>
      </c>
      <c r="E239" s="829"/>
      <c r="F239" s="798"/>
      <c r="G239" s="798"/>
      <c r="H239" s="798"/>
      <c r="I239" s="798"/>
      <c r="J239" s="798"/>
      <c r="K239" s="800"/>
      <c r="L239" s="835"/>
      <c r="M239" s="835"/>
      <c r="N239" s="830"/>
      <c r="O239" s="830"/>
      <c r="P239" s="830"/>
      <c r="Q239" s="830"/>
      <c r="R239" s="830"/>
      <c r="S239" s="830"/>
      <c r="T239" s="830"/>
      <c r="U239" s="830"/>
      <c r="V239" s="830"/>
      <c r="W239" s="830"/>
      <c r="X239" s="830"/>
      <c r="Y239" s="830"/>
      <c r="Z239" s="830"/>
      <c r="AA239" s="835"/>
      <c r="AB239" s="835"/>
      <c r="AC239" s="835"/>
      <c r="AD239" s="835"/>
      <c r="AE239" s="835"/>
      <c r="AF239" s="835"/>
      <c r="AG239" s="835"/>
      <c r="AH239" s="835"/>
      <c r="AI239" s="835"/>
      <c r="AJ239" s="835"/>
      <c r="AK239" s="835"/>
      <c r="AL239" s="835"/>
      <c r="AM239" s="835"/>
      <c r="AN239" s="835"/>
      <c r="AO239" s="835"/>
      <c r="AP239" s="835"/>
      <c r="AQ239" s="835"/>
      <c r="AR239" s="835"/>
      <c r="AS239" s="835"/>
      <c r="AT239" s="835"/>
      <c r="AU239" s="835"/>
      <c r="AV239" s="835"/>
      <c r="AW239" s="835"/>
      <c r="AX239" s="835"/>
      <c r="AY239" s="835"/>
      <c r="AZ239" s="835"/>
      <c r="BA239" s="835"/>
      <c r="BB239" s="835"/>
      <c r="BC239" s="835"/>
      <c r="BD239" s="835"/>
      <c r="BE239" s="835"/>
      <c r="BF239" s="835"/>
      <c r="BG239" s="835"/>
      <c r="BH239" s="835"/>
      <c r="BI239" s="835"/>
      <c r="BJ239" s="835"/>
      <c r="BK239" s="835"/>
      <c r="BL239" s="835"/>
      <c r="BM239" s="835"/>
      <c r="BN239" s="835"/>
      <c r="BO239" s="835"/>
      <c r="BP239" s="835"/>
      <c r="BQ239" s="835"/>
      <c r="BR239" s="835"/>
      <c r="BS239" s="835"/>
      <c r="BT239" s="835"/>
      <c r="BU239" s="835"/>
      <c r="BV239" s="835"/>
      <c r="BW239" s="835"/>
      <c r="BX239" s="835"/>
      <c r="BY239" s="835"/>
      <c r="BZ239" s="835"/>
      <c r="CA239" s="835"/>
      <c r="CB239" s="835"/>
    </row>
    <row r="240" spans="1:80" x14ac:dyDescent="0.25">
      <c r="A240" s="860"/>
      <c r="B240" s="859">
        <v>590</v>
      </c>
      <c r="C240" s="857" t="s">
        <v>770</v>
      </c>
      <c r="D240" s="859" t="s">
        <v>771</v>
      </c>
      <c r="E240" s="829"/>
      <c r="F240" s="798"/>
      <c r="G240" s="798"/>
      <c r="H240" s="798"/>
      <c r="I240" s="798"/>
      <c r="J240" s="798"/>
      <c r="K240" s="800"/>
      <c r="L240" s="835"/>
      <c r="M240" s="835"/>
      <c r="N240" s="830"/>
      <c r="O240" s="830"/>
      <c r="P240" s="830"/>
      <c r="Q240" s="830"/>
      <c r="R240" s="830"/>
      <c r="S240" s="830"/>
      <c r="T240" s="830"/>
      <c r="U240" s="830"/>
      <c r="V240" s="830"/>
      <c r="W240" s="830"/>
      <c r="X240" s="830"/>
      <c r="Y240" s="830"/>
      <c r="Z240" s="830"/>
      <c r="AA240" s="835"/>
      <c r="AB240" s="835"/>
      <c r="AC240" s="835"/>
      <c r="AD240" s="835"/>
      <c r="AE240" s="835"/>
      <c r="AF240" s="835"/>
      <c r="AG240" s="835"/>
      <c r="AH240" s="835"/>
      <c r="AI240" s="835"/>
      <c r="AJ240" s="835"/>
      <c r="AK240" s="835"/>
      <c r="AL240" s="835"/>
      <c r="AM240" s="835"/>
      <c r="AN240" s="835"/>
      <c r="AO240" s="835"/>
      <c r="AP240" s="835"/>
      <c r="AQ240" s="835"/>
      <c r="AR240" s="835"/>
      <c r="AS240" s="835"/>
      <c r="AT240" s="835"/>
      <c r="AU240" s="835"/>
      <c r="AV240" s="835"/>
      <c r="AW240" s="835"/>
      <c r="AX240" s="835"/>
      <c r="AY240" s="835"/>
      <c r="AZ240" s="835"/>
      <c r="BA240" s="835"/>
      <c r="BB240" s="835"/>
      <c r="BC240" s="835"/>
      <c r="BD240" s="835"/>
      <c r="BE240" s="835"/>
      <c r="BF240" s="835"/>
      <c r="BG240" s="835"/>
      <c r="BH240" s="835"/>
      <c r="BI240" s="835"/>
      <c r="BJ240" s="835"/>
      <c r="BK240" s="835"/>
      <c r="BL240" s="835"/>
      <c r="BM240" s="835"/>
      <c r="BN240" s="835"/>
      <c r="BO240" s="835"/>
      <c r="BP240" s="835"/>
      <c r="BQ240" s="835"/>
      <c r="BR240" s="835"/>
      <c r="BS240" s="835"/>
      <c r="BT240" s="835"/>
      <c r="BU240" s="835"/>
      <c r="BV240" s="835"/>
      <c r="BW240" s="835"/>
      <c r="BX240" s="835"/>
      <c r="BY240" s="835"/>
      <c r="BZ240" s="835"/>
      <c r="CA240" s="835"/>
      <c r="CB240" s="835"/>
    </row>
    <row r="241" spans="1:80" s="410" customFormat="1" x14ac:dyDescent="0.25">
      <c r="A241" s="860"/>
      <c r="B241" s="839">
        <v>992</v>
      </c>
      <c r="C241" s="843"/>
      <c r="D241" s="860" t="s">
        <v>701</v>
      </c>
      <c r="E241" s="829"/>
      <c r="F241" s="798"/>
      <c r="G241" s="798"/>
      <c r="H241" s="798"/>
      <c r="I241" s="798"/>
      <c r="J241" s="798"/>
      <c r="K241" s="800"/>
      <c r="L241" s="835"/>
      <c r="M241" s="835"/>
      <c r="N241" s="830"/>
      <c r="O241" s="830"/>
      <c r="P241" s="830"/>
      <c r="Q241" s="830"/>
      <c r="R241" s="830"/>
      <c r="S241" s="830"/>
      <c r="T241" s="830"/>
      <c r="U241" s="830"/>
      <c r="V241" s="830"/>
      <c r="W241" s="830"/>
      <c r="X241" s="830"/>
      <c r="Y241" s="830"/>
      <c r="Z241" s="830"/>
      <c r="AA241" s="835"/>
      <c r="AB241" s="835"/>
      <c r="AC241" s="835"/>
      <c r="AD241" s="835"/>
      <c r="AE241" s="835"/>
      <c r="AF241" s="835"/>
      <c r="AG241" s="835"/>
      <c r="AH241" s="835"/>
      <c r="AI241" s="835"/>
      <c r="AJ241" s="835"/>
      <c r="AK241" s="835"/>
      <c r="AL241" s="835"/>
      <c r="AM241" s="835"/>
      <c r="AN241" s="835"/>
      <c r="AO241" s="835"/>
      <c r="AP241" s="835"/>
      <c r="AQ241" s="835"/>
      <c r="AR241" s="835"/>
      <c r="AS241" s="835"/>
      <c r="AT241" s="835"/>
      <c r="AU241" s="835"/>
      <c r="AV241" s="835"/>
      <c r="AW241" s="835"/>
      <c r="AX241" s="835"/>
      <c r="AY241" s="835"/>
      <c r="AZ241" s="835"/>
      <c r="BA241" s="835"/>
      <c r="BB241" s="835"/>
      <c r="BC241" s="835"/>
      <c r="BD241" s="835"/>
      <c r="BE241" s="835"/>
      <c r="BF241" s="835"/>
      <c r="BG241" s="835"/>
      <c r="BH241" s="835"/>
      <c r="BI241" s="835"/>
      <c r="BJ241" s="835"/>
      <c r="BK241" s="835"/>
      <c r="BL241" s="835"/>
      <c r="BM241" s="835"/>
      <c r="BN241" s="835"/>
      <c r="BO241" s="835"/>
      <c r="BP241" s="835"/>
      <c r="BQ241" s="835"/>
      <c r="BR241" s="835"/>
      <c r="BS241" s="835"/>
      <c r="BT241" s="835"/>
      <c r="BU241" s="835"/>
      <c r="BV241" s="835"/>
      <c r="BW241" s="835"/>
      <c r="BX241" s="835"/>
      <c r="BY241" s="835"/>
      <c r="BZ241" s="835"/>
      <c r="CA241" s="835"/>
      <c r="CB241" s="835"/>
    </row>
    <row r="242" spans="1:80" x14ac:dyDescent="0.25">
      <c r="A242" s="860"/>
      <c r="B242" s="844">
        <v>993</v>
      </c>
      <c r="C242" s="832" t="s">
        <v>582</v>
      </c>
      <c r="D242" s="860" t="s">
        <v>583</v>
      </c>
      <c r="E242" s="829"/>
      <c r="F242" s="798"/>
      <c r="G242" s="798"/>
      <c r="H242" s="798"/>
      <c r="I242" s="798"/>
      <c r="J242" s="798"/>
      <c r="K242" s="800"/>
      <c r="L242" s="835"/>
      <c r="M242" s="835"/>
      <c r="N242" s="830"/>
      <c r="O242" s="830"/>
      <c r="P242" s="830"/>
      <c r="Q242" s="830"/>
      <c r="R242" s="830"/>
      <c r="S242" s="830"/>
      <c r="T242" s="830"/>
      <c r="U242" s="830"/>
      <c r="V242" s="830"/>
      <c r="W242" s="830"/>
      <c r="X242" s="830"/>
      <c r="Y242" s="830"/>
      <c r="Z242" s="830"/>
      <c r="AA242" s="835"/>
      <c r="AB242" s="835"/>
      <c r="AC242" s="835"/>
      <c r="AD242" s="835"/>
      <c r="AE242" s="835"/>
      <c r="AF242" s="835"/>
      <c r="AG242" s="835"/>
      <c r="AH242" s="835"/>
      <c r="AI242" s="835"/>
      <c r="AJ242" s="835"/>
      <c r="AK242" s="835"/>
      <c r="AL242" s="835"/>
      <c r="AM242" s="835"/>
      <c r="AN242" s="835"/>
      <c r="AO242" s="835"/>
      <c r="AP242" s="835"/>
      <c r="AQ242" s="835"/>
      <c r="AR242" s="835"/>
      <c r="AS242" s="835"/>
      <c r="AT242" s="835"/>
      <c r="AU242" s="835"/>
      <c r="AV242" s="835"/>
      <c r="AW242" s="835"/>
      <c r="AX242" s="835"/>
      <c r="AY242" s="835"/>
      <c r="AZ242" s="835"/>
      <c r="BA242" s="835"/>
      <c r="BB242" s="835"/>
      <c r="BC242" s="835"/>
      <c r="BD242" s="835"/>
      <c r="BE242" s="835"/>
      <c r="BF242" s="835"/>
      <c r="BG242" s="835"/>
      <c r="BH242" s="835"/>
      <c r="BI242" s="835"/>
      <c r="BJ242" s="835"/>
      <c r="BK242" s="835"/>
      <c r="BL242" s="835"/>
      <c r="BM242" s="835"/>
      <c r="BN242" s="835"/>
      <c r="BO242" s="835"/>
      <c r="BP242" s="835"/>
      <c r="BQ242" s="835"/>
      <c r="BR242" s="835"/>
      <c r="BS242" s="835"/>
      <c r="BT242" s="835"/>
      <c r="BU242" s="835"/>
      <c r="BV242" s="835"/>
      <c r="BW242" s="835"/>
      <c r="BX242" s="835"/>
      <c r="BY242" s="835"/>
      <c r="BZ242" s="835"/>
      <c r="CA242" s="835"/>
      <c r="CB242" s="835"/>
    </row>
    <row r="243" spans="1:80" x14ac:dyDescent="0.25">
      <c r="A243" s="860"/>
      <c r="B243" s="844">
        <v>994</v>
      </c>
      <c r="C243" s="832" t="s">
        <v>584</v>
      </c>
      <c r="D243" s="860" t="s">
        <v>585</v>
      </c>
      <c r="E243" s="829"/>
      <c r="F243" s="798"/>
      <c r="G243" s="798"/>
      <c r="H243" s="798"/>
      <c r="I243" s="798"/>
      <c r="J243" s="798"/>
      <c r="K243" s="800"/>
      <c r="L243" s="835"/>
      <c r="M243" s="835"/>
      <c r="N243" s="830"/>
      <c r="O243" s="830"/>
      <c r="P243" s="830"/>
      <c r="Q243" s="830"/>
      <c r="R243" s="830"/>
      <c r="S243" s="830"/>
      <c r="T243" s="830"/>
      <c r="U243" s="830"/>
      <c r="V243" s="830"/>
      <c r="W243" s="830"/>
      <c r="X243" s="830"/>
      <c r="Y243" s="830"/>
      <c r="Z243" s="830"/>
      <c r="AA243" s="835"/>
      <c r="AB243" s="835"/>
      <c r="AC243" s="835"/>
      <c r="AD243" s="835"/>
      <c r="AE243" s="835"/>
      <c r="AF243" s="835"/>
      <c r="AG243" s="835"/>
      <c r="AH243" s="835"/>
      <c r="AI243" s="835"/>
      <c r="AJ243" s="835"/>
      <c r="AK243" s="835"/>
      <c r="AL243" s="835"/>
      <c r="AM243" s="835"/>
      <c r="AN243" s="835"/>
      <c r="AO243" s="835"/>
      <c r="AP243" s="835"/>
      <c r="AQ243" s="835"/>
      <c r="AR243" s="835"/>
      <c r="AS243" s="835"/>
      <c r="AT243" s="835"/>
      <c r="AU243" s="835"/>
      <c r="AV243" s="835"/>
      <c r="AW243" s="835"/>
      <c r="AX243" s="835"/>
      <c r="AY243" s="835"/>
      <c r="AZ243" s="835"/>
      <c r="BA243" s="835"/>
      <c r="BB243" s="835"/>
      <c r="BC243" s="835"/>
      <c r="BD243" s="835"/>
      <c r="BE243" s="835"/>
      <c r="BF243" s="835"/>
      <c r="BG243" s="835"/>
      <c r="BH243" s="835"/>
      <c r="BI243" s="835"/>
      <c r="BJ243" s="835"/>
      <c r="BK243" s="835"/>
      <c r="BL243" s="835"/>
      <c r="BM243" s="835"/>
      <c r="BN243" s="835"/>
      <c r="BO243" s="835"/>
      <c r="BP243" s="835"/>
      <c r="BQ243" s="835"/>
      <c r="BR243" s="835"/>
      <c r="BS243" s="835"/>
      <c r="BT243" s="835"/>
      <c r="BU243" s="835"/>
      <c r="BV243" s="835"/>
      <c r="BW243" s="835"/>
      <c r="BX243" s="835"/>
      <c r="BY243" s="835"/>
      <c r="BZ243" s="835"/>
      <c r="CA243" s="835"/>
      <c r="CB243" s="835"/>
    </row>
    <row r="244" spans="1:80" x14ac:dyDescent="0.25">
      <c r="A244" s="824" t="s">
        <v>607</v>
      </c>
      <c r="B244" s="815">
        <v>995</v>
      </c>
      <c r="C244" s="781" t="s">
        <v>586</v>
      </c>
      <c r="D244" s="805" t="s">
        <v>587</v>
      </c>
      <c r="E244" s="778">
        <v>0</v>
      </c>
      <c r="F244" s="777">
        <v>0</v>
      </c>
      <c r="G244" s="777">
        <v>0</v>
      </c>
      <c r="H244" s="777">
        <v>0</v>
      </c>
      <c r="I244" s="777">
        <v>0</v>
      </c>
      <c r="J244" s="777">
        <v>0</v>
      </c>
      <c r="K244" s="776">
        <v>0</v>
      </c>
      <c r="L244" s="775">
        <v>0</v>
      </c>
      <c r="M244" s="775">
        <v>0</v>
      </c>
      <c r="N244" s="820">
        <v>0</v>
      </c>
      <c r="O244" s="820">
        <v>0</v>
      </c>
      <c r="P244" s="820">
        <v>0</v>
      </c>
      <c r="Q244" s="820">
        <v>0</v>
      </c>
      <c r="R244" s="820">
        <v>0</v>
      </c>
      <c r="S244" s="820">
        <v>0</v>
      </c>
      <c r="T244" s="820">
        <v>0.09</v>
      </c>
      <c r="U244" s="820">
        <v>0</v>
      </c>
      <c r="V244" s="820">
        <v>0.08</v>
      </c>
      <c r="W244" s="820">
        <v>0</v>
      </c>
      <c r="X244" s="820">
        <v>0</v>
      </c>
      <c r="Y244" s="820">
        <v>0</v>
      </c>
      <c r="Z244" s="820">
        <v>0</v>
      </c>
      <c r="AA244" s="775">
        <v>0.08</v>
      </c>
      <c r="AB244" s="775">
        <v>0</v>
      </c>
      <c r="AC244" s="775">
        <v>0</v>
      </c>
      <c r="AD244" s="775">
        <v>0</v>
      </c>
      <c r="AE244" s="775">
        <v>0</v>
      </c>
      <c r="AF244" s="775">
        <v>7.0000000000000007E-2</v>
      </c>
      <c r="AG244" s="775">
        <v>0</v>
      </c>
      <c r="AH244" s="775">
        <v>0</v>
      </c>
      <c r="AI244" s="775">
        <v>0</v>
      </c>
      <c r="AJ244" s="775">
        <v>0</v>
      </c>
      <c r="AK244" s="775">
        <v>0.08</v>
      </c>
      <c r="AL244" s="775">
        <v>0</v>
      </c>
      <c r="AM244" s="775">
        <v>0</v>
      </c>
      <c r="AN244" s="775">
        <v>0</v>
      </c>
      <c r="AO244" s="775">
        <v>0</v>
      </c>
      <c r="AP244" s="775">
        <v>0</v>
      </c>
      <c r="AQ244" s="775">
        <v>0</v>
      </c>
      <c r="AR244" s="775">
        <v>7.0000000000000007E-2</v>
      </c>
      <c r="AS244" s="775">
        <v>0</v>
      </c>
      <c r="AT244" s="775">
        <v>0</v>
      </c>
      <c r="AU244" s="775">
        <v>0</v>
      </c>
      <c r="AV244" s="775">
        <v>7.0000000000000007E-2</v>
      </c>
      <c r="AW244" s="775">
        <v>0</v>
      </c>
      <c r="AX244" s="775">
        <v>0</v>
      </c>
      <c r="AY244" s="775">
        <v>0</v>
      </c>
      <c r="AZ244" s="775">
        <v>0</v>
      </c>
      <c r="BA244" s="775">
        <v>0.08</v>
      </c>
      <c r="BB244" s="775">
        <v>0</v>
      </c>
      <c r="BC244" s="775">
        <v>0</v>
      </c>
      <c r="BD244" s="775">
        <v>0.09</v>
      </c>
      <c r="BE244" s="775">
        <v>0</v>
      </c>
      <c r="BF244" s="775">
        <v>0.08</v>
      </c>
      <c r="BG244" s="775">
        <v>0.09</v>
      </c>
      <c r="BH244" s="775">
        <v>0</v>
      </c>
      <c r="BI244" s="775">
        <v>0</v>
      </c>
      <c r="BJ244" s="775">
        <v>0</v>
      </c>
      <c r="BK244" s="775">
        <v>0</v>
      </c>
      <c r="BL244" s="775">
        <v>7.0000000000000007E-2</v>
      </c>
      <c r="BM244" s="775">
        <v>0</v>
      </c>
      <c r="BN244" s="775">
        <v>0</v>
      </c>
      <c r="BO244" s="775">
        <v>0</v>
      </c>
      <c r="BP244" s="775">
        <v>0</v>
      </c>
      <c r="BQ244" s="775">
        <v>0</v>
      </c>
      <c r="BR244" s="775">
        <v>0</v>
      </c>
      <c r="BS244" s="775">
        <v>0</v>
      </c>
      <c r="BT244" s="775">
        <v>0</v>
      </c>
      <c r="BU244" s="775">
        <v>0</v>
      </c>
      <c r="BV244" s="775">
        <v>0</v>
      </c>
      <c r="BW244" s="775">
        <v>0</v>
      </c>
      <c r="BX244" s="775">
        <v>0</v>
      </c>
      <c r="BY244" s="775">
        <v>0</v>
      </c>
      <c r="BZ244" s="775">
        <v>0</v>
      </c>
      <c r="CA244" s="775">
        <v>0</v>
      </c>
      <c r="CB244" s="775">
        <v>0</v>
      </c>
    </row>
    <row r="245" spans="1:80" x14ac:dyDescent="0.25">
      <c r="A245" s="824" t="s">
        <v>608</v>
      </c>
      <c r="B245" s="815">
        <v>996</v>
      </c>
      <c r="C245" s="781" t="s">
        <v>588</v>
      </c>
      <c r="D245" s="805" t="s">
        <v>589</v>
      </c>
      <c r="E245" s="778">
        <v>0</v>
      </c>
      <c r="F245" s="777">
        <v>0</v>
      </c>
      <c r="G245" s="777">
        <v>0.01</v>
      </c>
      <c r="H245" s="777">
        <v>0.01</v>
      </c>
      <c r="I245" s="777">
        <v>0.01</v>
      </c>
      <c r="J245" s="777">
        <v>0.01</v>
      </c>
      <c r="K245" s="776">
        <v>0.01</v>
      </c>
      <c r="L245" s="775">
        <v>0.01</v>
      </c>
      <c r="M245" s="775">
        <v>0.01</v>
      </c>
      <c r="N245" s="820">
        <v>0</v>
      </c>
      <c r="O245" s="820">
        <v>0.01</v>
      </c>
      <c r="P245" s="820">
        <v>0.01</v>
      </c>
      <c r="Q245" s="820">
        <v>0</v>
      </c>
      <c r="R245" s="820">
        <v>0.01</v>
      </c>
      <c r="S245" s="820">
        <v>0.01</v>
      </c>
      <c r="T245" s="820">
        <v>0.01</v>
      </c>
      <c r="U245" s="820">
        <v>0.01</v>
      </c>
      <c r="V245" s="820">
        <v>0.01</v>
      </c>
      <c r="W245" s="820">
        <v>0</v>
      </c>
      <c r="X245" s="820">
        <v>0</v>
      </c>
      <c r="Y245" s="820">
        <v>0</v>
      </c>
      <c r="Z245" s="820">
        <v>0.01</v>
      </c>
      <c r="AA245" s="775">
        <v>0.01</v>
      </c>
      <c r="AB245" s="775">
        <v>0.01</v>
      </c>
      <c r="AC245" s="775">
        <v>0</v>
      </c>
      <c r="AD245" s="775">
        <v>0.01</v>
      </c>
      <c r="AE245" s="775">
        <v>0.01</v>
      </c>
      <c r="AF245" s="775">
        <v>0.01</v>
      </c>
      <c r="AG245" s="775">
        <v>0.01</v>
      </c>
      <c r="AH245" s="775">
        <v>0</v>
      </c>
      <c r="AI245" s="775">
        <v>0</v>
      </c>
      <c r="AJ245" s="775">
        <v>0.01</v>
      </c>
      <c r="AK245" s="775">
        <v>0.01</v>
      </c>
      <c r="AL245" s="775">
        <v>0.01</v>
      </c>
      <c r="AM245" s="775">
        <v>0</v>
      </c>
      <c r="AN245" s="775">
        <v>0.01</v>
      </c>
      <c r="AO245" s="775">
        <v>0.01</v>
      </c>
      <c r="AP245" s="775">
        <v>0.01</v>
      </c>
      <c r="AQ245" s="775">
        <v>0</v>
      </c>
      <c r="AR245" s="775">
        <v>0.01</v>
      </c>
      <c r="AS245" s="775">
        <v>0.01</v>
      </c>
      <c r="AT245" s="775">
        <v>0.01</v>
      </c>
      <c r="AU245" s="775">
        <v>0.01</v>
      </c>
      <c r="AV245" s="775">
        <v>0.01</v>
      </c>
      <c r="AW245" s="775">
        <v>0.01</v>
      </c>
      <c r="AX245" s="775">
        <v>0.01</v>
      </c>
      <c r="AY245" s="775">
        <v>0.01</v>
      </c>
      <c r="AZ245" s="775">
        <v>0.01</v>
      </c>
      <c r="BA245" s="775">
        <v>0.01</v>
      </c>
      <c r="BB245" s="775">
        <v>0</v>
      </c>
      <c r="BC245" s="775">
        <v>0.01</v>
      </c>
      <c r="BD245" s="775">
        <v>0.01</v>
      </c>
      <c r="BE245" s="775">
        <v>0</v>
      </c>
      <c r="BF245" s="775">
        <v>0.01</v>
      </c>
      <c r="BG245" s="775">
        <v>0.01</v>
      </c>
      <c r="BH245" s="775">
        <v>0</v>
      </c>
      <c r="BI245" s="775">
        <v>0.01</v>
      </c>
      <c r="BJ245" s="775">
        <v>0.01</v>
      </c>
      <c r="BK245" s="775">
        <v>0.01</v>
      </c>
      <c r="BL245" s="775">
        <v>0.01</v>
      </c>
      <c r="BM245" s="775">
        <v>0.01</v>
      </c>
      <c r="BN245" s="775">
        <v>0</v>
      </c>
      <c r="BO245" s="775">
        <v>0.01</v>
      </c>
      <c r="BP245" s="775">
        <v>0.01</v>
      </c>
      <c r="BQ245" s="775">
        <v>0.01</v>
      </c>
      <c r="BR245" s="775">
        <v>0.01</v>
      </c>
      <c r="BS245" s="775">
        <v>0</v>
      </c>
      <c r="BT245" s="775">
        <v>0</v>
      </c>
      <c r="BU245" s="775">
        <v>0.01</v>
      </c>
      <c r="BV245" s="775">
        <v>0.01</v>
      </c>
      <c r="BW245" s="775">
        <v>0.01</v>
      </c>
      <c r="BX245" s="775">
        <v>0.01</v>
      </c>
      <c r="BY245" s="775">
        <v>0</v>
      </c>
      <c r="BZ245" s="775">
        <v>0</v>
      </c>
      <c r="CA245" s="775">
        <v>0.01</v>
      </c>
      <c r="CB245" s="775">
        <v>0</v>
      </c>
    </row>
    <row r="246" spans="1:80" x14ac:dyDescent="0.25">
      <c r="A246" s="824"/>
      <c r="B246" s="815">
        <v>997</v>
      </c>
      <c r="C246" s="781"/>
      <c r="D246" s="805"/>
      <c r="E246" s="778"/>
      <c r="F246" s="777"/>
      <c r="G246" s="777"/>
      <c r="H246" s="777"/>
      <c r="I246" s="777"/>
      <c r="J246" s="777"/>
      <c r="K246" s="776"/>
      <c r="L246" s="775"/>
      <c r="M246" s="775"/>
      <c r="N246" s="820"/>
      <c r="O246" s="820"/>
      <c r="P246" s="820"/>
      <c r="Q246" s="820"/>
      <c r="R246" s="820"/>
      <c r="S246" s="820"/>
      <c r="T246" s="820"/>
      <c r="U246" s="820"/>
      <c r="V246" s="820"/>
      <c r="W246" s="820"/>
      <c r="X246" s="820"/>
      <c r="Y246" s="820"/>
      <c r="Z246" s="820"/>
      <c r="AA246" s="775"/>
      <c r="AB246" s="775"/>
      <c r="AC246" s="775"/>
      <c r="AD246" s="775"/>
      <c r="AE246" s="775"/>
      <c r="AF246" s="775"/>
      <c r="AG246" s="775"/>
      <c r="AH246" s="775"/>
      <c r="AI246" s="775"/>
      <c r="AJ246" s="775"/>
      <c r="AK246" s="775"/>
      <c r="AL246" s="775"/>
      <c r="AM246" s="775"/>
      <c r="AN246" s="775"/>
      <c r="AO246" s="775"/>
      <c r="AP246" s="775"/>
      <c r="AQ246" s="775"/>
      <c r="AR246" s="775"/>
      <c r="AS246" s="775"/>
      <c r="AT246" s="775"/>
      <c r="AU246" s="775"/>
      <c r="AV246" s="775"/>
      <c r="AW246" s="775"/>
      <c r="AX246" s="775"/>
      <c r="AY246" s="775"/>
      <c r="AZ246" s="775"/>
      <c r="BA246" s="775"/>
      <c r="BB246" s="775"/>
      <c r="BC246" s="775"/>
      <c r="BD246" s="775"/>
      <c r="BE246" s="775"/>
      <c r="BF246" s="775"/>
      <c r="BG246" s="775"/>
      <c r="BH246" s="775"/>
      <c r="BI246" s="775"/>
      <c r="BJ246" s="775"/>
      <c r="BK246" s="775"/>
      <c r="BL246" s="775"/>
      <c r="BM246" s="775"/>
      <c r="BN246" s="775"/>
      <c r="BO246" s="775"/>
      <c r="BP246" s="775"/>
      <c r="BQ246" s="775"/>
      <c r="BR246" s="775"/>
      <c r="BS246" s="775"/>
      <c r="BT246" s="775"/>
      <c r="BU246" s="775"/>
      <c r="BV246" s="775"/>
      <c r="BW246" s="775"/>
      <c r="BX246" s="775"/>
      <c r="BY246" s="775"/>
      <c r="BZ246" s="775"/>
      <c r="CA246" s="775"/>
      <c r="CB246" s="775"/>
    </row>
    <row r="247" spans="1:80" x14ac:dyDescent="0.25">
      <c r="A247" s="824" t="s">
        <v>609</v>
      </c>
      <c r="B247" s="782">
        <v>998</v>
      </c>
      <c r="C247" s="781" t="s">
        <v>359</v>
      </c>
      <c r="D247" s="805" t="s">
        <v>590</v>
      </c>
      <c r="E247" s="780">
        <v>50</v>
      </c>
      <c r="F247" s="819">
        <v>50</v>
      </c>
      <c r="G247" s="819">
        <v>50</v>
      </c>
      <c r="H247" s="819">
        <v>50</v>
      </c>
      <c r="I247" s="819">
        <v>50</v>
      </c>
      <c r="J247" s="819">
        <v>50</v>
      </c>
      <c r="K247" s="817">
        <v>50</v>
      </c>
      <c r="L247" s="818">
        <v>50</v>
      </c>
      <c r="M247" s="818">
        <v>50</v>
      </c>
      <c r="N247" s="779">
        <v>50</v>
      </c>
      <c r="O247" s="779">
        <v>50</v>
      </c>
      <c r="P247" s="779">
        <v>50</v>
      </c>
      <c r="Q247" s="779">
        <v>50</v>
      </c>
      <c r="R247" s="779">
        <v>50</v>
      </c>
      <c r="S247" s="779">
        <v>50</v>
      </c>
      <c r="T247" s="779">
        <v>50</v>
      </c>
      <c r="U247" s="779">
        <v>50</v>
      </c>
      <c r="V247" s="779">
        <v>50</v>
      </c>
      <c r="W247" s="779">
        <v>50</v>
      </c>
      <c r="X247" s="779">
        <v>50</v>
      </c>
      <c r="Y247" s="779">
        <v>50</v>
      </c>
      <c r="Z247" s="779">
        <v>50</v>
      </c>
      <c r="AA247" s="818">
        <v>50</v>
      </c>
      <c r="AB247" s="818">
        <v>50</v>
      </c>
      <c r="AC247" s="818">
        <v>50</v>
      </c>
      <c r="AD247" s="818">
        <v>50</v>
      </c>
      <c r="AE247" s="818">
        <v>50</v>
      </c>
      <c r="AF247" s="818">
        <v>50</v>
      </c>
      <c r="AG247" s="818">
        <v>50</v>
      </c>
      <c r="AH247" s="818">
        <v>50</v>
      </c>
      <c r="AI247" s="818">
        <v>50</v>
      </c>
      <c r="AJ247" s="818">
        <v>50</v>
      </c>
      <c r="AK247" s="818">
        <v>50</v>
      </c>
      <c r="AL247" s="818">
        <v>50</v>
      </c>
      <c r="AM247" s="818">
        <v>50</v>
      </c>
      <c r="AN247" s="818">
        <v>50</v>
      </c>
      <c r="AO247" s="818">
        <v>50</v>
      </c>
      <c r="AP247" s="818">
        <v>50</v>
      </c>
      <c r="AQ247" s="818">
        <v>50</v>
      </c>
      <c r="AR247" s="818">
        <v>50</v>
      </c>
      <c r="AS247" s="818">
        <v>50</v>
      </c>
      <c r="AT247" s="818">
        <v>50</v>
      </c>
      <c r="AU247" s="818">
        <v>50</v>
      </c>
      <c r="AV247" s="818">
        <v>50</v>
      </c>
      <c r="AW247" s="818">
        <v>50</v>
      </c>
      <c r="AX247" s="818">
        <v>50</v>
      </c>
      <c r="AY247" s="818">
        <v>50</v>
      </c>
      <c r="AZ247" s="818">
        <v>50</v>
      </c>
      <c r="BA247" s="818">
        <v>50</v>
      </c>
      <c r="BB247" s="818">
        <v>50</v>
      </c>
      <c r="BC247" s="818">
        <v>50</v>
      </c>
      <c r="BD247" s="818">
        <v>50</v>
      </c>
      <c r="BE247" s="818">
        <v>50</v>
      </c>
      <c r="BF247" s="818">
        <v>50</v>
      </c>
      <c r="BG247" s="818">
        <v>50</v>
      </c>
      <c r="BH247" s="818">
        <v>50</v>
      </c>
      <c r="BI247" s="818">
        <v>50</v>
      </c>
      <c r="BJ247" s="818">
        <v>50</v>
      </c>
      <c r="BK247" s="818">
        <v>50</v>
      </c>
      <c r="BL247" s="818">
        <v>50</v>
      </c>
      <c r="BM247" s="818">
        <v>50</v>
      </c>
      <c r="BN247" s="818">
        <v>50</v>
      </c>
      <c r="BO247" s="818">
        <v>50</v>
      </c>
      <c r="BP247" s="818">
        <v>50</v>
      </c>
      <c r="BQ247" s="818">
        <v>50</v>
      </c>
      <c r="BR247" s="818">
        <v>50</v>
      </c>
      <c r="BS247" s="818">
        <v>50</v>
      </c>
      <c r="BT247" s="818">
        <v>50</v>
      </c>
      <c r="BU247" s="818">
        <v>50</v>
      </c>
      <c r="BV247" s="818">
        <v>50</v>
      </c>
      <c r="BW247" s="818">
        <v>50</v>
      </c>
      <c r="BX247" s="818">
        <v>50</v>
      </c>
      <c r="BY247" s="818">
        <v>50</v>
      </c>
      <c r="BZ247" s="818">
        <v>50</v>
      </c>
      <c r="CA247" s="818">
        <v>50</v>
      </c>
      <c r="CB247" s="818">
        <v>50</v>
      </c>
    </row>
    <row r="248" spans="1:80" x14ac:dyDescent="0.25">
      <c r="A248" s="824" t="s">
        <v>610</v>
      </c>
      <c r="B248" s="810">
        <v>999</v>
      </c>
      <c r="C248" s="781" t="s">
        <v>360</v>
      </c>
      <c r="D248" s="805" t="s">
        <v>591</v>
      </c>
      <c r="E248" s="774">
        <v>50476</v>
      </c>
      <c r="F248" s="822">
        <v>50191</v>
      </c>
      <c r="G248" s="822">
        <v>50192</v>
      </c>
      <c r="H248" s="822">
        <v>50193</v>
      </c>
      <c r="I248" s="822">
        <v>50194</v>
      </c>
      <c r="J248" s="822">
        <v>50195</v>
      </c>
      <c r="K248" s="807">
        <v>50196</v>
      </c>
      <c r="L248" s="849">
        <v>50197</v>
      </c>
      <c r="M248" s="849">
        <v>50498</v>
      </c>
      <c r="N248" s="836">
        <v>50198</v>
      </c>
      <c r="O248" s="836">
        <v>50199</v>
      </c>
      <c r="P248" s="836">
        <v>50200</v>
      </c>
      <c r="Q248" s="836">
        <v>50201</v>
      </c>
      <c r="R248" s="836">
        <v>50202</v>
      </c>
      <c r="S248" s="836">
        <v>50493</v>
      </c>
      <c r="T248" s="836">
        <v>50203</v>
      </c>
      <c r="U248" s="836">
        <v>50518</v>
      </c>
      <c r="V248" s="836">
        <v>50204</v>
      </c>
      <c r="W248" s="836">
        <v>50205</v>
      </c>
      <c r="X248" s="836">
        <v>50206</v>
      </c>
      <c r="Y248" s="836">
        <v>50207</v>
      </c>
      <c r="Z248" s="836">
        <v>50208</v>
      </c>
      <c r="AA248" s="849">
        <v>50209</v>
      </c>
      <c r="AB248" s="849">
        <v>50210</v>
      </c>
      <c r="AC248" s="849">
        <v>50519</v>
      </c>
      <c r="AD248" s="849">
        <v>50528</v>
      </c>
      <c r="AE248" s="849">
        <v>50211</v>
      </c>
      <c r="AF248" s="849">
        <v>50212</v>
      </c>
      <c r="AG248" s="849">
        <v>50213</v>
      </c>
      <c r="AH248" s="849">
        <v>50214</v>
      </c>
      <c r="AI248" s="849">
        <v>50215</v>
      </c>
      <c r="AJ248" s="849">
        <v>50216</v>
      </c>
      <c r="AK248" s="849">
        <v>50217</v>
      </c>
      <c r="AL248" s="849">
        <v>50218</v>
      </c>
      <c r="AM248" s="849">
        <v>50477</v>
      </c>
      <c r="AN248" s="849">
        <v>50520</v>
      </c>
      <c r="AO248" s="849">
        <v>50219</v>
      </c>
      <c r="AP248" s="849">
        <v>50220</v>
      </c>
      <c r="AQ248" s="849">
        <v>50536</v>
      </c>
      <c r="AR248" s="849">
        <v>50221</v>
      </c>
      <c r="AS248" s="849">
        <v>50222</v>
      </c>
      <c r="AT248" s="849">
        <v>50223</v>
      </c>
      <c r="AU248" s="849">
        <v>50224</v>
      </c>
      <c r="AV248" s="849">
        <v>50225</v>
      </c>
      <c r="AW248" s="849">
        <v>50226</v>
      </c>
      <c r="AX248" s="849">
        <v>50227</v>
      </c>
      <c r="AY248" s="849">
        <v>50455</v>
      </c>
      <c r="AZ248" s="849">
        <v>50229</v>
      </c>
      <c r="BA248" s="849">
        <v>50230</v>
      </c>
      <c r="BB248" s="849">
        <v>50231</v>
      </c>
      <c r="BC248" s="849">
        <v>50232</v>
      </c>
      <c r="BD248" s="849">
        <v>50233</v>
      </c>
      <c r="BE248" s="849">
        <v>50234</v>
      </c>
      <c r="BF248" s="849">
        <v>50235</v>
      </c>
      <c r="BG248" s="849">
        <v>50236</v>
      </c>
      <c r="BH248" s="849">
        <v>50237</v>
      </c>
      <c r="BI248" s="849">
        <v>50238</v>
      </c>
      <c r="BJ248" s="849">
        <v>50444</v>
      </c>
      <c r="BK248" s="849">
        <v>50239</v>
      </c>
      <c r="BL248" s="849">
        <v>50240</v>
      </c>
      <c r="BM248" s="849">
        <v>50241</v>
      </c>
      <c r="BN248" s="849">
        <v>50521</v>
      </c>
      <c r="BO248" s="849">
        <v>50242</v>
      </c>
      <c r="BP248" s="849">
        <v>50244</v>
      </c>
      <c r="BQ248" s="849">
        <v>50243</v>
      </c>
      <c r="BR248" s="849">
        <v>50245</v>
      </c>
      <c r="BS248" s="849">
        <v>50522</v>
      </c>
      <c r="BT248" s="849">
        <v>50246</v>
      </c>
      <c r="BU248" s="849">
        <v>50247</v>
      </c>
      <c r="BV248" s="849">
        <v>50248</v>
      </c>
      <c r="BW248" s="849">
        <v>50249</v>
      </c>
      <c r="BX248" s="849">
        <v>50250</v>
      </c>
      <c r="BY248" s="849">
        <v>50251</v>
      </c>
      <c r="BZ248" s="849">
        <v>50252</v>
      </c>
      <c r="CA248" s="849">
        <v>50253</v>
      </c>
      <c r="CB248" s="849">
        <v>50454</v>
      </c>
    </row>
    <row r="249" spans="1:80" x14ac:dyDescent="0.25">
      <c r="A249" s="860"/>
      <c r="B249" s="808">
        <v>1000</v>
      </c>
      <c r="C249" s="832"/>
      <c r="D249" s="860"/>
      <c r="E249" s="853" t="s">
        <v>36</v>
      </c>
      <c r="F249" s="853" t="s">
        <v>36</v>
      </c>
      <c r="G249" s="853" t="s">
        <v>1197</v>
      </c>
      <c r="H249" s="853" t="s">
        <v>1197</v>
      </c>
      <c r="I249" s="853" t="s">
        <v>1197</v>
      </c>
      <c r="J249" s="853" t="s">
        <v>1197</v>
      </c>
      <c r="K249" s="853" t="s">
        <v>1197</v>
      </c>
      <c r="L249" s="853" t="s">
        <v>1197</v>
      </c>
      <c r="M249" s="853" t="s">
        <v>1197</v>
      </c>
      <c r="N249" s="853" t="s">
        <v>36</v>
      </c>
      <c r="O249" s="853" t="s">
        <v>1197</v>
      </c>
      <c r="P249" s="853" t="s">
        <v>1197</v>
      </c>
      <c r="Q249" s="853" t="s">
        <v>36</v>
      </c>
      <c r="R249" s="853" t="s">
        <v>1197</v>
      </c>
      <c r="S249" s="853" t="s">
        <v>1197</v>
      </c>
      <c r="T249" s="853" t="s">
        <v>1197</v>
      </c>
      <c r="U249" s="853" t="s">
        <v>1197</v>
      </c>
      <c r="V249" s="853" t="s">
        <v>1197</v>
      </c>
      <c r="W249" s="853" t="s">
        <v>36</v>
      </c>
      <c r="X249" s="853" t="s">
        <v>36</v>
      </c>
      <c r="Y249" s="853" t="s">
        <v>36</v>
      </c>
      <c r="Z249" s="853" t="s">
        <v>1197</v>
      </c>
      <c r="AA249" s="853" t="s">
        <v>1197</v>
      </c>
      <c r="AB249" s="853" t="s">
        <v>1197</v>
      </c>
      <c r="AC249" s="853" t="s">
        <v>36</v>
      </c>
      <c r="AD249" s="853" t="s">
        <v>1197</v>
      </c>
      <c r="AE249" s="853" t="s">
        <v>1197</v>
      </c>
      <c r="AF249" s="853" t="s">
        <v>1197</v>
      </c>
      <c r="AG249" s="853" t="s">
        <v>1197</v>
      </c>
      <c r="AH249" s="853" t="s">
        <v>36</v>
      </c>
      <c r="AI249" s="853" t="s">
        <v>36</v>
      </c>
      <c r="AJ249" s="853" t="s">
        <v>1197</v>
      </c>
      <c r="AK249" s="853" t="s">
        <v>1197</v>
      </c>
      <c r="AL249" s="853" t="s">
        <v>1197</v>
      </c>
      <c r="AM249" s="853" t="s">
        <v>36</v>
      </c>
      <c r="AN249" s="853" t="s">
        <v>1197</v>
      </c>
      <c r="AO249" s="853" t="s">
        <v>1197</v>
      </c>
      <c r="AP249" s="853" t="s">
        <v>1197</v>
      </c>
      <c r="AQ249" s="853" t="s">
        <v>36</v>
      </c>
      <c r="AR249" s="853" t="s">
        <v>1197</v>
      </c>
      <c r="AS249" s="853" t="s">
        <v>1197</v>
      </c>
      <c r="AT249" s="853" t="s">
        <v>1197</v>
      </c>
      <c r="AU249" s="853" t="s">
        <v>1197</v>
      </c>
      <c r="AV249" s="853" t="s">
        <v>1197</v>
      </c>
      <c r="AW249" s="853" t="s">
        <v>1197</v>
      </c>
      <c r="AX249" s="853" t="s">
        <v>1197</v>
      </c>
      <c r="AY249" s="853" t="s">
        <v>1197</v>
      </c>
      <c r="AZ249" s="853" t="s">
        <v>1197</v>
      </c>
      <c r="BA249" s="853" t="s">
        <v>1197</v>
      </c>
      <c r="BB249" s="853" t="s">
        <v>36</v>
      </c>
      <c r="BC249" s="853" t="s">
        <v>1197</v>
      </c>
      <c r="BD249" s="853" t="s">
        <v>1197</v>
      </c>
      <c r="BE249" s="853" t="s">
        <v>36</v>
      </c>
      <c r="BF249" s="853" t="s">
        <v>1197</v>
      </c>
      <c r="BG249" s="853" t="s">
        <v>1197</v>
      </c>
      <c r="BH249" s="853" t="s">
        <v>36</v>
      </c>
      <c r="BI249" s="853" t="s">
        <v>1197</v>
      </c>
      <c r="BJ249" s="853" t="s">
        <v>1197</v>
      </c>
      <c r="BK249" s="853" t="s">
        <v>1197</v>
      </c>
      <c r="BL249" s="853" t="s">
        <v>1197</v>
      </c>
      <c r="BM249" s="853" t="s">
        <v>1197</v>
      </c>
      <c r="BN249" s="853" t="s">
        <v>36</v>
      </c>
      <c r="BO249" s="853" t="s">
        <v>1197</v>
      </c>
      <c r="BP249" s="853" t="s">
        <v>1197</v>
      </c>
      <c r="BQ249" s="853" t="s">
        <v>1197</v>
      </c>
      <c r="BR249" s="853" t="s">
        <v>1197</v>
      </c>
      <c r="BS249" s="853" t="s">
        <v>36</v>
      </c>
      <c r="BT249" s="853" t="s">
        <v>36</v>
      </c>
      <c r="BU249" s="853" t="s">
        <v>1197</v>
      </c>
      <c r="BV249" s="853" t="s">
        <v>1197</v>
      </c>
      <c r="BW249" s="853" t="s">
        <v>1197</v>
      </c>
      <c r="BX249" s="853" t="s">
        <v>1197</v>
      </c>
      <c r="BY249" s="853" t="s">
        <v>36</v>
      </c>
      <c r="BZ249" s="853" t="s">
        <v>36</v>
      </c>
      <c r="CA249" s="853" t="s">
        <v>1197</v>
      </c>
      <c r="CB249" s="853" t="s">
        <v>36</v>
      </c>
    </row>
    <row r="250" spans="1:80" x14ac:dyDescent="0.25">
      <c r="A250" s="860"/>
      <c r="B250" s="808">
        <v>537</v>
      </c>
      <c r="C250" s="832"/>
      <c r="D250" s="860"/>
      <c r="E250" s="853" t="s">
        <v>811</v>
      </c>
      <c r="F250" s="853" t="s">
        <v>811</v>
      </c>
      <c r="G250" s="853" t="s">
        <v>58</v>
      </c>
      <c r="H250" s="853" t="s">
        <v>59</v>
      </c>
      <c r="I250" s="853" t="s">
        <v>59</v>
      </c>
      <c r="J250" s="853" t="s">
        <v>58</v>
      </c>
      <c r="K250" s="853" t="s">
        <v>59</v>
      </c>
      <c r="L250" s="853" t="s">
        <v>58</v>
      </c>
      <c r="M250" s="853" t="s">
        <v>58</v>
      </c>
      <c r="N250" s="853" t="s">
        <v>59</v>
      </c>
      <c r="O250" s="853" t="s">
        <v>59</v>
      </c>
      <c r="P250" s="853" t="s">
        <v>59</v>
      </c>
      <c r="Q250" s="853" t="s">
        <v>59</v>
      </c>
      <c r="R250" s="853" t="s">
        <v>58</v>
      </c>
      <c r="S250" s="853" t="s">
        <v>58</v>
      </c>
      <c r="T250" s="853" t="s">
        <v>59</v>
      </c>
      <c r="U250" s="853" t="s">
        <v>59</v>
      </c>
      <c r="V250" s="853" t="s">
        <v>59</v>
      </c>
      <c r="W250" s="853" t="s">
        <v>811</v>
      </c>
      <c r="X250" s="853" t="s">
        <v>811</v>
      </c>
      <c r="Y250" s="853" t="s">
        <v>58</v>
      </c>
      <c r="Z250" s="853" t="s">
        <v>59</v>
      </c>
      <c r="AA250" s="853" t="s">
        <v>59</v>
      </c>
      <c r="AB250" s="853" t="s">
        <v>59</v>
      </c>
      <c r="AC250" s="853" t="s">
        <v>811</v>
      </c>
      <c r="AD250" s="853" t="s">
        <v>59</v>
      </c>
      <c r="AE250" s="853" t="s">
        <v>59</v>
      </c>
      <c r="AF250" s="853" t="s">
        <v>58</v>
      </c>
      <c r="AG250" s="853" t="s">
        <v>811</v>
      </c>
      <c r="AH250" s="853" t="s">
        <v>811</v>
      </c>
      <c r="AI250" s="853" t="s">
        <v>59</v>
      </c>
      <c r="AJ250" s="853" t="s">
        <v>58</v>
      </c>
      <c r="AK250" s="853" t="s">
        <v>59</v>
      </c>
      <c r="AL250" s="853" t="s">
        <v>59</v>
      </c>
      <c r="AM250" s="853" t="s">
        <v>59</v>
      </c>
      <c r="AN250" s="853" t="s">
        <v>59</v>
      </c>
      <c r="AO250" s="853" t="s">
        <v>58</v>
      </c>
      <c r="AP250" s="853" t="s">
        <v>59</v>
      </c>
      <c r="AQ250" s="853" t="s">
        <v>811</v>
      </c>
      <c r="AR250" s="853" t="s">
        <v>58</v>
      </c>
      <c r="AS250" s="853" t="s">
        <v>59</v>
      </c>
      <c r="AT250" s="853" t="s">
        <v>58</v>
      </c>
      <c r="AU250" s="853" t="s">
        <v>59</v>
      </c>
      <c r="AV250" s="853" t="s">
        <v>59</v>
      </c>
      <c r="AW250" s="853" t="s">
        <v>58</v>
      </c>
      <c r="AX250" s="853" t="s">
        <v>59</v>
      </c>
      <c r="AY250" s="853" t="s">
        <v>59</v>
      </c>
      <c r="AZ250" s="853" t="s">
        <v>58</v>
      </c>
      <c r="BA250" s="853" t="s">
        <v>59</v>
      </c>
      <c r="BB250" s="853" t="s">
        <v>811</v>
      </c>
      <c r="BC250" s="853" t="s">
        <v>58</v>
      </c>
      <c r="BD250" s="853" t="s">
        <v>59</v>
      </c>
      <c r="BE250" s="853" t="s">
        <v>811</v>
      </c>
      <c r="BF250" s="853" t="s">
        <v>58</v>
      </c>
      <c r="BG250" s="853" t="s">
        <v>59</v>
      </c>
      <c r="BH250" s="853" t="s">
        <v>811</v>
      </c>
      <c r="BI250" s="853" t="s">
        <v>59</v>
      </c>
      <c r="BJ250" s="853" t="s">
        <v>58</v>
      </c>
      <c r="BK250" s="853" t="s">
        <v>59</v>
      </c>
      <c r="BL250" s="853" t="s">
        <v>811</v>
      </c>
      <c r="BM250" s="853" t="s">
        <v>59</v>
      </c>
      <c r="BN250" s="853" t="s">
        <v>811</v>
      </c>
      <c r="BO250" s="853" t="s">
        <v>58</v>
      </c>
      <c r="BP250" s="853" t="s">
        <v>58</v>
      </c>
      <c r="BQ250" s="853" t="s">
        <v>58</v>
      </c>
      <c r="BR250" s="853" t="s">
        <v>59</v>
      </c>
      <c r="BS250" s="853" t="s">
        <v>59</v>
      </c>
      <c r="BT250" s="853" t="s">
        <v>59</v>
      </c>
      <c r="BU250" s="853" t="s">
        <v>59</v>
      </c>
      <c r="BV250" s="853" t="s">
        <v>58</v>
      </c>
      <c r="BW250" s="853" t="s">
        <v>58</v>
      </c>
      <c r="BX250" s="853" t="s">
        <v>58</v>
      </c>
      <c r="BY250" s="853" t="s">
        <v>811</v>
      </c>
      <c r="BZ250" s="853" t="s">
        <v>811</v>
      </c>
      <c r="CA250" s="853" t="s">
        <v>59</v>
      </c>
      <c r="CB250" s="853" t="s">
        <v>811</v>
      </c>
    </row>
    <row r="251" spans="1:80" x14ac:dyDescent="0.25">
      <c r="A251" s="840"/>
      <c r="B251" s="808">
        <v>538</v>
      </c>
      <c r="C251" s="832"/>
      <c r="D251" s="860"/>
      <c r="E251" s="853" t="s">
        <v>811</v>
      </c>
      <c r="F251" s="853" t="s">
        <v>811</v>
      </c>
      <c r="G251" s="853" t="s">
        <v>59</v>
      </c>
      <c r="H251" s="853" t="s">
        <v>59</v>
      </c>
      <c r="I251" s="853" t="s">
        <v>58</v>
      </c>
      <c r="J251" s="853" t="s">
        <v>58</v>
      </c>
      <c r="K251" s="853" t="s">
        <v>59</v>
      </c>
      <c r="L251" s="853" t="s">
        <v>59</v>
      </c>
      <c r="M251" s="853" t="s">
        <v>59</v>
      </c>
      <c r="N251" s="853" t="s">
        <v>59</v>
      </c>
      <c r="O251" s="853" t="s">
        <v>59</v>
      </c>
      <c r="P251" s="853" t="s">
        <v>58</v>
      </c>
      <c r="Q251" s="853" t="s">
        <v>59</v>
      </c>
      <c r="R251" s="853" t="s">
        <v>58</v>
      </c>
      <c r="S251" s="853" t="s">
        <v>59</v>
      </c>
      <c r="T251" s="853" t="s">
        <v>59</v>
      </c>
      <c r="U251" s="853" t="s">
        <v>59</v>
      </c>
      <c r="V251" s="853" t="s">
        <v>59</v>
      </c>
      <c r="W251" s="853" t="s">
        <v>811</v>
      </c>
      <c r="X251" s="853" t="s">
        <v>811</v>
      </c>
      <c r="Y251" s="853" t="s">
        <v>59</v>
      </c>
      <c r="Z251" s="853" t="s">
        <v>58</v>
      </c>
      <c r="AA251" s="853" t="s">
        <v>58</v>
      </c>
      <c r="AB251" s="853" t="s">
        <v>59</v>
      </c>
      <c r="AC251" s="853" t="s">
        <v>811</v>
      </c>
      <c r="AD251" s="853" t="s">
        <v>59</v>
      </c>
      <c r="AE251" s="853" t="s">
        <v>59</v>
      </c>
      <c r="AF251" s="853" t="s">
        <v>59</v>
      </c>
      <c r="AG251" s="853" t="s">
        <v>811</v>
      </c>
      <c r="AH251" s="853" t="s">
        <v>811</v>
      </c>
      <c r="AI251" s="853" t="s">
        <v>59</v>
      </c>
      <c r="AJ251" s="853" t="s">
        <v>58</v>
      </c>
      <c r="AK251" s="853" t="s">
        <v>59</v>
      </c>
      <c r="AL251" s="853" t="s">
        <v>59</v>
      </c>
      <c r="AM251" s="853" t="s">
        <v>59</v>
      </c>
      <c r="AN251" s="853" t="s">
        <v>59</v>
      </c>
      <c r="AO251" s="853" t="s">
        <v>58</v>
      </c>
      <c r="AP251" s="853" t="s">
        <v>59</v>
      </c>
      <c r="AQ251" s="853" t="s">
        <v>811</v>
      </c>
      <c r="AR251" s="853" t="s">
        <v>58</v>
      </c>
      <c r="AS251" s="853" t="s">
        <v>59</v>
      </c>
      <c r="AT251" s="853" t="s">
        <v>58</v>
      </c>
      <c r="AU251" s="853" t="s">
        <v>59</v>
      </c>
      <c r="AV251" s="853" t="s">
        <v>59</v>
      </c>
      <c r="AW251" s="853" t="s">
        <v>59</v>
      </c>
      <c r="AX251" s="853" t="s">
        <v>59</v>
      </c>
      <c r="AY251" s="853" t="s">
        <v>811</v>
      </c>
      <c r="AZ251" s="853" t="s">
        <v>58</v>
      </c>
      <c r="BA251" s="853" t="s">
        <v>59</v>
      </c>
      <c r="BB251" s="853" t="s">
        <v>811</v>
      </c>
      <c r="BC251" s="853" t="s">
        <v>59</v>
      </c>
      <c r="BD251" s="853" t="s">
        <v>58</v>
      </c>
      <c r="BE251" s="853" t="s">
        <v>811</v>
      </c>
      <c r="BF251" s="853" t="s">
        <v>59</v>
      </c>
      <c r="BG251" s="853" t="s">
        <v>58</v>
      </c>
      <c r="BH251" s="853" t="s">
        <v>811</v>
      </c>
      <c r="BI251" s="853" t="s">
        <v>59</v>
      </c>
      <c r="BJ251" s="853" t="s">
        <v>59</v>
      </c>
      <c r="BK251" s="853" t="s">
        <v>59</v>
      </c>
      <c r="BL251" s="853" t="s">
        <v>811</v>
      </c>
      <c r="BM251" s="853" t="s">
        <v>59</v>
      </c>
      <c r="BN251" s="853" t="s">
        <v>811</v>
      </c>
      <c r="BO251" s="853" t="s">
        <v>58</v>
      </c>
      <c r="BP251" s="853" t="s">
        <v>58</v>
      </c>
      <c r="BQ251" s="853" t="s">
        <v>59</v>
      </c>
      <c r="BR251" s="853" t="s">
        <v>59</v>
      </c>
      <c r="BS251" s="853" t="s">
        <v>59</v>
      </c>
      <c r="BT251" s="853" t="s">
        <v>59</v>
      </c>
      <c r="BU251" s="853" t="s">
        <v>59</v>
      </c>
      <c r="BV251" s="853" t="s">
        <v>58</v>
      </c>
      <c r="BW251" s="853" t="s">
        <v>58</v>
      </c>
      <c r="BX251" s="853" t="s">
        <v>59</v>
      </c>
      <c r="BY251" s="853" t="s">
        <v>811</v>
      </c>
      <c r="BZ251" s="853" t="s">
        <v>811</v>
      </c>
      <c r="CA251" s="853" t="s">
        <v>58</v>
      </c>
      <c r="CB251" s="853" t="s">
        <v>811</v>
      </c>
    </row>
    <row r="252" spans="1:80" x14ac:dyDescent="0.25">
      <c r="A252" s="840"/>
      <c r="B252" s="811">
        <v>591</v>
      </c>
      <c r="C252" s="847" t="s">
        <v>709</v>
      </c>
      <c r="D252" s="860"/>
      <c r="E252" s="853">
        <v>0</v>
      </c>
      <c r="F252" s="493">
        <v>672371</v>
      </c>
      <c r="G252" s="493">
        <v>277540</v>
      </c>
      <c r="H252" s="493">
        <v>31915185</v>
      </c>
      <c r="I252" s="493">
        <v>2577015</v>
      </c>
      <c r="J252" s="493">
        <v>224876</v>
      </c>
      <c r="K252" s="833">
        <v>867163</v>
      </c>
      <c r="L252" s="827">
        <v>967330</v>
      </c>
      <c r="M252" s="827">
        <v>22456617</v>
      </c>
      <c r="N252" s="855">
        <v>0</v>
      </c>
      <c r="O252" s="855">
        <v>673195</v>
      </c>
      <c r="P252" s="855">
        <v>1320302</v>
      </c>
      <c r="Q252" s="855">
        <v>1460104</v>
      </c>
      <c r="R252" s="855">
        <v>3604959</v>
      </c>
      <c r="S252" s="855">
        <v>5364555</v>
      </c>
      <c r="T252" s="855">
        <v>23803563</v>
      </c>
      <c r="U252" s="855">
        <v>230333</v>
      </c>
      <c r="V252" s="855">
        <v>64033041</v>
      </c>
      <c r="W252" s="855">
        <v>0</v>
      </c>
      <c r="X252" s="855">
        <v>0</v>
      </c>
      <c r="Y252" s="855">
        <v>16656</v>
      </c>
      <c r="Z252" s="855">
        <v>1926866</v>
      </c>
      <c r="AA252" s="827">
        <v>5064719</v>
      </c>
      <c r="AB252" s="827">
        <v>1677043</v>
      </c>
      <c r="AC252" s="827">
        <v>0</v>
      </c>
      <c r="AD252" s="827">
        <v>101993</v>
      </c>
      <c r="AE252" s="827">
        <v>1039956</v>
      </c>
      <c r="AF252" s="827">
        <v>8958444</v>
      </c>
      <c r="AG252" s="827">
        <v>63196</v>
      </c>
      <c r="AH252" s="827">
        <v>0</v>
      </c>
      <c r="AI252" s="827">
        <v>0</v>
      </c>
      <c r="AJ252" s="827">
        <v>428995</v>
      </c>
      <c r="AK252" s="827">
        <v>22091277</v>
      </c>
      <c r="AL252" s="827">
        <v>156126</v>
      </c>
      <c r="AM252" s="827">
        <v>0</v>
      </c>
      <c r="AN252" s="827">
        <v>4285438</v>
      </c>
      <c r="AO252" s="827">
        <v>6855249</v>
      </c>
      <c r="AP252" s="827">
        <v>136040</v>
      </c>
      <c r="AQ252" s="827">
        <v>0</v>
      </c>
      <c r="AR252" s="827">
        <v>67027369</v>
      </c>
      <c r="AS252" s="827">
        <v>1004553</v>
      </c>
      <c r="AT252" s="827">
        <v>400299</v>
      </c>
      <c r="AU252" s="827">
        <v>1836443</v>
      </c>
      <c r="AV252" s="827">
        <v>13920845</v>
      </c>
      <c r="AW252" s="827">
        <v>317910</v>
      </c>
      <c r="AX252" s="827">
        <v>636109</v>
      </c>
      <c r="AY252" s="827">
        <v>924216</v>
      </c>
      <c r="AZ252" s="827">
        <v>2046227</v>
      </c>
      <c r="BA252" s="827">
        <v>9210516</v>
      </c>
      <c r="BB252" s="827">
        <v>0</v>
      </c>
      <c r="BC252" s="827">
        <v>1316024</v>
      </c>
      <c r="BD252" s="827">
        <v>2611087</v>
      </c>
      <c r="BE252" s="827">
        <v>0</v>
      </c>
      <c r="BF252" s="827">
        <v>38912763</v>
      </c>
      <c r="BG252" s="827">
        <v>740061</v>
      </c>
      <c r="BH252" s="827">
        <v>0</v>
      </c>
      <c r="BI252" s="827">
        <v>1638738</v>
      </c>
      <c r="BJ252" s="827">
        <v>818900</v>
      </c>
      <c r="BK252" s="827">
        <v>553177</v>
      </c>
      <c r="BL252" s="827">
        <v>9357245</v>
      </c>
      <c r="BM252" s="827">
        <v>1703914</v>
      </c>
      <c r="BN252" s="827">
        <v>0</v>
      </c>
      <c r="BO252" s="827">
        <v>3664420</v>
      </c>
      <c r="BP252" s="827">
        <v>968900</v>
      </c>
      <c r="BQ252" s="827">
        <v>857649</v>
      </c>
      <c r="BR252" s="827">
        <v>1363947</v>
      </c>
      <c r="BS252" s="827">
        <v>0</v>
      </c>
      <c r="BT252" s="827">
        <v>0</v>
      </c>
      <c r="BU252" s="827">
        <v>781894</v>
      </c>
      <c r="BV252" s="827">
        <v>2408408</v>
      </c>
      <c r="BW252" s="827">
        <v>498078</v>
      </c>
      <c r="BX252" s="827">
        <v>578687</v>
      </c>
      <c r="BY252" s="827">
        <v>0</v>
      </c>
      <c r="BZ252" s="827">
        <v>0</v>
      </c>
      <c r="CA252" s="827">
        <v>6039261</v>
      </c>
      <c r="CB252" s="827">
        <v>0</v>
      </c>
    </row>
    <row r="253" spans="1:80" x14ac:dyDescent="0.25">
      <c r="A253" s="787">
        <v>591</v>
      </c>
      <c r="B253" s="811">
        <v>592</v>
      </c>
      <c r="C253" s="847" t="s">
        <v>710</v>
      </c>
      <c r="D253" s="860"/>
      <c r="E253" s="853">
        <v>0</v>
      </c>
      <c r="F253" s="493">
        <v>731519</v>
      </c>
      <c r="G253" s="493">
        <v>-18950</v>
      </c>
      <c r="H253" s="493">
        <v>1875959</v>
      </c>
      <c r="I253" s="493">
        <v>989756</v>
      </c>
      <c r="J253" s="493">
        <v>-20515</v>
      </c>
      <c r="K253" s="833">
        <v>201052</v>
      </c>
      <c r="L253" s="827">
        <v>159643</v>
      </c>
      <c r="M253" s="827">
        <v>5155265</v>
      </c>
      <c r="N253" s="855">
        <v>0</v>
      </c>
      <c r="O253" s="855">
        <v>75493</v>
      </c>
      <c r="P253" s="855">
        <v>76697</v>
      </c>
      <c r="Q253" s="855">
        <v>-149684</v>
      </c>
      <c r="R253" s="855">
        <v>1061196</v>
      </c>
      <c r="S253" s="855">
        <v>549757</v>
      </c>
      <c r="T253" s="855">
        <v>3014822</v>
      </c>
      <c r="U253" s="855">
        <v>-84954</v>
      </c>
      <c r="V253" s="855">
        <v>7453499</v>
      </c>
      <c r="W253" s="855">
        <v>0</v>
      </c>
      <c r="X253" s="855">
        <v>0</v>
      </c>
      <c r="Y253" s="855">
        <v>1446</v>
      </c>
      <c r="Z253" s="855">
        <v>29317</v>
      </c>
      <c r="AA253" s="827">
        <v>-168295</v>
      </c>
      <c r="AB253" s="827">
        <v>58870</v>
      </c>
      <c r="AC253" s="827">
        <v>0</v>
      </c>
      <c r="AD253" s="827">
        <v>-4319</v>
      </c>
      <c r="AE253" s="827">
        <v>-16621</v>
      </c>
      <c r="AF253" s="827">
        <v>-547421</v>
      </c>
      <c r="AG253" s="827">
        <v>-10466</v>
      </c>
      <c r="AH253" s="827">
        <v>0</v>
      </c>
      <c r="AI253" s="827">
        <v>0</v>
      </c>
      <c r="AJ253" s="827">
        <v>18021</v>
      </c>
      <c r="AK253" s="827">
        <v>-365283</v>
      </c>
      <c r="AL253" s="827">
        <v>-28372</v>
      </c>
      <c r="AM253" s="827">
        <v>0</v>
      </c>
      <c r="AN253" s="827">
        <v>614093</v>
      </c>
      <c r="AO253" s="827">
        <v>13101800</v>
      </c>
      <c r="AP253" s="827">
        <v>9019</v>
      </c>
      <c r="AQ253" s="827">
        <v>0</v>
      </c>
      <c r="AR253" s="827">
        <v>5953082</v>
      </c>
      <c r="AS253" s="827">
        <v>-72384</v>
      </c>
      <c r="AT253" s="827">
        <v>-43632</v>
      </c>
      <c r="AU253" s="827">
        <v>297976</v>
      </c>
      <c r="AV253" s="827">
        <v>1768648</v>
      </c>
      <c r="AW253" s="827">
        <v>70053</v>
      </c>
      <c r="AX253" s="827">
        <v>-283932</v>
      </c>
      <c r="AY253" s="827">
        <v>553069</v>
      </c>
      <c r="AZ253" s="827">
        <v>121922</v>
      </c>
      <c r="BA253" s="827">
        <v>194655</v>
      </c>
      <c r="BB253" s="827">
        <v>0</v>
      </c>
      <c r="BC253" s="827">
        <v>305280</v>
      </c>
      <c r="BD253" s="827">
        <v>258477</v>
      </c>
      <c r="BE253" s="827">
        <v>0</v>
      </c>
      <c r="BF253" s="827">
        <v>1396039</v>
      </c>
      <c r="BG253" s="827">
        <v>-93067</v>
      </c>
      <c r="BH253" s="827">
        <v>0</v>
      </c>
      <c r="BI253" s="827">
        <v>-19732</v>
      </c>
      <c r="BJ253" s="827">
        <v>120938</v>
      </c>
      <c r="BK253" s="827">
        <v>1738631</v>
      </c>
      <c r="BL253" s="827">
        <v>588876</v>
      </c>
      <c r="BM253" s="827">
        <v>333392</v>
      </c>
      <c r="BN253" s="827">
        <v>0</v>
      </c>
      <c r="BO253" s="827">
        <v>-284744</v>
      </c>
      <c r="BP253" s="827">
        <v>118884</v>
      </c>
      <c r="BQ253" s="827">
        <v>1612654</v>
      </c>
      <c r="BR253" s="827">
        <v>342312</v>
      </c>
      <c r="BS253" s="827">
        <v>0</v>
      </c>
      <c r="BT253" s="827">
        <v>0</v>
      </c>
      <c r="BU253" s="827">
        <v>933367</v>
      </c>
      <c r="BV253" s="827">
        <v>-286233</v>
      </c>
      <c r="BW253" s="827">
        <v>-60500</v>
      </c>
      <c r="BX253" s="827">
        <v>165639</v>
      </c>
      <c r="BY253" s="827">
        <v>0</v>
      </c>
      <c r="BZ253" s="827">
        <v>0</v>
      </c>
      <c r="CA253" s="827">
        <v>3368927</v>
      </c>
      <c r="CB253" s="827">
        <v>0</v>
      </c>
    </row>
    <row r="254" spans="1:80" x14ac:dyDescent="0.25">
      <c r="A254" s="787">
        <v>592</v>
      </c>
      <c r="B254" s="811">
        <v>595</v>
      </c>
      <c r="C254" s="847" t="s">
        <v>786</v>
      </c>
      <c r="D254" s="860"/>
      <c r="E254" s="853"/>
      <c r="F254" s="493"/>
      <c r="G254" s="493"/>
      <c r="H254" s="493"/>
      <c r="I254" s="493"/>
      <c r="J254" s="493"/>
      <c r="K254" s="833"/>
      <c r="L254" s="827"/>
      <c r="M254" s="827"/>
      <c r="N254" s="855"/>
      <c r="O254" s="855"/>
      <c r="P254" s="855"/>
      <c r="Q254" s="855"/>
      <c r="R254" s="855"/>
      <c r="S254" s="855"/>
      <c r="T254" s="855"/>
      <c r="U254" s="855"/>
      <c r="V254" s="855"/>
      <c r="W254" s="855"/>
      <c r="X254" s="855"/>
      <c r="Y254" s="855"/>
      <c r="Z254" s="855"/>
      <c r="AA254" s="827"/>
      <c r="AB254" s="827"/>
      <c r="AC254" s="827"/>
      <c r="AD254" s="827"/>
      <c r="AE254" s="827"/>
      <c r="AF254" s="827"/>
      <c r="AG254" s="827"/>
      <c r="AH254" s="827"/>
      <c r="AI254" s="827"/>
      <c r="AJ254" s="827"/>
      <c r="AK254" s="827"/>
      <c r="AL254" s="827"/>
      <c r="AM254" s="827"/>
      <c r="AN254" s="827"/>
      <c r="AO254" s="827"/>
      <c r="AP254" s="827"/>
      <c r="AQ254" s="827"/>
      <c r="AR254" s="827"/>
      <c r="AS254" s="827"/>
      <c r="AT254" s="827"/>
      <c r="AU254" s="827"/>
      <c r="AV254" s="827"/>
      <c r="AW254" s="827"/>
      <c r="AX254" s="827"/>
      <c r="AY254" s="827"/>
      <c r="AZ254" s="827"/>
      <c r="BA254" s="827"/>
      <c r="BB254" s="827"/>
      <c r="BC254" s="827"/>
      <c r="BD254" s="827"/>
      <c r="BE254" s="827"/>
      <c r="BF254" s="827"/>
      <c r="BG254" s="827"/>
      <c r="BH254" s="827"/>
      <c r="BI254" s="827"/>
      <c r="BJ254" s="827"/>
      <c r="BK254" s="827"/>
      <c r="BL254" s="827"/>
      <c r="BM254" s="827"/>
      <c r="BN254" s="827"/>
      <c r="BO254" s="827"/>
      <c r="BP254" s="827"/>
      <c r="BQ254" s="827"/>
      <c r="BR254" s="827"/>
      <c r="BS254" s="827"/>
      <c r="BT254" s="827"/>
      <c r="BU254" s="827"/>
      <c r="BV254" s="827"/>
      <c r="BW254" s="827"/>
      <c r="BX254" s="827"/>
      <c r="BY254" s="827"/>
      <c r="BZ254" s="827"/>
      <c r="CA254" s="827"/>
      <c r="CB254" s="827"/>
    </row>
    <row r="255" spans="1:80" x14ac:dyDescent="0.25">
      <c r="A255" s="787">
        <v>596</v>
      </c>
      <c r="B255" s="811">
        <v>596</v>
      </c>
      <c r="C255" s="847" t="s">
        <v>716</v>
      </c>
      <c r="D255" s="860"/>
      <c r="E255" s="853">
        <v>52</v>
      </c>
      <c r="F255" s="493">
        <v>0</v>
      </c>
      <c r="G255" s="493">
        <v>52</v>
      </c>
      <c r="H255" s="493">
        <v>52</v>
      </c>
      <c r="I255" s="493">
        <v>52</v>
      </c>
      <c r="J255" s="493">
        <v>52</v>
      </c>
      <c r="K255" s="833">
        <v>52</v>
      </c>
      <c r="L255" s="827">
        <v>52</v>
      </c>
      <c r="M255" s="827">
        <v>52</v>
      </c>
      <c r="N255" s="855">
        <v>52</v>
      </c>
      <c r="O255" s="855">
        <v>52</v>
      </c>
      <c r="P255" s="855">
        <v>52</v>
      </c>
      <c r="Q255" s="855">
        <v>52</v>
      </c>
      <c r="R255" s="855">
        <v>52</v>
      </c>
      <c r="S255" s="855">
        <v>52</v>
      </c>
      <c r="T255" s="855">
        <v>52</v>
      </c>
      <c r="U255" s="855">
        <v>52</v>
      </c>
      <c r="V255" s="855">
        <v>52</v>
      </c>
      <c r="W255" s="855">
        <v>0</v>
      </c>
      <c r="X255" s="855">
        <v>0</v>
      </c>
      <c r="Y255" s="855">
        <v>52</v>
      </c>
      <c r="Z255" s="855">
        <v>52</v>
      </c>
      <c r="AA255" s="827">
        <v>52</v>
      </c>
      <c r="AB255" s="827">
        <v>52</v>
      </c>
      <c r="AC255" s="827">
        <v>0</v>
      </c>
      <c r="AD255" s="827">
        <v>52</v>
      </c>
      <c r="AE255" s="827">
        <v>52</v>
      </c>
      <c r="AF255" s="827">
        <v>52</v>
      </c>
      <c r="AG255" s="827">
        <v>52</v>
      </c>
      <c r="AH255" s="827">
        <v>0</v>
      </c>
      <c r="AI255" s="827">
        <v>52</v>
      </c>
      <c r="AJ255" s="827">
        <v>52</v>
      </c>
      <c r="AK255" s="827">
        <v>52</v>
      </c>
      <c r="AL255" s="827">
        <v>52</v>
      </c>
      <c r="AM255" s="827">
        <v>0</v>
      </c>
      <c r="AN255" s="827">
        <v>52</v>
      </c>
      <c r="AO255" s="827">
        <v>52</v>
      </c>
      <c r="AP255" s="827">
        <v>52</v>
      </c>
      <c r="AQ255" s="827">
        <v>0</v>
      </c>
      <c r="AR255" s="827">
        <v>52</v>
      </c>
      <c r="AS255" s="827">
        <v>52</v>
      </c>
      <c r="AT255" s="827">
        <v>52</v>
      </c>
      <c r="AU255" s="827">
        <v>52</v>
      </c>
      <c r="AV255" s="827">
        <v>52</v>
      </c>
      <c r="AW255" s="827">
        <v>52</v>
      </c>
      <c r="AX255" s="827">
        <v>52</v>
      </c>
      <c r="AY255" s="827">
        <v>52</v>
      </c>
      <c r="AZ255" s="827">
        <v>52</v>
      </c>
      <c r="BA255" s="827">
        <v>52</v>
      </c>
      <c r="BB255" s="827">
        <v>0</v>
      </c>
      <c r="BC255" s="827">
        <v>52</v>
      </c>
      <c r="BD255" s="827">
        <v>52</v>
      </c>
      <c r="BE255" s="827">
        <v>52</v>
      </c>
      <c r="BF255" s="827">
        <v>52</v>
      </c>
      <c r="BG255" s="827">
        <v>52</v>
      </c>
      <c r="BH255" s="827">
        <v>52</v>
      </c>
      <c r="BI255" s="827">
        <v>52</v>
      </c>
      <c r="BJ255" s="827">
        <v>52</v>
      </c>
      <c r="BK255" s="827">
        <v>52</v>
      </c>
      <c r="BL255" s="827">
        <v>52</v>
      </c>
      <c r="BM255" s="827">
        <v>52</v>
      </c>
      <c r="BN255" s="827">
        <v>0</v>
      </c>
      <c r="BO255" s="827">
        <v>52</v>
      </c>
      <c r="BP255" s="827">
        <v>52</v>
      </c>
      <c r="BQ255" s="827">
        <v>52</v>
      </c>
      <c r="BR255" s="827">
        <v>52</v>
      </c>
      <c r="BS255" s="827">
        <v>52</v>
      </c>
      <c r="BT255" s="827">
        <v>52</v>
      </c>
      <c r="BU255" s="827">
        <v>52</v>
      </c>
      <c r="BV255" s="827">
        <v>52</v>
      </c>
      <c r="BW255" s="827">
        <v>52</v>
      </c>
      <c r="BX255" s="827">
        <v>52</v>
      </c>
      <c r="BY255" s="827">
        <v>0</v>
      </c>
      <c r="BZ255" s="827">
        <v>0</v>
      </c>
      <c r="CA255" s="827">
        <v>52</v>
      </c>
      <c r="CB255" s="827">
        <v>52</v>
      </c>
    </row>
    <row r="256" spans="1:80" x14ac:dyDescent="0.25">
      <c r="A256" s="787">
        <v>597</v>
      </c>
      <c r="B256" s="811">
        <v>597</v>
      </c>
      <c r="C256" s="847" t="s">
        <v>787</v>
      </c>
      <c r="D256" s="860"/>
      <c r="E256" s="853">
        <v>-7631</v>
      </c>
      <c r="F256" s="493">
        <v>282864</v>
      </c>
      <c r="G256" s="493">
        <v>815</v>
      </c>
      <c r="H256" s="493">
        <v>873636</v>
      </c>
      <c r="I256" s="493">
        <v>108880</v>
      </c>
      <c r="J256" s="493">
        <v>1996</v>
      </c>
      <c r="K256" s="833">
        <v>46383</v>
      </c>
      <c r="L256" s="827">
        <v>1668</v>
      </c>
      <c r="M256" s="827">
        <v>658406</v>
      </c>
      <c r="N256" s="855">
        <v>208</v>
      </c>
      <c r="O256" s="855">
        <v>3964</v>
      </c>
      <c r="P256" s="855">
        <v>639</v>
      </c>
      <c r="Q256" s="855">
        <v>191753</v>
      </c>
      <c r="R256" s="855">
        <v>132000</v>
      </c>
      <c r="S256" s="855">
        <v>70878</v>
      </c>
      <c r="T256" s="855">
        <v>105221</v>
      </c>
      <c r="U256" s="855">
        <v>424</v>
      </c>
      <c r="V256" s="855">
        <v>142369</v>
      </c>
      <c r="W256" s="855">
        <v>236</v>
      </c>
      <c r="X256" s="855">
        <v>104563</v>
      </c>
      <c r="Y256" s="855">
        <v>146247</v>
      </c>
      <c r="Z256" s="855">
        <v>15351</v>
      </c>
      <c r="AA256" s="827">
        <v>15562</v>
      </c>
      <c r="AB256" s="827">
        <v>3987</v>
      </c>
      <c r="AC256" s="827">
        <v>5396</v>
      </c>
      <c r="AD256" s="827">
        <v>168</v>
      </c>
      <c r="AE256" s="827">
        <v>167</v>
      </c>
      <c r="AF256" s="827">
        <v>13605</v>
      </c>
      <c r="AG256" s="827">
        <v>1302</v>
      </c>
      <c r="AH256" s="827">
        <v>106</v>
      </c>
      <c r="AI256" s="827">
        <v>2177</v>
      </c>
      <c r="AJ256" s="827">
        <v>19125</v>
      </c>
      <c r="AK256" s="827">
        <v>154855</v>
      </c>
      <c r="AL256" s="827">
        <v>2635</v>
      </c>
      <c r="AM256" s="827">
        <v>5</v>
      </c>
      <c r="AN256" s="827">
        <v>200253</v>
      </c>
      <c r="AO256" s="827">
        <v>145730</v>
      </c>
      <c r="AP256" s="827">
        <v>149</v>
      </c>
      <c r="AQ256" s="827">
        <v>92135</v>
      </c>
      <c r="AR256" s="827">
        <v>488259</v>
      </c>
      <c r="AS256" s="827">
        <v>28668</v>
      </c>
      <c r="AT256" s="827">
        <v>3544</v>
      </c>
      <c r="AU256" s="827">
        <v>35129</v>
      </c>
      <c r="AV256" s="827">
        <v>186696</v>
      </c>
      <c r="AW256" s="827">
        <v>2067</v>
      </c>
      <c r="AX256" s="827">
        <v>8708</v>
      </c>
      <c r="AY256" s="827">
        <v>12879</v>
      </c>
      <c r="AZ256" s="827">
        <v>16042</v>
      </c>
      <c r="BA256" s="827">
        <v>19445</v>
      </c>
      <c r="BB256" s="827">
        <v>96</v>
      </c>
      <c r="BC256" s="827">
        <v>9000</v>
      </c>
      <c r="BD256" s="827">
        <v>21082</v>
      </c>
      <c r="BE256" s="827">
        <v>4183</v>
      </c>
      <c r="BF256" s="827">
        <v>112025</v>
      </c>
      <c r="BG256" s="827">
        <v>1337</v>
      </c>
      <c r="BH256" s="827">
        <v>455</v>
      </c>
      <c r="BI256" s="827">
        <v>21718</v>
      </c>
      <c r="BJ256" s="827">
        <v>41473</v>
      </c>
      <c r="BK256" s="827">
        <v>60</v>
      </c>
      <c r="BL256" s="827">
        <v>87638</v>
      </c>
      <c r="BM256" s="827">
        <v>101131</v>
      </c>
      <c r="BN256" s="827">
        <v>219</v>
      </c>
      <c r="BO256" s="827">
        <v>22389</v>
      </c>
      <c r="BP256" s="827">
        <v>59315</v>
      </c>
      <c r="BQ256" s="827">
        <v>1338</v>
      </c>
      <c r="BR256" s="827">
        <v>14851</v>
      </c>
      <c r="BS256" s="827">
        <v>152</v>
      </c>
      <c r="BT256" s="827">
        <v>168125</v>
      </c>
      <c r="BU256" s="827">
        <v>11315</v>
      </c>
      <c r="BV256" s="827">
        <v>36253</v>
      </c>
      <c r="BW256" s="827">
        <v>0</v>
      </c>
      <c r="BX256" s="827">
        <v>10328</v>
      </c>
      <c r="BY256" s="827">
        <v>196</v>
      </c>
      <c r="BZ256" s="827">
        <v>625</v>
      </c>
      <c r="CA256" s="827">
        <v>157597</v>
      </c>
      <c r="CB256" s="827">
        <v>2</v>
      </c>
    </row>
    <row r="257" spans="1:80" x14ac:dyDescent="0.25">
      <c r="A257" s="860"/>
      <c r="B257" s="860"/>
      <c r="C257" s="832"/>
      <c r="D257" s="860"/>
      <c r="E257" s="869" t="s">
        <v>1197</v>
      </c>
      <c r="F257" s="842"/>
      <c r="G257" s="842"/>
      <c r="H257" s="842"/>
      <c r="I257" s="842"/>
      <c r="J257" s="493"/>
      <c r="K257" s="833"/>
      <c r="L257" s="827"/>
      <c r="M257" s="827"/>
      <c r="N257" s="855"/>
      <c r="O257" s="855"/>
      <c r="P257" s="855"/>
      <c r="Q257" s="855"/>
      <c r="R257" s="855"/>
      <c r="S257" s="855"/>
      <c r="T257" s="855"/>
      <c r="U257" s="855"/>
      <c r="V257" s="855"/>
      <c r="W257" s="855"/>
      <c r="X257" s="855"/>
      <c r="Y257" s="855"/>
      <c r="Z257" s="855"/>
      <c r="AA257" s="827"/>
      <c r="AB257" s="827"/>
      <c r="AC257" s="827"/>
      <c r="AD257" s="827"/>
      <c r="AE257" s="827"/>
      <c r="AF257" s="827"/>
      <c r="AG257" s="827"/>
      <c r="AH257" s="827"/>
      <c r="AI257" s="827"/>
      <c r="AJ257" s="827"/>
      <c r="AK257" s="827"/>
      <c r="AL257" s="827"/>
      <c r="AM257" s="827"/>
      <c r="AN257" s="827"/>
      <c r="AO257" s="827"/>
      <c r="AP257" s="827"/>
      <c r="AQ257" s="827"/>
      <c r="AR257" s="827"/>
      <c r="AS257" s="827"/>
      <c r="AT257" s="827"/>
      <c r="AU257" s="827"/>
      <c r="AV257" s="827"/>
      <c r="AW257" s="827"/>
      <c r="AX257" s="827"/>
      <c r="AY257" s="827"/>
      <c r="AZ257" s="827"/>
      <c r="BA257" s="827"/>
      <c r="BB257" s="827"/>
      <c r="BC257" s="827"/>
      <c r="BD257" s="827"/>
      <c r="BE257" s="827"/>
      <c r="BF257" s="827"/>
      <c r="BG257" s="827"/>
      <c r="BH257" s="827"/>
      <c r="BI257" s="827"/>
      <c r="BJ257" s="827"/>
      <c r="BK257" s="827"/>
      <c r="BL257" s="827"/>
      <c r="BM257" s="827"/>
      <c r="BN257" s="827"/>
      <c r="BO257" s="827"/>
      <c r="BP257" s="827"/>
      <c r="BQ257" s="827"/>
      <c r="BR257" s="827"/>
      <c r="BS257" s="827"/>
      <c r="BT257" s="827"/>
      <c r="BU257" s="827"/>
      <c r="BV257" s="827"/>
      <c r="BW257" s="827"/>
      <c r="BX257" s="827"/>
      <c r="BY257" s="827"/>
      <c r="BZ257" s="827"/>
      <c r="CA257" s="827"/>
      <c r="CB257" s="827"/>
    </row>
    <row r="258" spans="1:80" ht="60" x14ac:dyDescent="0.25">
      <c r="A258" s="787">
        <v>598</v>
      </c>
      <c r="B258" s="787">
        <v>598</v>
      </c>
      <c r="C258" s="825" t="s">
        <v>781</v>
      </c>
      <c r="D258" s="860"/>
      <c r="E258" s="853">
        <v>0</v>
      </c>
      <c r="F258" s="493">
        <v>0</v>
      </c>
      <c r="G258" s="493">
        <v>0</v>
      </c>
      <c r="H258" s="493">
        <v>239908</v>
      </c>
      <c r="I258" s="493">
        <v>0</v>
      </c>
      <c r="J258" s="493">
        <v>0</v>
      </c>
      <c r="K258" s="833">
        <v>0</v>
      </c>
      <c r="L258" s="827">
        <v>9954</v>
      </c>
      <c r="M258" s="827">
        <v>363610</v>
      </c>
      <c r="N258" s="855">
        <v>0</v>
      </c>
      <c r="O258" s="855">
        <v>0</v>
      </c>
      <c r="P258" s="855">
        <v>0</v>
      </c>
      <c r="Q258" s="855">
        <v>168759</v>
      </c>
      <c r="R258" s="855">
        <v>28252</v>
      </c>
      <c r="S258" s="855">
        <v>0</v>
      </c>
      <c r="T258" s="855">
        <v>23416</v>
      </c>
      <c r="U258" s="855">
        <v>0</v>
      </c>
      <c r="V258" s="855">
        <v>203322</v>
      </c>
      <c r="W258" s="855">
        <v>0</v>
      </c>
      <c r="X258" s="855">
        <v>72477</v>
      </c>
      <c r="Y258" s="855">
        <v>66716</v>
      </c>
      <c r="Z258" s="855">
        <v>22887</v>
      </c>
      <c r="AA258" s="827">
        <v>0</v>
      </c>
      <c r="AB258" s="827">
        <v>5552</v>
      </c>
      <c r="AC258" s="827">
        <v>0</v>
      </c>
      <c r="AD258" s="827">
        <v>0</v>
      </c>
      <c r="AE258" s="827">
        <v>0</v>
      </c>
      <c r="AF258" s="827">
        <v>6994</v>
      </c>
      <c r="AG258" s="827">
        <v>0</v>
      </c>
      <c r="AH258" s="827">
        <v>0</v>
      </c>
      <c r="AI258" s="827">
        <v>0</v>
      </c>
      <c r="AJ258" s="827">
        <v>0</v>
      </c>
      <c r="AK258" s="827">
        <v>70134</v>
      </c>
      <c r="AL258" s="827">
        <v>0</v>
      </c>
      <c r="AM258" s="827">
        <v>0</v>
      </c>
      <c r="AN258" s="827">
        <v>0</v>
      </c>
      <c r="AO258" s="827">
        <v>83954</v>
      </c>
      <c r="AP258" s="827">
        <v>0</v>
      </c>
      <c r="AQ258" s="827">
        <v>0</v>
      </c>
      <c r="AR258" s="827">
        <v>151200</v>
      </c>
      <c r="AS258" s="827">
        <v>10503</v>
      </c>
      <c r="AT258" s="827">
        <v>0</v>
      </c>
      <c r="AU258" s="827">
        <v>0</v>
      </c>
      <c r="AV258" s="827">
        <v>95891</v>
      </c>
      <c r="AW258" s="827">
        <v>0</v>
      </c>
      <c r="AX258" s="827">
        <v>0</v>
      </c>
      <c r="AY258" s="827">
        <v>0</v>
      </c>
      <c r="AZ258" s="827">
        <v>25003</v>
      </c>
      <c r="BA258" s="827">
        <v>18697</v>
      </c>
      <c r="BB258" s="827">
        <v>0</v>
      </c>
      <c r="BC258" s="827">
        <v>15242</v>
      </c>
      <c r="BD258" s="827">
        <v>0</v>
      </c>
      <c r="BE258" s="827">
        <v>0</v>
      </c>
      <c r="BF258" s="827">
        <v>167825</v>
      </c>
      <c r="BG258" s="827">
        <v>0</v>
      </c>
      <c r="BH258" s="827">
        <v>0</v>
      </c>
      <c r="BI258" s="827">
        <v>23409</v>
      </c>
      <c r="BJ258" s="827">
        <v>26091</v>
      </c>
      <c r="BK258" s="827">
        <v>0</v>
      </c>
      <c r="BL258" s="827">
        <v>6152</v>
      </c>
      <c r="BM258" s="827">
        <v>15779</v>
      </c>
      <c r="BN258" s="827">
        <v>0</v>
      </c>
      <c r="BO258" s="827">
        <v>36494</v>
      </c>
      <c r="BP258" s="827">
        <v>0</v>
      </c>
      <c r="BQ258" s="827">
        <v>0</v>
      </c>
      <c r="BR258" s="827">
        <v>27705</v>
      </c>
      <c r="BS258" s="827">
        <v>0</v>
      </c>
      <c r="BT258" s="827">
        <v>25237</v>
      </c>
      <c r="BU258" s="827">
        <v>16129</v>
      </c>
      <c r="BV258" s="827">
        <v>10255</v>
      </c>
      <c r="BW258" s="827">
        <v>0</v>
      </c>
      <c r="BX258" s="827">
        <v>0</v>
      </c>
      <c r="BY258" s="827">
        <v>0</v>
      </c>
      <c r="BZ258" s="827">
        <v>0</v>
      </c>
      <c r="CA258" s="827">
        <v>6883</v>
      </c>
      <c r="CB258" s="827">
        <v>0</v>
      </c>
    </row>
    <row r="259" spans="1:80" ht="30" x14ac:dyDescent="0.25">
      <c r="A259" s="787">
        <v>599</v>
      </c>
      <c r="B259" s="787">
        <v>599</v>
      </c>
      <c r="C259" s="825" t="s">
        <v>782</v>
      </c>
      <c r="D259" s="860"/>
      <c r="E259" s="853">
        <v>50699</v>
      </c>
      <c r="F259" s="493">
        <v>0</v>
      </c>
      <c r="G259" s="493">
        <v>0</v>
      </c>
      <c r="H259" s="493">
        <v>3611693</v>
      </c>
      <c r="I259" s="493">
        <v>0</v>
      </c>
      <c r="J259" s="493">
        <v>0</v>
      </c>
      <c r="K259" s="833">
        <v>204344</v>
      </c>
      <c r="L259" s="827">
        <v>157830</v>
      </c>
      <c r="M259" s="827">
        <v>6880354</v>
      </c>
      <c r="N259" s="855">
        <v>0</v>
      </c>
      <c r="O259" s="855">
        <v>73730</v>
      </c>
      <c r="P259" s="855">
        <v>71327</v>
      </c>
      <c r="Q259" s="855">
        <v>2775271</v>
      </c>
      <c r="R259" s="855">
        <v>940269</v>
      </c>
      <c r="S259" s="855">
        <v>383110</v>
      </c>
      <c r="T259" s="855">
        <v>893642</v>
      </c>
      <c r="U259" s="855">
        <v>0</v>
      </c>
      <c r="V259" s="855">
        <v>3607151</v>
      </c>
      <c r="W259" s="855">
        <v>0</v>
      </c>
      <c r="X259" s="855">
        <v>736196</v>
      </c>
      <c r="Y259" s="855">
        <v>1121847</v>
      </c>
      <c r="Z259" s="855">
        <v>286452</v>
      </c>
      <c r="AA259" s="827">
        <v>0</v>
      </c>
      <c r="AB259" s="827">
        <v>325986</v>
      </c>
      <c r="AC259" s="827">
        <v>0</v>
      </c>
      <c r="AD259" s="827">
        <v>0</v>
      </c>
      <c r="AE259" s="827">
        <v>53333</v>
      </c>
      <c r="AF259" s="827">
        <v>26642</v>
      </c>
      <c r="AG259" s="827">
        <v>0</v>
      </c>
      <c r="AH259" s="827">
        <v>0</v>
      </c>
      <c r="AI259" s="827">
        <v>0</v>
      </c>
      <c r="AJ259" s="827">
        <v>57259</v>
      </c>
      <c r="AK259" s="827">
        <v>1028878</v>
      </c>
      <c r="AL259" s="827">
        <v>0</v>
      </c>
      <c r="AM259" s="827">
        <v>0</v>
      </c>
      <c r="AN259" s="827">
        <v>408259</v>
      </c>
      <c r="AO259" s="827">
        <v>1398684</v>
      </c>
      <c r="AP259" s="827">
        <v>0</v>
      </c>
      <c r="AQ259" s="827">
        <v>0</v>
      </c>
      <c r="AR259" s="827">
        <v>2395833</v>
      </c>
      <c r="AS259" s="827">
        <v>166018</v>
      </c>
      <c r="AT259" s="827">
        <v>33406</v>
      </c>
      <c r="AU259" s="827">
        <v>247578</v>
      </c>
      <c r="AV259" s="827">
        <v>980468</v>
      </c>
      <c r="AW259" s="827">
        <v>0</v>
      </c>
      <c r="AX259" s="827">
        <v>41452</v>
      </c>
      <c r="AY259" s="827">
        <v>231033</v>
      </c>
      <c r="AZ259" s="827">
        <v>385451</v>
      </c>
      <c r="BA259" s="827">
        <v>440126</v>
      </c>
      <c r="BB259" s="827">
        <v>0</v>
      </c>
      <c r="BC259" s="827">
        <v>234281</v>
      </c>
      <c r="BD259" s="827">
        <v>0</v>
      </c>
      <c r="BE259" s="827">
        <v>0</v>
      </c>
      <c r="BF259" s="827">
        <v>2681112</v>
      </c>
      <c r="BG259" s="827">
        <v>0</v>
      </c>
      <c r="BH259" s="827">
        <v>0</v>
      </c>
      <c r="BI259" s="827">
        <v>275088</v>
      </c>
      <c r="BJ259" s="827">
        <v>428031</v>
      </c>
      <c r="BK259" s="827">
        <v>12154</v>
      </c>
      <c r="BL259" s="827">
        <v>318649</v>
      </c>
      <c r="BM259" s="827">
        <v>287725</v>
      </c>
      <c r="BN259" s="827">
        <v>0</v>
      </c>
      <c r="BO259" s="827">
        <v>687673</v>
      </c>
      <c r="BP259" s="827">
        <v>57227</v>
      </c>
      <c r="BQ259" s="827">
        <v>29513</v>
      </c>
      <c r="BR259" s="827">
        <v>241399</v>
      </c>
      <c r="BS259" s="827">
        <v>0</v>
      </c>
      <c r="BT259" s="827">
        <v>2066583</v>
      </c>
      <c r="BU259" s="827">
        <v>274303</v>
      </c>
      <c r="BV259" s="827">
        <v>489231</v>
      </c>
      <c r="BW259" s="827">
        <v>16759</v>
      </c>
      <c r="BX259" s="827">
        <v>0</v>
      </c>
      <c r="BY259" s="827">
        <v>0</v>
      </c>
      <c r="BZ259" s="827">
        <v>0</v>
      </c>
      <c r="CA259" s="827">
        <v>574870</v>
      </c>
      <c r="CB259" s="827">
        <v>0</v>
      </c>
    </row>
    <row r="260" spans="1:80" ht="105" x14ac:dyDescent="0.25">
      <c r="A260" s="787"/>
      <c r="B260" s="787">
        <v>600</v>
      </c>
      <c r="C260" s="813" t="s">
        <v>1198</v>
      </c>
      <c r="D260" s="860"/>
      <c r="E260" s="853"/>
      <c r="F260" s="493"/>
      <c r="G260" s="493"/>
      <c r="H260" s="493"/>
      <c r="I260" s="493"/>
      <c r="J260" s="493"/>
      <c r="K260" s="833"/>
      <c r="L260" s="827"/>
      <c r="M260" s="827"/>
      <c r="N260" s="855"/>
      <c r="O260" s="855"/>
      <c r="P260" s="855"/>
      <c r="Q260" s="855"/>
      <c r="R260" s="855"/>
      <c r="S260" s="855"/>
      <c r="T260" s="855"/>
      <c r="U260" s="855"/>
      <c r="V260" s="855"/>
      <c r="W260" s="855"/>
      <c r="X260" s="855"/>
      <c r="Y260" s="855"/>
      <c r="Z260" s="855"/>
      <c r="AA260" s="827"/>
      <c r="AB260" s="827"/>
      <c r="AC260" s="827"/>
      <c r="AD260" s="827"/>
      <c r="AE260" s="827"/>
      <c r="AF260" s="827"/>
      <c r="AG260" s="827"/>
      <c r="AH260" s="827"/>
      <c r="AI260" s="827"/>
      <c r="AJ260" s="827"/>
      <c r="AK260" s="827"/>
      <c r="AL260" s="827"/>
      <c r="AM260" s="827"/>
      <c r="AN260" s="827"/>
      <c r="AO260" s="827"/>
      <c r="AP260" s="827"/>
      <c r="AQ260" s="827"/>
      <c r="AR260" s="827"/>
      <c r="AS260" s="827"/>
      <c r="AT260" s="827"/>
      <c r="AU260" s="827"/>
      <c r="AV260" s="827"/>
      <c r="AW260" s="827"/>
      <c r="AX260" s="827"/>
      <c r="AY260" s="827"/>
      <c r="AZ260" s="827"/>
      <c r="BA260" s="827"/>
      <c r="BB260" s="827"/>
      <c r="BC260" s="827"/>
      <c r="BD260" s="827"/>
      <c r="BE260" s="827"/>
      <c r="BF260" s="827"/>
      <c r="BG260" s="827"/>
      <c r="BH260" s="827"/>
      <c r="BI260" s="827"/>
      <c r="BJ260" s="827"/>
      <c r="BK260" s="827"/>
      <c r="BL260" s="827"/>
      <c r="BM260" s="827"/>
      <c r="BN260" s="827"/>
      <c r="BO260" s="827"/>
      <c r="BP260" s="827"/>
      <c r="BQ260" s="827"/>
      <c r="BR260" s="827"/>
      <c r="BS260" s="827"/>
      <c r="BT260" s="827"/>
      <c r="BU260" s="827"/>
      <c r="BV260" s="827"/>
      <c r="BW260" s="827"/>
      <c r="BX260" s="827"/>
      <c r="BY260" s="827"/>
      <c r="BZ260" s="827"/>
      <c r="CA260" s="827"/>
      <c r="CB260" s="827"/>
    </row>
    <row r="261" spans="1:80" s="373" customFormat="1" ht="165" x14ac:dyDescent="0.25">
      <c r="A261" s="787"/>
      <c r="B261" s="787">
        <v>601</v>
      </c>
      <c r="C261" s="813" t="s">
        <v>1199</v>
      </c>
      <c r="D261" s="860"/>
      <c r="E261" s="853"/>
      <c r="F261" s="493"/>
      <c r="G261" s="493"/>
      <c r="H261" s="493"/>
      <c r="I261" s="493"/>
      <c r="J261" s="493"/>
      <c r="K261" s="833"/>
      <c r="L261" s="827"/>
      <c r="M261" s="827"/>
      <c r="N261" s="855"/>
      <c r="O261" s="855"/>
      <c r="P261" s="855"/>
      <c r="Q261" s="855"/>
      <c r="R261" s="855"/>
      <c r="S261" s="855"/>
      <c r="T261" s="855"/>
      <c r="U261" s="855"/>
      <c r="V261" s="855"/>
      <c r="W261" s="855"/>
      <c r="X261" s="855"/>
      <c r="Y261" s="855"/>
      <c r="Z261" s="855"/>
      <c r="AA261" s="827"/>
      <c r="AB261" s="827"/>
      <c r="AC261" s="827"/>
      <c r="AD261" s="827"/>
      <c r="AE261" s="827"/>
      <c r="AF261" s="827"/>
      <c r="AG261" s="827"/>
      <c r="AH261" s="827"/>
      <c r="AI261" s="827"/>
      <c r="AJ261" s="827"/>
      <c r="AK261" s="827"/>
      <c r="AL261" s="827"/>
      <c r="AM261" s="827"/>
      <c r="AN261" s="827"/>
      <c r="AO261" s="827"/>
      <c r="AP261" s="827"/>
      <c r="AQ261" s="827"/>
      <c r="AR261" s="827"/>
      <c r="AS261" s="827"/>
      <c r="AT261" s="827"/>
      <c r="AU261" s="827"/>
      <c r="AV261" s="827"/>
      <c r="AW261" s="827"/>
      <c r="AX261" s="827"/>
      <c r="AY261" s="827"/>
      <c r="AZ261" s="827"/>
      <c r="BA261" s="827"/>
      <c r="BB261" s="827"/>
      <c r="BC261" s="827"/>
      <c r="BD261" s="827"/>
      <c r="BE261" s="827"/>
      <c r="BF261" s="827"/>
      <c r="BG261" s="827"/>
      <c r="BH261" s="827"/>
      <c r="BI261" s="827"/>
      <c r="BJ261" s="827"/>
      <c r="BK261" s="827"/>
      <c r="BL261" s="827"/>
      <c r="BM261" s="827"/>
      <c r="BN261" s="827"/>
      <c r="BO261" s="827"/>
      <c r="BP261" s="827"/>
      <c r="BQ261" s="827"/>
      <c r="BR261" s="827"/>
      <c r="BS261" s="827"/>
      <c r="BT261" s="827"/>
      <c r="BU261" s="827"/>
      <c r="BV261" s="827"/>
      <c r="BW261" s="827"/>
      <c r="BX261" s="827"/>
      <c r="BY261" s="827"/>
      <c r="BZ261" s="827"/>
      <c r="CA261" s="827"/>
      <c r="CB261" s="827"/>
    </row>
    <row r="262" spans="1:80" s="373" customFormat="1" ht="45" x14ac:dyDescent="0.25">
      <c r="A262" s="787">
        <v>602</v>
      </c>
      <c r="B262" s="787">
        <v>602</v>
      </c>
      <c r="C262" s="848" t="s">
        <v>812</v>
      </c>
      <c r="D262" s="860"/>
      <c r="E262" s="853">
        <v>0</v>
      </c>
      <c r="F262" s="493">
        <v>0</v>
      </c>
      <c r="G262" s="493">
        <v>0</v>
      </c>
      <c r="H262" s="493">
        <v>0</v>
      </c>
      <c r="I262" s="493">
        <v>0</v>
      </c>
      <c r="J262" s="493">
        <v>0</v>
      </c>
      <c r="K262" s="833">
        <v>0</v>
      </c>
      <c r="L262" s="827">
        <v>0</v>
      </c>
      <c r="M262" s="827">
        <v>0</v>
      </c>
      <c r="N262" s="855">
        <v>0</v>
      </c>
      <c r="O262" s="855">
        <v>0</v>
      </c>
      <c r="P262" s="855">
        <v>0</v>
      </c>
      <c r="Q262" s="855">
        <v>0</v>
      </c>
      <c r="R262" s="855">
        <v>0</v>
      </c>
      <c r="S262" s="855">
        <v>0</v>
      </c>
      <c r="T262" s="855">
        <v>0</v>
      </c>
      <c r="U262" s="855">
        <v>0</v>
      </c>
      <c r="V262" s="855">
        <v>0</v>
      </c>
      <c r="W262" s="855">
        <v>0</v>
      </c>
      <c r="X262" s="855">
        <v>0</v>
      </c>
      <c r="Y262" s="855">
        <v>0</v>
      </c>
      <c r="Z262" s="855">
        <v>0</v>
      </c>
      <c r="AA262" s="827">
        <v>0</v>
      </c>
      <c r="AB262" s="827">
        <v>0</v>
      </c>
      <c r="AC262" s="827">
        <v>0</v>
      </c>
      <c r="AD262" s="827">
        <v>0</v>
      </c>
      <c r="AE262" s="827">
        <v>0</v>
      </c>
      <c r="AF262" s="827">
        <v>0</v>
      </c>
      <c r="AG262" s="827">
        <v>0</v>
      </c>
      <c r="AH262" s="827">
        <v>0</v>
      </c>
      <c r="AI262" s="827">
        <v>0</v>
      </c>
      <c r="AJ262" s="827">
        <v>0</v>
      </c>
      <c r="AK262" s="827">
        <v>0</v>
      </c>
      <c r="AL262" s="827">
        <v>0</v>
      </c>
      <c r="AM262" s="827">
        <v>0</v>
      </c>
      <c r="AN262" s="827">
        <v>0</v>
      </c>
      <c r="AO262" s="827">
        <v>0</v>
      </c>
      <c r="AP262" s="827">
        <v>0</v>
      </c>
      <c r="AQ262" s="827">
        <v>0</v>
      </c>
      <c r="AR262" s="827">
        <v>0</v>
      </c>
      <c r="AS262" s="827">
        <v>0</v>
      </c>
      <c r="AT262" s="827">
        <v>0</v>
      </c>
      <c r="AU262" s="827">
        <v>0</v>
      </c>
      <c r="AV262" s="827">
        <v>0</v>
      </c>
      <c r="AW262" s="827">
        <v>0</v>
      </c>
      <c r="AX262" s="827">
        <v>0</v>
      </c>
      <c r="AY262" s="827">
        <v>0</v>
      </c>
      <c r="AZ262" s="827">
        <v>0</v>
      </c>
      <c r="BA262" s="827">
        <v>0</v>
      </c>
      <c r="BB262" s="827">
        <v>0</v>
      </c>
      <c r="BC262" s="827">
        <v>0</v>
      </c>
      <c r="BD262" s="827">
        <v>0</v>
      </c>
      <c r="BE262" s="827">
        <v>0</v>
      </c>
      <c r="BF262" s="827">
        <v>0</v>
      </c>
      <c r="BG262" s="827">
        <v>0</v>
      </c>
      <c r="BH262" s="827">
        <v>0</v>
      </c>
      <c r="BI262" s="827">
        <v>0</v>
      </c>
      <c r="BJ262" s="827">
        <v>0</v>
      </c>
      <c r="BK262" s="827">
        <v>0</v>
      </c>
      <c r="BL262" s="827">
        <v>0</v>
      </c>
      <c r="BM262" s="827">
        <v>0</v>
      </c>
      <c r="BN262" s="827">
        <v>0</v>
      </c>
      <c r="BO262" s="827">
        <v>0</v>
      </c>
      <c r="BP262" s="827">
        <v>0</v>
      </c>
      <c r="BQ262" s="827">
        <v>0</v>
      </c>
      <c r="BR262" s="827">
        <v>0</v>
      </c>
      <c r="BS262" s="827">
        <v>0</v>
      </c>
      <c r="BT262" s="827">
        <v>0</v>
      </c>
      <c r="BU262" s="827">
        <v>0</v>
      </c>
      <c r="BV262" s="827">
        <v>0</v>
      </c>
      <c r="BW262" s="827">
        <v>0</v>
      </c>
      <c r="BX262" s="827">
        <v>0</v>
      </c>
      <c r="BY262" s="827">
        <v>0</v>
      </c>
      <c r="BZ262" s="827">
        <v>0</v>
      </c>
      <c r="CA262" s="827">
        <v>0</v>
      </c>
      <c r="CB262" s="827">
        <v>0</v>
      </c>
    </row>
    <row r="263" spans="1:80" ht="165" x14ac:dyDescent="0.25">
      <c r="A263" s="794">
        <v>603</v>
      </c>
      <c r="B263" s="794">
        <v>603</v>
      </c>
      <c r="C263" s="834" t="s">
        <v>798</v>
      </c>
      <c r="D263" s="860"/>
      <c r="E263" s="853">
        <v>5</v>
      </c>
      <c r="F263" s="493">
        <v>2</v>
      </c>
      <c r="G263" s="493">
        <v>1</v>
      </c>
      <c r="H263" s="493">
        <v>1</v>
      </c>
      <c r="I263" s="493">
        <v>1</v>
      </c>
      <c r="J263" s="493">
        <v>2</v>
      </c>
      <c r="K263" s="833">
        <v>2</v>
      </c>
      <c r="L263" s="827">
        <v>2</v>
      </c>
      <c r="M263" s="827">
        <v>1</v>
      </c>
      <c r="N263" s="855">
        <v>2</v>
      </c>
      <c r="O263" s="855">
        <v>5</v>
      </c>
      <c r="P263" s="855">
        <v>2</v>
      </c>
      <c r="Q263" s="855">
        <v>1</v>
      </c>
      <c r="R263" s="855">
        <v>1</v>
      </c>
      <c r="S263" s="855">
        <v>1</v>
      </c>
      <c r="T263" s="855">
        <v>1</v>
      </c>
      <c r="U263" s="855">
        <v>5</v>
      </c>
      <c r="V263" s="855">
        <v>2</v>
      </c>
      <c r="W263" s="855">
        <v>1</v>
      </c>
      <c r="X263" s="855">
        <v>1</v>
      </c>
      <c r="Y263" s="855">
        <v>2</v>
      </c>
      <c r="Z263" s="855">
        <v>1</v>
      </c>
      <c r="AA263" s="827">
        <v>4</v>
      </c>
      <c r="AB263" s="827">
        <v>2</v>
      </c>
      <c r="AC263" s="827">
        <v>1</v>
      </c>
      <c r="AD263" s="827">
        <v>3</v>
      </c>
      <c r="AE263" s="827">
        <v>2</v>
      </c>
      <c r="AF263" s="827">
        <v>5</v>
      </c>
      <c r="AG263" s="827">
        <v>1</v>
      </c>
      <c r="AH263" s="827">
        <v>2</v>
      </c>
      <c r="AI263" s="827">
        <v>2</v>
      </c>
      <c r="AJ263" s="827">
        <v>1</v>
      </c>
      <c r="AK263" s="827">
        <v>2</v>
      </c>
      <c r="AL263" s="827">
        <v>2</v>
      </c>
      <c r="AM263" s="827">
        <v>4</v>
      </c>
      <c r="AN263" s="827">
        <v>2</v>
      </c>
      <c r="AO263" s="827">
        <v>2</v>
      </c>
      <c r="AP263" s="827">
        <v>2</v>
      </c>
      <c r="AQ263" s="827">
        <v>1</v>
      </c>
      <c r="AR263" s="827">
        <v>1</v>
      </c>
      <c r="AS263" s="827">
        <v>2</v>
      </c>
      <c r="AT263" s="827">
        <v>3</v>
      </c>
      <c r="AU263" s="827">
        <v>2</v>
      </c>
      <c r="AV263" s="827">
        <v>4</v>
      </c>
      <c r="AW263" s="827">
        <v>6</v>
      </c>
      <c r="AX263" s="827">
        <v>5</v>
      </c>
      <c r="AY263" s="827">
        <v>1</v>
      </c>
      <c r="AZ263" s="827">
        <v>2</v>
      </c>
      <c r="BA263" s="827">
        <v>1</v>
      </c>
      <c r="BB263" s="827">
        <v>5</v>
      </c>
      <c r="BC263" s="827">
        <v>1</v>
      </c>
      <c r="BD263" s="827">
        <v>2</v>
      </c>
      <c r="BE263" s="827">
        <v>1</v>
      </c>
      <c r="BF263" s="827">
        <v>1</v>
      </c>
      <c r="BG263" s="827">
        <v>5</v>
      </c>
      <c r="BH263" s="827">
        <v>2</v>
      </c>
      <c r="BI263" s="827">
        <v>1</v>
      </c>
      <c r="BJ263" s="827">
        <v>2</v>
      </c>
      <c r="BK263" s="827">
        <v>5</v>
      </c>
      <c r="BL263" s="827">
        <v>2</v>
      </c>
      <c r="BM263" s="827">
        <v>1</v>
      </c>
      <c r="BN263" s="827">
        <v>2</v>
      </c>
      <c r="BO263" s="827">
        <v>1</v>
      </c>
      <c r="BP263" s="827">
        <v>1</v>
      </c>
      <c r="BQ263" s="827">
        <v>2</v>
      </c>
      <c r="BR263" s="827">
        <v>1</v>
      </c>
      <c r="BS263" s="827">
        <v>3</v>
      </c>
      <c r="BT263" s="827">
        <v>1</v>
      </c>
      <c r="BU263" s="827">
        <v>1</v>
      </c>
      <c r="BV263" s="827">
        <v>1</v>
      </c>
      <c r="BW263" s="827">
        <v>5</v>
      </c>
      <c r="BX263" s="827">
        <v>2</v>
      </c>
      <c r="BY263" s="827">
        <v>2</v>
      </c>
      <c r="BZ263" s="827">
        <v>1</v>
      </c>
      <c r="CA263" s="827">
        <v>1</v>
      </c>
      <c r="CB263" s="827">
        <v>2</v>
      </c>
    </row>
    <row r="264" spans="1:80" ht="120" x14ac:dyDescent="0.25">
      <c r="A264" s="794">
        <v>604</v>
      </c>
      <c r="B264" s="794">
        <v>604</v>
      </c>
      <c r="C264" s="658" t="s">
        <v>799</v>
      </c>
      <c r="D264" s="860"/>
      <c r="E264" s="853">
        <v>5</v>
      </c>
      <c r="F264" s="493">
        <v>1</v>
      </c>
      <c r="G264" s="493">
        <v>1</v>
      </c>
      <c r="H264" s="493">
        <v>1</v>
      </c>
      <c r="I264" s="493">
        <v>1</v>
      </c>
      <c r="J264" s="493">
        <v>1</v>
      </c>
      <c r="K264" s="833">
        <v>1</v>
      </c>
      <c r="L264" s="827">
        <v>1</v>
      </c>
      <c r="M264" s="827">
        <v>1</v>
      </c>
      <c r="N264" s="855">
        <v>1</v>
      </c>
      <c r="O264" s="855">
        <v>3</v>
      </c>
      <c r="P264" s="855">
        <v>5</v>
      </c>
      <c r="Q264" s="855">
        <v>1</v>
      </c>
      <c r="R264" s="855">
        <v>1</v>
      </c>
      <c r="S264" s="855">
        <v>1</v>
      </c>
      <c r="T264" s="855">
        <v>1</v>
      </c>
      <c r="U264" s="855">
        <v>5</v>
      </c>
      <c r="V264" s="855">
        <v>1</v>
      </c>
      <c r="W264" s="855">
        <v>1</v>
      </c>
      <c r="X264" s="855">
        <v>1</v>
      </c>
      <c r="Y264" s="855">
        <v>1</v>
      </c>
      <c r="Z264" s="855">
        <v>1</v>
      </c>
      <c r="AA264" s="827">
        <v>3</v>
      </c>
      <c r="AB264" s="827">
        <v>1</v>
      </c>
      <c r="AC264" s="827">
        <v>1</v>
      </c>
      <c r="AD264" s="827">
        <v>2</v>
      </c>
      <c r="AE264" s="827">
        <v>1</v>
      </c>
      <c r="AF264" s="827">
        <v>5</v>
      </c>
      <c r="AG264" s="827">
        <v>1</v>
      </c>
      <c r="AH264" s="827">
        <v>1</v>
      </c>
      <c r="AI264" s="827">
        <v>1</v>
      </c>
      <c r="AJ264" s="827">
        <v>1</v>
      </c>
      <c r="AK264" s="827">
        <v>1</v>
      </c>
      <c r="AL264" s="827">
        <v>1</v>
      </c>
      <c r="AM264" s="827">
        <v>3</v>
      </c>
      <c r="AN264" s="827">
        <v>1</v>
      </c>
      <c r="AO264" s="827">
        <v>1</v>
      </c>
      <c r="AP264" s="827">
        <v>1</v>
      </c>
      <c r="AQ264" s="827">
        <v>1</v>
      </c>
      <c r="AR264" s="827">
        <v>1</v>
      </c>
      <c r="AS264" s="827">
        <v>1</v>
      </c>
      <c r="AT264" s="827">
        <v>2</v>
      </c>
      <c r="AU264" s="827">
        <v>1</v>
      </c>
      <c r="AV264" s="827">
        <v>4</v>
      </c>
      <c r="AW264" s="827">
        <v>1</v>
      </c>
      <c r="AX264" s="827">
        <v>3</v>
      </c>
      <c r="AY264" s="827">
        <v>1</v>
      </c>
      <c r="AZ264" s="827">
        <v>1</v>
      </c>
      <c r="BA264" s="827">
        <v>3</v>
      </c>
      <c r="BB264" s="827">
        <v>5</v>
      </c>
      <c r="BC264" s="827">
        <v>1</v>
      </c>
      <c r="BD264" s="827">
        <v>1</v>
      </c>
      <c r="BE264" s="827">
        <v>1</v>
      </c>
      <c r="BF264" s="827">
        <v>5</v>
      </c>
      <c r="BG264" s="827">
        <v>3</v>
      </c>
      <c r="BH264" s="827">
        <v>1</v>
      </c>
      <c r="BI264" s="827">
        <v>3</v>
      </c>
      <c r="BJ264" s="827">
        <v>1</v>
      </c>
      <c r="BK264" s="827">
        <v>5</v>
      </c>
      <c r="BL264" s="827">
        <v>3</v>
      </c>
      <c r="BM264" s="827">
        <v>1</v>
      </c>
      <c r="BN264" s="827">
        <v>1</v>
      </c>
      <c r="BO264" s="827">
        <v>1</v>
      </c>
      <c r="BP264" s="827">
        <v>1</v>
      </c>
      <c r="BQ264" s="827">
        <v>1</v>
      </c>
      <c r="BR264" s="827">
        <v>1</v>
      </c>
      <c r="BS264" s="827">
        <v>1</v>
      </c>
      <c r="BT264" s="827">
        <v>1</v>
      </c>
      <c r="BU264" s="827">
        <v>3</v>
      </c>
      <c r="BV264" s="827">
        <v>3</v>
      </c>
      <c r="BW264" s="827">
        <v>5</v>
      </c>
      <c r="BX264" s="827">
        <v>1</v>
      </c>
      <c r="BY264" s="827">
        <v>1</v>
      </c>
      <c r="BZ264" s="827">
        <v>1</v>
      </c>
      <c r="CA264" s="827">
        <v>1</v>
      </c>
      <c r="CB264" s="827">
        <v>3</v>
      </c>
    </row>
    <row r="265" spans="1:80" ht="30" x14ac:dyDescent="0.25">
      <c r="A265" s="794">
        <v>605</v>
      </c>
      <c r="B265" s="794">
        <v>605</v>
      </c>
      <c r="C265" s="834" t="s">
        <v>801</v>
      </c>
      <c r="D265" s="860"/>
      <c r="E265" s="853">
        <v>1</v>
      </c>
      <c r="F265" s="493">
        <v>1</v>
      </c>
      <c r="G265" s="493">
        <v>1</v>
      </c>
      <c r="H265" s="493">
        <v>1</v>
      </c>
      <c r="I265" s="493">
        <v>1</v>
      </c>
      <c r="J265" s="493">
        <v>1</v>
      </c>
      <c r="K265" s="833">
        <v>1</v>
      </c>
      <c r="L265" s="827">
        <v>1</v>
      </c>
      <c r="M265" s="827">
        <v>1</v>
      </c>
      <c r="N265" s="855">
        <v>1</v>
      </c>
      <c r="O265" s="855">
        <v>1</v>
      </c>
      <c r="P265" s="855">
        <v>1</v>
      </c>
      <c r="Q265" s="855">
        <v>1</v>
      </c>
      <c r="R265" s="855">
        <v>1</v>
      </c>
      <c r="S265" s="855">
        <v>1</v>
      </c>
      <c r="T265" s="855">
        <v>1</v>
      </c>
      <c r="U265" s="855">
        <v>1</v>
      </c>
      <c r="V265" s="855">
        <v>1</v>
      </c>
      <c r="W265" s="855">
        <v>1</v>
      </c>
      <c r="X265" s="855">
        <v>1</v>
      </c>
      <c r="Y265" s="855">
        <v>1</v>
      </c>
      <c r="Z265" s="855">
        <v>1</v>
      </c>
      <c r="AA265" s="827">
        <v>1</v>
      </c>
      <c r="AB265" s="827">
        <v>1</v>
      </c>
      <c r="AC265" s="827">
        <v>1</v>
      </c>
      <c r="AD265" s="827">
        <v>1</v>
      </c>
      <c r="AE265" s="827">
        <v>1</v>
      </c>
      <c r="AF265" s="827">
        <v>1</v>
      </c>
      <c r="AG265" s="827">
        <v>1</v>
      </c>
      <c r="AH265" s="827">
        <v>1</v>
      </c>
      <c r="AI265" s="827">
        <v>1</v>
      </c>
      <c r="AJ265" s="827">
        <v>1</v>
      </c>
      <c r="AK265" s="827">
        <v>1</v>
      </c>
      <c r="AL265" s="827">
        <v>1</v>
      </c>
      <c r="AM265" s="827">
        <v>1</v>
      </c>
      <c r="AN265" s="827">
        <v>1</v>
      </c>
      <c r="AO265" s="827">
        <v>0</v>
      </c>
      <c r="AP265" s="827">
        <v>0</v>
      </c>
      <c r="AQ265" s="827">
        <v>1</v>
      </c>
      <c r="AR265" s="827">
        <v>1</v>
      </c>
      <c r="AS265" s="827">
        <v>1</v>
      </c>
      <c r="AT265" s="827">
        <v>1</v>
      </c>
      <c r="AU265" s="827">
        <v>1</v>
      </c>
      <c r="AV265" s="827">
        <v>1</v>
      </c>
      <c r="AW265" s="827">
        <v>1</v>
      </c>
      <c r="AX265" s="827">
        <v>1</v>
      </c>
      <c r="AY265" s="827">
        <v>1</v>
      </c>
      <c r="AZ265" s="827">
        <v>1</v>
      </c>
      <c r="BA265" s="827">
        <v>1</v>
      </c>
      <c r="BB265" s="827">
        <v>2</v>
      </c>
      <c r="BC265" s="827">
        <v>1</v>
      </c>
      <c r="BD265" s="827">
        <v>1</v>
      </c>
      <c r="BE265" s="827">
        <v>1</v>
      </c>
      <c r="BF265" s="827">
        <v>1</v>
      </c>
      <c r="BG265" s="827">
        <v>1</v>
      </c>
      <c r="BH265" s="827">
        <v>1</v>
      </c>
      <c r="BI265" s="827">
        <v>1</v>
      </c>
      <c r="BJ265" s="827">
        <v>1</v>
      </c>
      <c r="BK265" s="827">
        <v>1</v>
      </c>
      <c r="BL265" s="827">
        <v>1</v>
      </c>
      <c r="BM265" s="827">
        <v>1</v>
      </c>
      <c r="BN265" s="827">
        <v>1</v>
      </c>
      <c r="BO265" s="827">
        <v>1</v>
      </c>
      <c r="BP265" s="827">
        <v>1</v>
      </c>
      <c r="BQ265" s="827">
        <v>1</v>
      </c>
      <c r="BR265" s="827">
        <v>1</v>
      </c>
      <c r="BS265" s="827">
        <v>1</v>
      </c>
      <c r="BT265" s="827">
        <v>1</v>
      </c>
      <c r="BU265" s="827">
        <v>1</v>
      </c>
      <c r="BV265" s="827">
        <v>1</v>
      </c>
      <c r="BW265" s="827">
        <v>1</v>
      </c>
      <c r="BX265" s="827">
        <v>1</v>
      </c>
      <c r="BY265" s="827">
        <v>1</v>
      </c>
      <c r="BZ265" s="827">
        <v>1</v>
      </c>
      <c r="CA265" s="827">
        <v>1</v>
      </c>
      <c r="CB265" s="827">
        <v>1</v>
      </c>
    </row>
    <row r="266" spans="1:80" ht="30" x14ac:dyDescent="0.25">
      <c r="A266" s="794">
        <v>606</v>
      </c>
      <c r="B266" s="794">
        <v>606</v>
      </c>
      <c r="C266" s="828" t="s">
        <v>820</v>
      </c>
      <c r="D266" s="860"/>
      <c r="E266" s="853">
        <v>0</v>
      </c>
      <c r="F266" s="493">
        <v>0</v>
      </c>
      <c r="G266" s="493">
        <v>0</v>
      </c>
      <c r="H266" s="493">
        <v>1</v>
      </c>
      <c r="I266" s="493">
        <v>0</v>
      </c>
      <c r="J266" s="493">
        <v>0</v>
      </c>
      <c r="K266" s="833">
        <v>0</v>
      </c>
      <c r="L266" s="827">
        <v>0</v>
      </c>
      <c r="M266" s="827">
        <v>1</v>
      </c>
      <c r="N266" s="855">
        <v>0</v>
      </c>
      <c r="O266" s="855">
        <v>0</v>
      </c>
      <c r="P266" s="855">
        <v>0</v>
      </c>
      <c r="Q266" s="855">
        <v>1</v>
      </c>
      <c r="R266" s="855">
        <v>1</v>
      </c>
      <c r="S266" s="855">
        <v>0</v>
      </c>
      <c r="T266" s="855">
        <v>1</v>
      </c>
      <c r="U266" s="855">
        <v>0</v>
      </c>
      <c r="V266" s="855">
        <v>1</v>
      </c>
      <c r="W266" s="855">
        <v>0</v>
      </c>
      <c r="X266" s="855">
        <v>0</v>
      </c>
      <c r="Y266" s="855">
        <v>1</v>
      </c>
      <c r="Z266" s="855">
        <v>0</v>
      </c>
      <c r="AA266" s="827">
        <v>0</v>
      </c>
      <c r="AB266" s="827">
        <v>0</v>
      </c>
      <c r="AC266" s="827">
        <v>0</v>
      </c>
      <c r="AD266" s="827">
        <v>0</v>
      </c>
      <c r="AE266" s="827">
        <v>0</v>
      </c>
      <c r="AF266" s="827">
        <v>1</v>
      </c>
      <c r="AG266" s="827">
        <v>0</v>
      </c>
      <c r="AH266" s="827">
        <v>0</v>
      </c>
      <c r="AI266" s="827">
        <v>0</v>
      </c>
      <c r="AJ266" s="827">
        <v>0</v>
      </c>
      <c r="AK266" s="827">
        <v>1</v>
      </c>
      <c r="AL266" s="827">
        <v>0</v>
      </c>
      <c r="AM266" s="827">
        <v>0</v>
      </c>
      <c r="AN266" s="827">
        <v>1</v>
      </c>
      <c r="AO266" s="827">
        <v>1</v>
      </c>
      <c r="AP266" s="827">
        <v>0</v>
      </c>
      <c r="AQ266" s="827">
        <v>0</v>
      </c>
      <c r="AR266" s="827">
        <v>1</v>
      </c>
      <c r="AS266" s="827">
        <v>0</v>
      </c>
      <c r="AT266" s="827">
        <v>0</v>
      </c>
      <c r="AU266" s="827">
        <v>0</v>
      </c>
      <c r="AV266" s="827">
        <v>0</v>
      </c>
      <c r="AW266" s="827">
        <v>0</v>
      </c>
      <c r="AX266" s="827">
        <v>0</v>
      </c>
      <c r="AY266" s="827">
        <v>0</v>
      </c>
      <c r="AZ266" s="827">
        <v>0</v>
      </c>
      <c r="BA266" s="827">
        <v>1</v>
      </c>
      <c r="BB266" s="827">
        <v>0</v>
      </c>
      <c r="BC266" s="827">
        <v>0</v>
      </c>
      <c r="BD266" s="827">
        <v>0</v>
      </c>
      <c r="BE266" s="827">
        <v>0</v>
      </c>
      <c r="BF266" s="827">
        <v>1</v>
      </c>
      <c r="BG266" s="827">
        <v>0</v>
      </c>
      <c r="BH266" s="827">
        <v>0</v>
      </c>
      <c r="BI266" s="827">
        <v>0</v>
      </c>
      <c r="BJ266" s="827">
        <v>0</v>
      </c>
      <c r="BK266" s="827">
        <v>0</v>
      </c>
      <c r="BL266" s="827">
        <v>0</v>
      </c>
      <c r="BM266" s="827">
        <v>1</v>
      </c>
      <c r="BN266" s="827">
        <v>0</v>
      </c>
      <c r="BO266" s="827">
        <v>0</v>
      </c>
      <c r="BP266" s="827">
        <v>0</v>
      </c>
      <c r="BQ266" s="827">
        <v>1</v>
      </c>
      <c r="BR266" s="827">
        <v>0</v>
      </c>
      <c r="BS266" s="827">
        <v>0</v>
      </c>
      <c r="BT266" s="827">
        <v>1</v>
      </c>
      <c r="BU266" s="827">
        <v>1</v>
      </c>
      <c r="BV266" s="827">
        <v>0</v>
      </c>
      <c r="BW266" s="827">
        <v>0</v>
      </c>
      <c r="BX266" s="827">
        <v>0</v>
      </c>
      <c r="BY266" s="827">
        <v>0</v>
      </c>
      <c r="BZ266" s="827">
        <v>0</v>
      </c>
      <c r="CA266" s="827">
        <v>1</v>
      </c>
      <c r="CB266" s="827">
        <v>0</v>
      </c>
    </row>
    <row r="267" spans="1:80" x14ac:dyDescent="0.25">
      <c r="A267" s="794">
        <v>607</v>
      </c>
      <c r="B267" s="794">
        <v>607</v>
      </c>
      <c r="C267" s="834" t="s">
        <v>791</v>
      </c>
      <c r="D267" s="860"/>
      <c r="E267" s="853">
        <v>0</v>
      </c>
      <c r="F267" s="493">
        <v>0</v>
      </c>
      <c r="G267" s="493">
        <v>0</v>
      </c>
      <c r="H267" s="493">
        <v>2198905</v>
      </c>
      <c r="I267" s="493">
        <v>424829</v>
      </c>
      <c r="J267" s="493">
        <v>444471</v>
      </c>
      <c r="K267" s="833">
        <v>0</v>
      </c>
      <c r="L267" s="827">
        <v>392771</v>
      </c>
      <c r="M267" s="827">
        <v>46624001</v>
      </c>
      <c r="N267" s="855">
        <v>0</v>
      </c>
      <c r="O267" s="855">
        <v>1160196</v>
      </c>
      <c r="P267" s="855">
        <v>0</v>
      </c>
      <c r="Q267" s="855">
        <v>10998331</v>
      </c>
      <c r="R267" s="855">
        <v>7384842</v>
      </c>
      <c r="S267" s="855">
        <v>197226</v>
      </c>
      <c r="T267" s="855">
        <v>10158581</v>
      </c>
      <c r="U267" s="855">
        <v>0</v>
      </c>
      <c r="V267" s="855">
        <v>4974383</v>
      </c>
      <c r="W267" s="855">
        <v>0</v>
      </c>
      <c r="X267" s="855">
        <v>1570468</v>
      </c>
      <c r="Y267" s="855">
        <v>6429457</v>
      </c>
      <c r="Z267" s="855">
        <v>1953469</v>
      </c>
      <c r="AA267" s="827">
        <v>81408</v>
      </c>
      <c r="AB267" s="827">
        <v>0</v>
      </c>
      <c r="AC267" s="827">
        <v>0</v>
      </c>
      <c r="AD267" s="827">
        <v>0</v>
      </c>
      <c r="AE267" s="827">
        <v>0</v>
      </c>
      <c r="AF267" s="827">
        <v>0</v>
      </c>
      <c r="AG267" s="827">
        <v>0</v>
      </c>
      <c r="AH267" s="827">
        <v>0</v>
      </c>
      <c r="AI267" s="827">
        <v>0</v>
      </c>
      <c r="AJ267" s="827">
        <v>0</v>
      </c>
      <c r="AK267" s="827">
        <v>2040934</v>
      </c>
      <c r="AL267" s="827">
        <v>0</v>
      </c>
      <c r="AM267" s="827">
        <v>0</v>
      </c>
      <c r="AN267" s="827">
        <v>0</v>
      </c>
      <c r="AO267" s="827">
        <v>2762236</v>
      </c>
      <c r="AP267" s="827">
        <v>0</v>
      </c>
      <c r="AQ267" s="827">
        <v>0</v>
      </c>
      <c r="AR267" s="827">
        <v>17439277</v>
      </c>
      <c r="AS267" s="827">
        <v>0</v>
      </c>
      <c r="AT267" s="827">
        <v>313634</v>
      </c>
      <c r="AU267" s="827">
        <v>795806</v>
      </c>
      <c r="AV267" s="827">
        <v>11596560</v>
      </c>
      <c r="AW267" s="827">
        <v>0</v>
      </c>
      <c r="AX267" s="827">
        <v>0</v>
      </c>
      <c r="AY267" s="827">
        <v>0</v>
      </c>
      <c r="AZ267" s="827">
        <v>135898</v>
      </c>
      <c r="BA267" s="827">
        <v>1489618</v>
      </c>
      <c r="BB267" s="827">
        <v>0</v>
      </c>
      <c r="BC267" s="827">
        <v>316767</v>
      </c>
      <c r="BD267" s="827">
        <v>0</v>
      </c>
      <c r="BE267" s="827">
        <v>0</v>
      </c>
      <c r="BF267" s="827">
        <v>38927765</v>
      </c>
      <c r="BG267" s="827">
        <v>0</v>
      </c>
      <c r="BH267" s="827">
        <v>0</v>
      </c>
      <c r="BI267" s="827">
        <v>3063825</v>
      </c>
      <c r="BJ267" s="827">
        <v>174116</v>
      </c>
      <c r="BK267" s="827">
        <v>0</v>
      </c>
      <c r="BL267" s="827">
        <v>489086</v>
      </c>
      <c r="BM267" s="827">
        <v>2262951</v>
      </c>
      <c r="BN267" s="827">
        <v>0</v>
      </c>
      <c r="BO267" s="827">
        <v>137749</v>
      </c>
      <c r="BP267" s="827">
        <v>0</v>
      </c>
      <c r="BQ267" s="827">
        <v>0</v>
      </c>
      <c r="BR267" s="827">
        <v>0</v>
      </c>
      <c r="BS267" s="827">
        <v>0</v>
      </c>
      <c r="BT267" s="827">
        <v>0</v>
      </c>
      <c r="BU267" s="827">
        <v>0</v>
      </c>
      <c r="BV267" s="827">
        <v>4688150</v>
      </c>
      <c r="BW267" s="827">
        <v>0</v>
      </c>
      <c r="BX267" s="827">
        <v>0</v>
      </c>
      <c r="BY267" s="827">
        <v>0</v>
      </c>
      <c r="BZ267" s="827">
        <v>0</v>
      </c>
      <c r="CA267" s="827">
        <v>6034736</v>
      </c>
      <c r="CB267" s="827">
        <v>0</v>
      </c>
    </row>
    <row r="268" spans="1:80" x14ac:dyDescent="0.25">
      <c r="A268" s="794">
        <v>608</v>
      </c>
      <c r="B268" s="794">
        <v>608</v>
      </c>
      <c r="C268" s="834" t="s">
        <v>792</v>
      </c>
      <c r="D268" s="860"/>
      <c r="E268" s="853">
        <v>0</v>
      </c>
      <c r="F268" s="493">
        <v>0</v>
      </c>
      <c r="G268" s="493">
        <v>0</v>
      </c>
      <c r="H268" s="493">
        <v>0</v>
      </c>
      <c r="I268" s="493">
        <v>0</v>
      </c>
      <c r="J268" s="493">
        <v>0</v>
      </c>
      <c r="K268" s="833">
        <v>0</v>
      </c>
      <c r="L268" s="827">
        <v>0</v>
      </c>
      <c r="M268" s="827">
        <v>0</v>
      </c>
      <c r="N268" s="855">
        <v>0</v>
      </c>
      <c r="O268" s="855">
        <v>0</v>
      </c>
      <c r="P268" s="855">
        <v>0</v>
      </c>
      <c r="Q268" s="855">
        <v>0</v>
      </c>
      <c r="R268" s="855">
        <v>0</v>
      </c>
      <c r="S268" s="855">
        <v>0</v>
      </c>
      <c r="T268" s="855">
        <v>0</v>
      </c>
      <c r="U268" s="855">
        <v>0</v>
      </c>
      <c r="V268" s="855">
        <v>0</v>
      </c>
      <c r="W268" s="855">
        <v>0</v>
      </c>
      <c r="X268" s="855">
        <v>0</v>
      </c>
      <c r="Y268" s="855">
        <v>0</v>
      </c>
      <c r="Z268" s="855">
        <v>0</v>
      </c>
      <c r="AA268" s="827">
        <v>0</v>
      </c>
      <c r="AB268" s="827">
        <v>0</v>
      </c>
      <c r="AC268" s="827">
        <v>0</v>
      </c>
      <c r="AD268" s="827">
        <v>0</v>
      </c>
      <c r="AE268" s="827">
        <v>0</v>
      </c>
      <c r="AF268" s="827">
        <v>0</v>
      </c>
      <c r="AG268" s="827">
        <v>0</v>
      </c>
      <c r="AH268" s="827">
        <v>0</v>
      </c>
      <c r="AI268" s="827">
        <v>0</v>
      </c>
      <c r="AJ268" s="827">
        <v>0</v>
      </c>
      <c r="AK268" s="827">
        <v>0</v>
      </c>
      <c r="AL268" s="827">
        <v>0</v>
      </c>
      <c r="AM268" s="827">
        <v>0</v>
      </c>
      <c r="AN268" s="827">
        <v>0</v>
      </c>
      <c r="AO268" s="827">
        <v>0</v>
      </c>
      <c r="AP268" s="827">
        <v>0</v>
      </c>
      <c r="AQ268" s="827">
        <v>0</v>
      </c>
      <c r="AR268" s="827">
        <v>0</v>
      </c>
      <c r="AS268" s="827">
        <v>0</v>
      </c>
      <c r="AT268" s="827">
        <v>0</v>
      </c>
      <c r="AU268" s="827">
        <v>0</v>
      </c>
      <c r="AV268" s="827">
        <v>0</v>
      </c>
      <c r="AW268" s="827">
        <v>0</v>
      </c>
      <c r="AX268" s="827">
        <v>0</v>
      </c>
      <c r="AY268" s="827">
        <v>0</v>
      </c>
      <c r="AZ268" s="827">
        <v>0</v>
      </c>
      <c r="BA268" s="827">
        <v>0</v>
      </c>
      <c r="BB268" s="827">
        <v>0</v>
      </c>
      <c r="BC268" s="827">
        <v>0</v>
      </c>
      <c r="BD268" s="827">
        <v>0</v>
      </c>
      <c r="BE268" s="827">
        <v>0</v>
      </c>
      <c r="BF268" s="827">
        <v>0</v>
      </c>
      <c r="BG268" s="827">
        <v>0</v>
      </c>
      <c r="BH268" s="827">
        <v>0</v>
      </c>
      <c r="BI268" s="827">
        <v>0</v>
      </c>
      <c r="BJ268" s="827">
        <v>0</v>
      </c>
      <c r="BK268" s="827">
        <v>0</v>
      </c>
      <c r="BL268" s="827">
        <v>0</v>
      </c>
      <c r="BM268" s="827">
        <v>0</v>
      </c>
      <c r="BN268" s="827">
        <v>0</v>
      </c>
      <c r="BO268" s="827">
        <v>0</v>
      </c>
      <c r="BP268" s="827">
        <v>0</v>
      </c>
      <c r="BQ268" s="827">
        <v>0</v>
      </c>
      <c r="BR268" s="827">
        <v>0</v>
      </c>
      <c r="BS268" s="827">
        <v>0</v>
      </c>
      <c r="BT268" s="827">
        <v>0</v>
      </c>
      <c r="BU268" s="827">
        <v>0</v>
      </c>
      <c r="BV268" s="827">
        <v>0</v>
      </c>
      <c r="BW268" s="827">
        <v>0</v>
      </c>
      <c r="BX268" s="827">
        <v>0</v>
      </c>
      <c r="BY268" s="827">
        <v>0</v>
      </c>
      <c r="BZ268" s="827">
        <v>0</v>
      </c>
      <c r="CA268" s="827">
        <v>0</v>
      </c>
      <c r="CB268" s="827">
        <v>0</v>
      </c>
    </row>
    <row r="269" spans="1:80" ht="30" x14ac:dyDescent="0.25">
      <c r="A269" s="794">
        <v>609</v>
      </c>
      <c r="B269" s="794">
        <v>609</v>
      </c>
      <c r="C269" s="834" t="s">
        <v>813</v>
      </c>
      <c r="D269" s="860"/>
      <c r="E269" s="851">
        <v>0</v>
      </c>
      <c r="F269" s="838">
        <v>0</v>
      </c>
      <c r="G269" s="838">
        <v>0</v>
      </c>
      <c r="H269" s="838">
        <v>0</v>
      </c>
      <c r="I269" s="838">
        <v>0</v>
      </c>
      <c r="J269" s="838">
        <v>0</v>
      </c>
      <c r="K269" s="823">
        <v>0</v>
      </c>
      <c r="L269" s="854">
        <v>0</v>
      </c>
      <c r="M269" s="854">
        <v>0</v>
      </c>
      <c r="N269" s="841">
        <v>0</v>
      </c>
      <c r="O269" s="841">
        <v>0</v>
      </c>
      <c r="P269" s="841">
        <v>0</v>
      </c>
      <c r="Q269" s="841">
        <v>0</v>
      </c>
      <c r="R269" s="841">
        <v>0</v>
      </c>
      <c r="S269" s="841">
        <v>0</v>
      </c>
      <c r="T269" s="841">
        <v>0</v>
      </c>
      <c r="U269" s="841">
        <v>0</v>
      </c>
      <c r="V269" s="841">
        <v>0</v>
      </c>
      <c r="W269" s="841">
        <v>0</v>
      </c>
      <c r="X269" s="841">
        <v>0</v>
      </c>
      <c r="Y269" s="841">
        <v>0</v>
      </c>
      <c r="Z269" s="841">
        <v>0</v>
      </c>
      <c r="AA269" s="854">
        <v>0</v>
      </c>
      <c r="AB269" s="854">
        <v>0</v>
      </c>
      <c r="AC269" s="854">
        <v>0</v>
      </c>
      <c r="AD269" s="854">
        <v>0</v>
      </c>
      <c r="AE269" s="854">
        <v>0</v>
      </c>
      <c r="AF269" s="854">
        <v>0</v>
      </c>
      <c r="AG269" s="854">
        <v>0</v>
      </c>
      <c r="AH269" s="854">
        <v>0</v>
      </c>
      <c r="AI269" s="854">
        <v>0</v>
      </c>
      <c r="AJ269" s="854">
        <v>0</v>
      </c>
      <c r="AK269" s="854">
        <v>0</v>
      </c>
      <c r="AL269" s="854">
        <v>0</v>
      </c>
      <c r="AM269" s="854">
        <v>0</v>
      </c>
      <c r="AN269" s="854">
        <v>0</v>
      </c>
      <c r="AO269" s="854">
        <v>0</v>
      </c>
      <c r="AP269" s="854">
        <v>0</v>
      </c>
      <c r="AQ269" s="854">
        <v>0</v>
      </c>
      <c r="AR269" s="854">
        <v>0</v>
      </c>
      <c r="AS269" s="854">
        <v>0</v>
      </c>
      <c r="AT269" s="854">
        <v>0</v>
      </c>
      <c r="AU269" s="854">
        <v>0</v>
      </c>
      <c r="AV269" s="854">
        <v>0</v>
      </c>
      <c r="AW269" s="854">
        <v>0</v>
      </c>
      <c r="AX269" s="854">
        <v>0</v>
      </c>
      <c r="AY269" s="854">
        <v>0</v>
      </c>
      <c r="AZ269" s="854">
        <v>0</v>
      </c>
      <c r="BA269" s="854">
        <v>0</v>
      </c>
      <c r="BB269" s="854">
        <v>0</v>
      </c>
      <c r="BC269" s="854">
        <v>0</v>
      </c>
      <c r="BD269" s="854">
        <v>0</v>
      </c>
      <c r="BE269" s="854">
        <v>0</v>
      </c>
      <c r="BF269" s="854">
        <v>0</v>
      </c>
      <c r="BG269" s="854">
        <v>0</v>
      </c>
      <c r="BH269" s="854">
        <v>0</v>
      </c>
      <c r="BI269" s="854">
        <v>0</v>
      </c>
      <c r="BJ269" s="854">
        <v>0</v>
      </c>
      <c r="BK269" s="854">
        <v>0</v>
      </c>
      <c r="BL269" s="854">
        <v>0</v>
      </c>
      <c r="BM269" s="854">
        <v>0</v>
      </c>
      <c r="BN269" s="854">
        <v>0</v>
      </c>
      <c r="BO269" s="854">
        <v>0</v>
      </c>
      <c r="BP269" s="854">
        <v>0</v>
      </c>
      <c r="BQ269" s="854">
        <v>0</v>
      </c>
      <c r="BR269" s="854">
        <v>0</v>
      </c>
      <c r="BS269" s="854">
        <v>0</v>
      </c>
      <c r="BT269" s="854">
        <v>0</v>
      </c>
      <c r="BU269" s="854">
        <v>0</v>
      </c>
      <c r="BV269" s="854">
        <v>0</v>
      </c>
      <c r="BW269" s="854">
        <v>0</v>
      </c>
      <c r="BX269" s="854">
        <v>0</v>
      </c>
      <c r="BY269" s="854">
        <v>0</v>
      </c>
      <c r="BZ269" s="854">
        <v>0</v>
      </c>
      <c r="CA269" s="854">
        <v>0</v>
      </c>
      <c r="CB269" s="854">
        <v>0</v>
      </c>
    </row>
    <row r="270" spans="1:80" x14ac:dyDescent="0.25">
      <c r="A270" s="794">
        <v>610</v>
      </c>
      <c r="B270" s="794">
        <v>610</v>
      </c>
      <c r="C270" s="834" t="s">
        <v>793</v>
      </c>
      <c r="D270" s="860"/>
      <c r="E270" s="853">
        <v>0</v>
      </c>
      <c r="F270" s="493">
        <v>0</v>
      </c>
      <c r="G270" s="493">
        <v>0</v>
      </c>
      <c r="H270" s="493">
        <v>0</v>
      </c>
      <c r="I270" s="493">
        <v>0</v>
      </c>
      <c r="J270" s="493">
        <v>0</v>
      </c>
      <c r="K270" s="833">
        <v>0</v>
      </c>
      <c r="L270" s="827">
        <v>0</v>
      </c>
      <c r="M270" s="827">
        <v>0</v>
      </c>
      <c r="N270" s="855">
        <v>0</v>
      </c>
      <c r="O270" s="855">
        <v>0</v>
      </c>
      <c r="P270" s="855">
        <v>0</v>
      </c>
      <c r="Q270" s="855">
        <v>0</v>
      </c>
      <c r="R270" s="855">
        <v>0</v>
      </c>
      <c r="S270" s="855">
        <v>0</v>
      </c>
      <c r="T270" s="855">
        <v>0</v>
      </c>
      <c r="U270" s="855">
        <v>0</v>
      </c>
      <c r="V270" s="855">
        <v>0</v>
      </c>
      <c r="W270" s="855">
        <v>0</v>
      </c>
      <c r="X270" s="855">
        <v>0</v>
      </c>
      <c r="Y270" s="855">
        <v>0</v>
      </c>
      <c r="Z270" s="855">
        <v>0</v>
      </c>
      <c r="AA270" s="827">
        <v>0</v>
      </c>
      <c r="AB270" s="827">
        <v>0</v>
      </c>
      <c r="AC270" s="827">
        <v>0</v>
      </c>
      <c r="AD270" s="827">
        <v>0</v>
      </c>
      <c r="AE270" s="827">
        <v>0</v>
      </c>
      <c r="AF270" s="827">
        <v>0</v>
      </c>
      <c r="AG270" s="827">
        <v>0</v>
      </c>
      <c r="AH270" s="827">
        <v>0</v>
      </c>
      <c r="AI270" s="827">
        <v>0</v>
      </c>
      <c r="AJ270" s="827">
        <v>0</v>
      </c>
      <c r="AK270" s="827">
        <v>0</v>
      </c>
      <c r="AL270" s="827">
        <v>0</v>
      </c>
      <c r="AM270" s="827">
        <v>0</v>
      </c>
      <c r="AN270" s="827">
        <v>0</v>
      </c>
      <c r="AO270" s="827">
        <v>0</v>
      </c>
      <c r="AP270" s="827">
        <v>0</v>
      </c>
      <c r="AQ270" s="827">
        <v>0</v>
      </c>
      <c r="AR270" s="827">
        <v>0</v>
      </c>
      <c r="AS270" s="827">
        <v>0</v>
      </c>
      <c r="AT270" s="827">
        <v>0</v>
      </c>
      <c r="AU270" s="827">
        <v>0</v>
      </c>
      <c r="AV270" s="827">
        <v>0</v>
      </c>
      <c r="AW270" s="827">
        <v>0</v>
      </c>
      <c r="AX270" s="827">
        <v>0</v>
      </c>
      <c r="AY270" s="827">
        <v>0</v>
      </c>
      <c r="AZ270" s="827">
        <v>0</v>
      </c>
      <c r="BA270" s="827">
        <v>0</v>
      </c>
      <c r="BB270" s="827">
        <v>0</v>
      </c>
      <c r="BC270" s="827">
        <v>0</v>
      </c>
      <c r="BD270" s="827">
        <v>0</v>
      </c>
      <c r="BE270" s="827">
        <v>0</v>
      </c>
      <c r="BF270" s="827">
        <v>0</v>
      </c>
      <c r="BG270" s="827">
        <v>0</v>
      </c>
      <c r="BH270" s="827">
        <v>0</v>
      </c>
      <c r="BI270" s="827">
        <v>0</v>
      </c>
      <c r="BJ270" s="827">
        <v>0</v>
      </c>
      <c r="BK270" s="827">
        <v>0</v>
      </c>
      <c r="BL270" s="827">
        <v>0</v>
      </c>
      <c r="BM270" s="827">
        <v>0</v>
      </c>
      <c r="BN270" s="827">
        <v>0</v>
      </c>
      <c r="BO270" s="827">
        <v>0</v>
      </c>
      <c r="BP270" s="827">
        <v>0</v>
      </c>
      <c r="BQ270" s="827">
        <v>0</v>
      </c>
      <c r="BR270" s="827">
        <v>0</v>
      </c>
      <c r="BS270" s="827">
        <v>0</v>
      </c>
      <c r="BT270" s="827">
        <v>0</v>
      </c>
      <c r="BU270" s="827">
        <v>0</v>
      </c>
      <c r="BV270" s="827">
        <v>0</v>
      </c>
      <c r="BW270" s="827">
        <v>0</v>
      </c>
      <c r="BX270" s="827">
        <v>0</v>
      </c>
      <c r="BY270" s="827">
        <v>0</v>
      </c>
      <c r="BZ270" s="827">
        <v>0</v>
      </c>
      <c r="CA270" s="827">
        <v>0</v>
      </c>
      <c r="CB270" s="827">
        <v>0</v>
      </c>
    </row>
    <row r="271" spans="1:80" x14ac:dyDescent="0.25">
      <c r="A271" s="794">
        <v>611</v>
      </c>
      <c r="B271" s="794">
        <v>611</v>
      </c>
      <c r="C271" s="834" t="s">
        <v>794</v>
      </c>
      <c r="D271" s="860"/>
      <c r="E271" s="853">
        <v>0</v>
      </c>
      <c r="F271" s="493">
        <v>0</v>
      </c>
      <c r="G271" s="493">
        <v>0</v>
      </c>
      <c r="H271" s="493">
        <v>0</v>
      </c>
      <c r="I271" s="493">
        <v>0</v>
      </c>
      <c r="J271" s="493">
        <v>0</v>
      </c>
      <c r="K271" s="833">
        <v>0</v>
      </c>
      <c r="L271" s="827">
        <v>0</v>
      </c>
      <c r="M271" s="827">
        <v>0</v>
      </c>
      <c r="N271" s="855">
        <v>0</v>
      </c>
      <c r="O271" s="855">
        <v>0</v>
      </c>
      <c r="P271" s="855">
        <v>0</v>
      </c>
      <c r="Q271" s="855">
        <v>0</v>
      </c>
      <c r="R271" s="855">
        <v>0</v>
      </c>
      <c r="S271" s="855">
        <v>0</v>
      </c>
      <c r="T271" s="855">
        <v>0</v>
      </c>
      <c r="U271" s="855">
        <v>0</v>
      </c>
      <c r="V271" s="855">
        <v>0</v>
      </c>
      <c r="W271" s="855">
        <v>0</v>
      </c>
      <c r="X271" s="855">
        <v>0</v>
      </c>
      <c r="Y271" s="855">
        <v>0</v>
      </c>
      <c r="Z271" s="855">
        <v>0</v>
      </c>
      <c r="AA271" s="827">
        <v>0</v>
      </c>
      <c r="AB271" s="827">
        <v>0</v>
      </c>
      <c r="AC271" s="827">
        <v>0</v>
      </c>
      <c r="AD271" s="827">
        <v>0</v>
      </c>
      <c r="AE271" s="827">
        <v>0</v>
      </c>
      <c r="AF271" s="827">
        <v>0</v>
      </c>
      <c r="AG271" s="827">
        <v>0</v>
      </c>
      <c r="AH271" s="827">
        <v>0</v>
      </c>
      <c r="AI271" s="827">
        <v>0</v>
      </c>
      <c r="AJ271" s="827">
        <v>0</v>
      </c>
      <c r="AK271" s="827">
        <v>0</v>
      </c>
      <c r="AL271" s="827">
        <v>0</v>
      </c>
      <c r="AM271" s="827">
        <v>0</v>
      </c>
      <c r="AN271" s="827">
        <v>0</v>
      </c>
      <c r="AO271" s="827">
        <v>0</v>
      </c>
      <c r="AP271" s="827">
        <v>0</v>
      </c>
      <c r="AQ271" s="827">
        <v>0</v>
      </c>
      <c r="AR271" s="827">
        <v>0</v>
      </c>
      <c r="AS271" s="827">
        <v>0</v>
      </c>
      <c r="AT271" s="827">
        <v>0</v>
      </c>
      <c r="AU271" s="827">
        <v>0</v>
      </c>
      <c r="AV271" s="827">
        <v>0</v>
      </c>
      <c r="AW271" s="827">
        <v>0</v>
      </c>
      <c r="AX271" s="827">
        <v>0</v>
      </c>
      <c r="AY271" s="827">
        <v>0</v>
      </c>
      <c r="AZ271" s="827">
        <v>0</v>
      </c>
      <c r="BA271" s="827">
        <v>0</v>
      </c>
      <c r="BB271" s="827">
        <v>0</v>
      </c>
      <c r="BC271" s="827">
        <v>0</v>
      </c>
      <c r="BD271" s="827">
        <v>0</v>
      </c>
      <c r="BE271" s="827">
        <v>0</v>
      </c>
      <c r="BF271" s="827">
        <v>0</v>
      </c>
      <c r="BG271" s="827">
        <v>0</v>
      </c>
      <c r="BH271" s="827">
        <v>0</v>
      </c>
      <c r="BI271" s="827">
        <v>0</v>
      </c>
      <c r="BJ271" s="827">
        <v>0</v>
      </c>
      <c r="BK271" s="827">
        <v>0</v>
      </c>
      <c r="BL271" s="827">
        <v>0</v>
      </c>
      <c r="BM271" s="827">
        <v>0</v>
      </c>
      <c r="BN271" s="827">
        <v>0</v>
      </c>
      <c r="BO271" s="827">
        <v>0</v>
      </c>
      <c r="BP271" s="827">
        <v>0</v>
      </c>
      <c r="BQ271" s="827">
        <v>0</v>
      </c>
      <c r="BR271" s="827">
        <v>0</v>
      </c>
      <c r="BS271" s="827">
        <v>0</v>
      </c>
      <c r="BT271" s="827">
        <v>0</v>
      </c>
      <c r="BU271" s="827">
        <v>0</v>
      </c>
      <c r="BV271" s="827">
        <v>0</v>
      </c>
      <c r="BW271" s="827">
        <v>0</v>
      </c>
      <c r="BX271" s="827">
        <v>0</v>
      </c>
      <c r="BY271" s="827">
        <v>0</v>
      </c>
      <c r="BZ271" s="827">
        <v>0</v>
      </c>
      <c r="CA271" s="827">
        <v>0</v>
      </c>
      <c r="CB271" s="827">
        <v>0</v>
      </c>
    </row>
    <row r="272" spans="1:80" ht="30" x14ac:dyDescent="0.25">
      <c r="A272" s="794">
        <v>612</v>
      </c>
      <c r="B272" s="794">
        <v>612</v>
      </c>
      <c r="C272" s="834" t="s">
        <v>814</v>
      </c>
      <c r="D272" s="860"/>
      <c r="E272" s="851">
        <v>0</v>
      </c>
      <c r="F272" s="838">
        <v>0</v>
      </c>
      <c r="G272" s="838">
        <v>0</v>
      </c>
      <c r="H272" s="838">
        <v>0</v>
      </c>
      <c r="I272" s="838">
        <v>0</v>
      </c>
      <c r="J272" s="838">
        <v>0</v>
      </c>
      <c r="K272" s="823">
        <v>0</v>
      </c>
      <c r="L272" s="854">
        <v>0</v>
      </c>
      <c r="M272" s="854">
        <v>0</v>
      </c>
      <c r="N272" s="841">
        <v>0</v>
      </c>
      <c r="O272" s="841">
        <v>0</v>
      </c>
      <c r="P272" s="841">
        <v>0</v>
      </c>
      <c r="Q272" s="841">
        <v>0</v>
      </c>
      <c r="R272" s="841">
        <v>0</v>
      </c>
      <c r="S272" s="841">
        <v>0</v>
      </c>
      <c r="T272" s="841">
        <v>0</v>
      </c>
      <c r="U272" s="841">
        <v>0</v>
      </c>
      <c r="V272" s="841">
        <v>0</v>
      </c>
      <c r="W272" s="841">
        <v>0</v>
      </c>
      <c r="X272" s="841">
        <v>0</v>
      </c>
      <c r="Y272" s="841">
        <v>0</v>
      </c>
      <c r="Z272" s="841">
        <v>0</v>
      </c>
      <c r="AA272" s="854">
        <v>0</v>
      </c>
      <c r="AB272" s="854">
        <v>0</v>
      </c>
      <c r="AC272" s="854">
        <v>0</v>
      </c>
      <c r="AD272" s="854">
        <v>0</v>
      </c>
      <c r="AE272" s="854">
        <v>0</v>
      </c>
      <c r="AF272" s="854">
        <v>0</v>
      </c>
      <c r="AG272" s="854">
        <v>0</v>
      </c>
      <c r="AH272" s="854">
        <v>0</v>
      </c>
      <c r="AI272" s="854">
        <v>0</v>
      </c>
      <c r="AJ272" s="854">
        <v>0</v>
      </c>
      <c r="AK272" s="854">
        <v>0</v>
      </c>
      <c r="AL272" s="854">
        <v>0</v>
      </c>
      <c r="AM272" s="854">
        <v>0</v>
      </c>
      <c r="AN272" s="854">
        <v>0</v>
      </c>
      <c r="AO272" s="854">
        <v>0</v>
      </c>
      <c r="AP272" s="854">
        <v>0</v>
      </c>
      <c r="AQ272" s="854">
        <v>0</v>
      </c>
      <c r="AR272" s="854">
        <v>0</v>
      </c>
      <c r="AS272" s="854">
        <v>0</v>
      </c>
      <c r="AT272" s="854">
        <v>0</v>
      </c>
      <c r="AU272" s="854">
        <v>0</v>
      </c>
      <c r="AV272" s="854">
        <v>0</v>
      </c>
      <c r="AW272" s="854">
        <v>0</v>
      </c>
      <c r="AX272" s="854">
        <v>0</v>
      </c>
      <c r="AY272" s="854">
        <v>0</v>
      </c>
      <c r="AZ272" s="854">
        <v>0</v>
      </c>
      <c r="BA272" s="854">
        <v>0</v>
      </c>
      <c r="BB272" s="854">
        <v>0</v>
      </c>
      <c r="BC272" s="854">
        <v>0</v>
      </c>
      <c r="BD272" s="854">
        <v>0</v>
      </c>
      <c r="BE272" s="854">
        <v>0</v>
      </c>
      <c r="BF272" s="854">
        <v>0</v>
      </c>
      <c r="BG272" s="854">
        <v>0</v>
      </c>
      <c r="BH272" s="854">
        <v>0</v>
      </c>
      <c r="BI272" s="854">
        <v>0</v>
      </c>
      <c r="BJ272" s="854">
        <v>0</v>
      </c>
      <c r="BK272" s="854">
        <v>0</v>
      </c>
      <c r="BL272" s="854">
        <v>0</v>
      </c>
      <c r="BM272" s="854">
        <v>0</v>
      </c>
      <c r="BN272" s="854">
        <v>0</v>
      </c>
      <c r="BO272" s="854">
        <v>0</v>
      </c>
      <c r="BP272" s="854">
        <v>0</v>
      </c>
      <c r="BQ272" s="854">
        <v>0</v>
      </c>
      <c r="BR272" s="854">
        <v>0</v>
      </c>
      <c r="BS272" s="854">
        <v>0</v>
      </c>
      <c r="BT272" s="854">
        <v>0</v>
      </c>
      <c r="BU272" s="854">
        <v>0</v>
      </c>
      <c r="BV272" s="854">
        <v>0</v>
      </c>
      <c r="BW272" s="854">
        <v>0</v>
      </c>
      <c r="BX272" s="854">
        <v>0</v>
      </c>
      <c r="BY272" s="854">
        <v>0</v>
      </c>
      <c r="BZ272" s="854">
        <v>0</v>
      </c>
      <c r="CA272" s="854">
        <v>0</v>
      </c>
      <c r="CB272" s="854">
        <v>0</v>
      </c>
    </row>
    <row r="273" spans="1:80" x14ac:dyDescent="0.25">
      <c r="A273" s="794">
        <v>613</v>
      </c>
      <c r="B273" s="794">
        <v>613</v>
      </c>
      <c r="C273" s="834" t="s">
        <v>802</v>
      </c>
      <c r="D273" s="860"/>
      <c r="E273" s="853">
        <v>0</v>
      </c>
      <c r="F273" s="493">
        <v>0</v>
      </c>
      <c r="G273" s="493">
        <v>0</v>
      </c>
      <c r="H273" s="493">
        <v>0</v>
      </c>
      <c r="I273" s="493">
        <v>0</v>
      </c>
      <c r="J273" s="493">
        <v>0</v>
      </c>
      <c r="K273" s="833">
        <v>0</v>
      </c>
      <c r="L273" s="827">
        <v>0</v>
      </c>
      <c r="M273" s="827">
        <v>0</v>
      </c>
      <c r="N273" s="855">
        <v>0</v>
      </c>
      <c r="O273" s="855">
        <v>0</v>
      </c>
      <c r="P273" s="855">
        <v>0</v>
      </c>
      <c r="Q273" s="855">
        <v>0</v>
      </c>
      <c r="R273" s="855">
        <v>0</v>
      </c>
      <c r="S273" s="855">
        <v>0</v>
      </c>
      <c r="T273" s="855">
        <v>0</v>
      </c>
      <c r="U273" s="855">
        <v>0</v>
      </c>
      <c r="V273" s="855">
        <v>0</v>
      </c>
      <c r="W273" s="855">
        <v>0</v>
      </c>
      <c r="X273" s="855">
        <v>0</v>
      </c>
      <c r="Y273" s="855">
        <v>0</v>
      </c>
      <c r="Z273" s="855">
        <v>0</v>
      </c>
      <c r="AA273" s="827">
        <v>0</v>
      </c>
      <c r="AB273" s="827">
        <v>0</v>
      </c>
      <c r="AC273" s="827">
        <v>0</v>
      </c>
      <c r="AD273" s="827">
        <v>0</v>
      </c>
      <c r="AE273" s="827">
        <v>0</v>
      </c>
      <c r="AF273" s="827">
        <v>0</v>
      </c>
      <c r="AG273" s="827">
        <v>0</v>
      </c>
      <c r="AH273" s="827">
        <v>0</v>
      </c>
      <c r="AI273" s="827">
        <v>0</v>
      </c>
      <c r="AJ273" s="827">
        <v>0</v>
      </c>
      <c r="AK273" s="827">
        <v>0</v>
      </c>
      <c r="AL273" s="827">
        <v>0</v>
      </c>
      <c r="AM273" s="827">
        <v>0</v>
      </c>
      <c r="AN273" s="827">
        <v>0</v>
      </c>
      <c r="AO273" s="827">
        <v>0</v>
      </c>
      <c r="AP273" s="827">
        <v>0</v>
      </c>
      <c r="AQ273" s="827">
        <v>0</v>
      </c>
      <c r="AR273" s="827">
        <v>0</v>
      </c>
      <c r="AS273" s="827">
        <v>0</v>
      </c>
      <c r="AT273" s="827">
        <v>0</v>
      </c>
      <c r="AU273" s="827">
        <v>0</v>
      </c>
      <c r="AV273" s="827">
        <v>0</v>
      </c>
      <c r="AW273" s="827">
        <v>0</v>
      </c>
      <c r="AX273" s="827">
        <v>0</v>
      </c>
      <c r="AY273" s="827">
        <v>0</v>
      </c>
      <c r="AZ273" s="827">
        <v>0</v>
      </c>
      <c r="BA273" s="827">
        <v>0</v>
      </c>
      <c r="BB273" s="827">
        <v>0</v>
      </c>
      <c r="BC273" s="827">
        <v>0</v>
      </c>
      <c r="BD273" s="827">
        <v>0</v>
      </c>
      <c r="BE273" s="827">
        <v>0</v>
      </c>
      <c r="BF273" s="827">
        <v>0</v>
      </c>
      <c r="BG273" s="827">
        <v>0</v>
      </c>
      <c r="BH273" s="827">
        <v>0</v>
      </c>
      <c r="BI273" s="827">
        <v>0</v>
      </c>
      <c r="BJ273" s="827">
        <v>0</v>
      </c>
      <c r="BK273" s="827">
        <v>0</v>
      </c>
      <c r="BL273" s="827">
        <v>0</v>
      </c>
      <c r="BM273" s="827">
        <v>0</v>
      </c>
      <c r="BN273" s="827">
        <v>0</v>
      </c>
      <c r="BO273" s="827">
        <v>0</v>
      </c>
      <c r="BP273" s="827">
        <v>0</v>
      </c>
      <c r="BQ273" s="827">
        <v>0</v>
      </c>
      <c r="BR273" s="827">
        <v>0</v>
      </c>
      <c r="BS273" s="827">
        <v>0</v>
      </c>
      <c r="BT273" s="827">
        <v>0</v>
      </c>
      <c r="BU273" s="827">
        <v>0</v>
      </c>
      <c r="BV273" s="827">
        <v>0</v>
      </c>
      <c r="BW273" s="827">
        <v>0</v>
      </c>
      <c r="BX273" s="827">
        <v>0</v>
      </c>
      <c r="BY273" s="827">
        <v>0</v>
      </c>
      <c r="BZ273" s="827">
        <v>0</v>
      </c>
      <c r="CA273" s="827">
        <v>0</v>
      </c>
      <c r="CB273" s="827">
        <v>0</v>
      </c>
    </row>
    <row r="274" spans="1:80" x14ac:dyDescent="0.25">
      <c r="A274" s="794">
        <v>614</v>
      </c>
      <c r="B274" s="794">
        <v>614</v>
      </c>
      <c r="C274" s="834" t="s">
        <v>795</v>
      </c>
      <c r="D274" s="860"/>
      <c r="E274" s="853">
        <v>0</v>
      </c>
      <c r="F274" s="493">
        <v>0</v>
      </c>
      <c r="G274" s="493">
        <v>0</v>
      </c>
      <c r="H274" s="493">
        <v>0</v>
      </c>
      <c r="I274" s="493">
        <v>0</v>
      </c>
      <c r="J274" s="493">
        <v>0</v>
      </c>
      <c r="K274" s="833">
        <v>0</v>
      </c>
      <c r="L274" s="827">
        <v>0</v>
      </c>
      <c r="M274" s="827">
        <v>0</v>
      </c>
      <c r="N274" s="855">
        <v>0</v>
      </c>
      <c r="O274" s="855">
        <v>0</v>
      </c>
      <c r="P274" s="855">
        <v>0</v>
      </c>
      <c r="Q274" s="855">
        <v>0</v>
      </c>
      <c r="R274" s="855">
        <v>0</v>
      </c>
      <c r="S274" s="855">
        <v>0</v>
      </c>
      <c r="T274" s="855">
        <v>0</v>
      </c>
      <c r="U274" s="855">
        <v>0</v>
      </c>
      <c r="V274" s="855">
        <v>0</v>
      </c>
      <c r="W274" s="855">
        <v>0</v>
      </c>
      <c r="X274" s="855">
        <v>0</v>
      </c>
      <c r="Y274" s="855">
        <v>0</v>
      </c>
      <c r="Z274" s="855">
        <v>0</v>
      </c>
      <c r="AA274" s="827">
        <v>0</v>
      </c>
      <c r="AB274" s="827">
        <v>0</v>
      </c>
      <c r="AC274" s="827">
        <v>0</v>
      </c>
      <c r="AD274" s="827">
        <v>0</v>
      </c>
      <c r="AE274" s="827">
        <v>0</v>
      </c>
      <c r="AF274" s="827">
        <v>0</v>
      </c>
      <c r="AG274" s="827">
        <v>0</v>
      </c>
      <c r="AH274" s="827">
        <v>0</v>
      </c>
      <c r="AI274" s="827">
        <v>0</v>
      </c>
      <c r="AJ274" s="827">
        <v>0</v>
      </c>
      <c r="AK274" s="827">
        <v>0</v>
      </c>
      <c r="AL274" s="827">
        <v>0</v>
      </c>
      <c r="AM274" s="827">
        <v>0</v>
      </c>
      <c r="AN274" s="827">
        <v>0</v>
      </c>
      <c r="AO274" s="827">
        <v>0</v>
      </c>
      <c r="AP274" s="827">
        <v>0</v>
      </c>
      <c r="AQ274" s="827">
        <v>0</v>
      </c>
      <c r="AR274" s="827">
        <v>0</v>
      </c>
      <c r="AS274" s="827">
        <v>0</v>
      </c>
      <c r="AT274" s="827">
        <v>0</v>
      </c>
      <c r="AU274" s="827">
        <v>0</v>
      </c>
      <c r="AV274" s="827">
        <v>0</v>
      </c>
      <c r="AW274" s="827">
        <v>0</v>
      </c>
      <c r="AX274" s="827">
        <v>0</v>
      </c>
      <c r="AY274" s="827">
        <v>0</v>
      </c>
      <c r="AZ274" s="827">
        <v>0</v>
      </c>
      <c r="BA274" s="827">
        <v>0</v>
      </c>
      <c r="BB274" s="827">
        <v>0</v>
      </c>
      <c r="BC274" s="827">
        <v>0</v>
      </c>
      <c r="BD274" s="827">
        <v>0</v>
      </c>
      <c r="BE274" s="827">
        <v>0</v>
      </c>
      <c r="BF274" s="827">
        <v>0</v>
      </c>
      <c r="BG274" s="827">
        <v>0</v>
      </c>
      <c r="BH274" s="827">
        <v>0</v>
      </c>
      <c r="BI274" s="827">
        <v>0</v>
      </c>
      <c r="BJ274" s="827">
        <v>0</v>
      </c>
      <c r="BK274" s="827">
        <v>0</v>
      </c>
      <c r="BL274" s="827">
        <v>0</v>
      </c>
      <c r="BM274" s="827">
        <v>0</v>
      </c>
      <c r="BN274" s="827">
        <v>0</v>
      </c>
      <c r="BO274" s="827">
        <v>0</v>
      </c>
      <c r="BP274" s="827">
        <v>0</v>
      </c>
      <c r="BQ274" s="827">
        <v>0</v>
      </c>
      <c r="BR274" s="827">
        <v>0</v>
      </c>
      <c r="BS274" s="827">
        <v>0</v>
      </c>
      <c r="BT274" s="827">
        <v>0</v>
      </c>
      <c r="BU274" s="827">
        <v>0</v>
      </c>
      <c r="BV274" s="827">
        <v>0</v>
      </c>
      <c r="BW274" s="827">
        <v>0</v>
      </c>
      <c r="BX274" s="827">
        <v>0</v>
      </c>
      <c r="BY274" s="827">
        <v>0</v>
      </c>
      <c r="BZ274" s="827">
        <v>0</v>
      </c>
      <c r="CA274" s="827">
        <v>0</v>
      </c>
      <c r="CB274" s="827">
        <v>0</v>
      </c>
    </row>
    <row r="275" spans="1:80" ht="30" x14ac:dyDescent="0.25">
      <c r="A275" s="794">
        <v>615</v>
      </c>
      <c r="B275" s="794">
        <v>615</v>
      </c>
      <c r="C275" s="834" t="s">
        <v>815</v>
      </c>
      <c r="D275" s="860"/>
      <c r="E275" s="851">
        <v>0</v>
      </c>
      <c r="F275" s="838">
        <v>0</v>
      </c>
      <c r="G275" s="838">
        <v>0</v>
      </c>
      <c r="H275" s="838">
        <v>0</v>
      </c>
      <c r="I275" s="838">
        <v>0</v>
      </c>
      <c r="J275" s="838">
        <v>0</v>
      </c>
      <c r="K275" s="823">
        <v>0</v>
      </c>
      <c r="L275" s="854">
        <v>0</v>
      </c>
      <c r="M275" s="854">
        <v>0</v>
      </c>
      <c r="N275" s="841">
        <v>0</v>
      </c>
      <c r="O275" s="841">
        <v>0</v>
      </c>
      <c r="P275" s="841">
        <v>0</v>
      </c>
      <c r="Q275" s="841">
        <v>0</v>
      </c>
      <c r="R275" s="841">
        <v>0</v>
      </c>
      <c r="S275" s="841">
        <v>0</v>
      </c>
      <c r="T275" s="841">
        <v>0</v>
      </c>
      <c r="U275" s="841">
        <v>0</v>
      </c>
      <c r="V275" s="841">
        <v>0</v>
      </c>
      <c r="W275" s="841">
        <v>0</v>
      </c>
      <c r="X275" s="841">
        <v>0</v>
      </c>
      <c r="Y275" s="841">
        <v>0</v>
      </c>
      <c r="Z275" s="841">
        <v>0</v>
      </c>
      <c r="AA275" s="854">
        <v>0</v>
      </c>
      <c r="AB275" s="854">
        <v>0</v>
      </c>
      <c r="AC275" s="854">
        <v>0</v>
      </c>
      <c r="AD275" s="854">
        <v>0</v>
      </c>
      <c r="AE275" s="854">
        <v>0</v>
      </c>
      <c r="AF275" s="854">
        <v>0</v>
      </c>
      <c r="AG275" s="854">
        <v>0</v>
      </c>
      <c r="AH275" s="854">
        <v>0</v>
      </c>
      <c r="AI275" s="854">
        <v>0</v>
      </c>
      <c r="AJ275" s="854">
        <v>0</v>
      </c>
      <c r="AK275" s="854">
        <v>0</v>
      </c>
      <c r="AL275" s="854">
        <v>0</v>
      </c>
      <c r="AM275" s="854">
        <v>0</v>
      </c>
      <c r="AN275" s="854">
        <v>0</v>
      </c>
      <c r="AO275" s="854">
        <v>0</v>
      </c>
      <c r="AP275" s="854">
        <v>0</v>
      </c>
      <c r="AQ275" s="854">
        <v>0</v>
      </c>
      <c r="AR275" s="854">
        <v>0</v>
      </c>
      <c r="AS275" s="854">
        <v>0</v>
      </c>
      <c r="AT275" s="854">
        <v>0</v>
      </c>
      <c r="AU275" s="854">
        <v>0</v>
      </c>
      <c r="AV275" s="854">
        <v>0</v>
      </c>
      <c r="AW275" s="854">
        <v>0</v>
      </c>
      <c r="AX275" s="854">
        <v>0</v>
      </c>
      <c r="AY275" s="854">
        <v>0</v>
      </c>
      <c r="AZ275" s="854">
        <v>0</v>
      </c>
      <c r="BA275" s="854">
        <v>0</v>
      </c>
      <c r="BB275" s="854">
        <v>0</v>
      </c>
      <c r="BC275" s="854">
        <v>0</v>
      </c>
      <c r="BD275" s="854">
        <v>0</v>
      </c>
      <c r="BE275" s="854">
        <v>0</v>
      </c>
      <c r="BF275" s="854">
        <v>0</v>
      </c>
      <c r="BG275" s="854">
        <v>0</v>
      </c>
      <c r="BH275" s="854">
        <v>0</v>
      </c>
      <c r="BI275" s="854">
        <v>0</v>
      </c>
      <c r="BJ275" s="854">
        <v>0</v>
      </c>
      <c r="BK275" s="854">
        <v>0</v>
      </c>
      <c r="BL275" s="854">
        <v>0</v>
      </c>
      <c r="BM275" s="854">
        <v>0</v>
      </c>
      <c r="BN275" s="854">
        <v>0</v>
      </c>
      <c r="BO275" s="854">
        <v>0</v>
      </c>
      <c r="BP275" s="854">
        <v>0</v>
      </c>
      <c r="BQ275" s="854">
        <v>0</v>
      </c>
      <c r="BR275" s="854">
        <v>0</v>
      </c>
      <c r="BS275" s="854">
        <v>0</v>
      </c>
      <c r="BT275" s="854">
        <v>0</v>
      </c>
      <c r="BU275" s="854">
        <v>0</v>
      </c>
      <c r="BV275" s="854">
        <v>0</v>
      </c>
      <c r="BW275" s="854">
        <v>0</v>
      </c>
      <c r="BX275" s="854">
        <v>0</v>
      </c>
      <c r="BY275" s="854">
        <v>0</v>
      </c>
      <c r="BZ275" s="854">
        <v>0</v>
      </c>
      <c r="CA275" s="854">
        <v>0</v>
      </c>
      <c r="CB275" s="854">
        <v>0</v>
      </c>
    </row>
    <row r="276" spans="1:80" x14ac:dyDescent="0.25">
      <c r="A276" s="794">
        <v>616</v>
      </c>
      <c r="B276" s="794">
        <v>616</v>
      </c>
      <c r="C276" s="834" t="s">
        <v>796</v>
      </c>
      <c r="D276" s="860"/>
      <c r="E276" s="853">
        <v>0</v>
      </c>
      <c r="F276" s="493">
        <v>0</v>
      </c>
      <c r="G276" s="493">
        <v>0</v>
      </c>
      <c r="H276" s="493">
        <v>0</v>
      </c>
      <c r="I276" s="493">
        <v>0</v>
      </c>
      <c r="J276" s="493">
        <v>0</v>
      </c>
      <c r="K276" s="833">
        <v>0</v>
      </c>
      <c r="L276" s="827">
        <v>0</v>
      </c>
      <c r="M276" s="827">
        <v>0</v>
      </c>
      <c r="N276" s="855">
        <v>0</v>
      </c>
      <c r="O276" s="855">
        <v>0</v>
      </c>
      <c r="P276" s="855">
        <v>0</v>
      </c>
      <c r="Q276" s="855">
        <v>0</v>
      </c>
      <c r="R276" s="855">
        <v>0</v>
      </c>
      <c r="S276" s="855">
        <v>0</v>
      </c>
      <c r="T276" s="855">
        <v>0</v>
      </c>
      <c r="U276" s="855">
        <v>0</v>
      </c>
      <c r="V276" s="855">
        <v>0</v>
      </c>
      <c r="W276" s="855">
        <v>0</v>
      </c>
      <c r="X276" s="855">
        <v>0</v>
      </c>
      <c r="Y276" s="855">
        <v>0</v>
      </c>
      <c r="Z276" s="855">
        <v>0</v>
      </c>
      <c r="AA276" s="827">
        <v>0</v>
      </c>
      <c r="AB276" s="827">
        <v>321048</v>
      </c>
      <c r="AC276" s="827">
        <v>0</v>
      </c>
      <c r="AD276" s="827">
        <v>0</v>
      </c>
      <c r="AE276" s="827">
        <v>0</v>
      </c>
      <c r="AF276" s="827">
        <v>0</v>
      </c>
      <c r="AG276" s="827">
        <v>0</v>
      </c>
      <c r="AH276" s="827">
        <v>0</v>
      </c>
      <c r="AI276" s="827">
        <v>0</v>
      </c>
      <c r="AJ276" s="827">
        <v>0</v>
      </c>
      <c r="AK276" s="827">
        <v>0</v>
      </c>
      <c r="AL276" s="827">
        <v>0</v>
      </c>
      <c r="AM276" s="827">
        <v>0</v>
      </c>
      <c r="AN276" s="827">
        <v>0</v>
      </c>
      <c r="AO276" s="827">
        <v>0</v>
      </c>
      <c r="AP276" s="827">
        <v>0</v>
      </c>
      <c r="AQ276" s="827">
        <v>0</v>
      </c>
      <c r="AR276" s="827">
        <v>0</v>
      </c>
      <c r="AS276" s="827">
        <v>0</v>
      </c>
      <c r="AT276" s="827">
        <v>0</v>
      </c>
      <c r="AU276" s="827">
        <v>0</v>
      </c>
      <c r="AV276" s="827">
        <v>0</v>
      </c>
      <c r="AW276" s="827">
        <v>0</v>
      </c>
      <c r="AX276" s="827">
        <v>0</v>
      </c>
      <c r="AY276" s="827">
        <v>0</v>
      </c>
      <c r="AZ276" s="827">
        <v>0</v>
      </c>
      <c r="BA276" s="827">
        <v>0</v>
      </c>
      <c r="BB276" s="827">
        <v>0</v>
      </c>
      <c r="BC276" s="827">
        <v>0</v>
      </c>
      <c r="BD276" s="827">
        <v>0</v>
      </c>
      <c r="BE276" s="827">
        <v>0</v>
      </c>
      <c r="BF276" s="827">
        <v>0</v>
      </c>
      <c r="BG276" s="827">
        <v>0</v>
      </c>
      <c r="BH276" s="827">
        <v>0</v>
      </c>
      <c r="BI276" s="827">
        <v>0</v>
      </c>
      <c r="BJ276" s="827">
        <v>0</v>
      </c>
      <c r="BK276" s="827">
        <v>0</v>
      </c>
      <c r="BL276" s="827">
        <v>0</v>
      </c>
      <c r="BM276" s="827">
        <v>0</v>
      </c>
      <c r="BN276" s="827">
        <v>0</v>
      </c>
      <c r="BO276" s="827">
        <v>0</v>
      </c>
      <c r="BP276" s="827">
        <v>0</v>
      </c>
      <c r="BQ276" s="827">
        <v>0</v>
      </c>
      <c r="BR276" s="827">
        <v>0</v>
      </c>
      <c r="BS276" s="827">
        <v>0</v>
      </c>
      <c r="BT276" s="827">
        <v>0</v>
      </c>
      <c r="BU276" s="827">
        <v>0</v>
      </c>
      <c r="BV276" s="827">
        <v>0</v>
      </c>
      <c r="BW276" s="827">
        <v>0</v>
      </c>
      <c r="BX276" s="827">
        <v>0</v>
      </c>
      <c r="BY276" s="827">
        <v>0</v>
      </c>
      <c r="BZ276" s="827">
        <v>0</v>
      </c>
      <c r="CA276" s="827">
        <v>0</v>
      </c>
      <c r="CB276" s="827">
        <v>0</v>
      </c>
    </row>
    <row r="277" spans="1:80" x14ac:dyDescent="0.25">
      <c r="A277" s="794">
        <v>617</v>
      </c>
      <c r="B277" s="794">
        <v>617</v>
      </c>
      <c r="C277" s="834" t="s">
        <v>797</v>
      </c>
      <c r="D277" s="860"/>
      <c r="E277" s="853">
        <v>0</v>
      </c>
      <c r="F277" s="493">
        <v>0</v>
      </c>
      <c r="G277" s="493">
        <v>0</v>
      </c>
      <c r="H277" s="493">
        <v>0</v>
      </c>
      <c r="I277" s="493">
        <v>0</v>
      </c>
      <c r="J277" s="493">
        <v>0</v>
      </c>
      <c r="K277" s="833">
        <v>0</v>
      </c>
      <c r="L277" s="827">
        <v>0</v>
      </c>
      <c r="M277" s="827">
        <v>0</v>
      </c>
      <c r="N277" s="855">
        <v>0</v>
      </c>
      <c r="O277" s="855">
        <v>0</v>
      </c>
      <c r="P277" s="855">
        <v>0</v>
      </c>
      <c r="Q277" s="855">
        <v>0</v>
      </c>
      <c r="R277" s="855">
        <v>0</v>
      </c>
      <c r="S277" s="855">
        <v>0</v>
      </c>
      <c r="T277" s="855">
        <v>0</v>
      </c>
      <c r="U277" s="855">
        <v>0</v>
      </c>
      <c r="V277" s="855">
        <v>0</v>
      </c>
      <c r="W277" s="855">
        <v>0</v>
      </c>
      <c r="X277" s="855">
        <v>0</v>
      </c>
      <c r="Y277" s="855">
        <v>0</v>
      </c>
      <c r="Z277" s="855">
        <v>0</v>
      </c>
      <c r="AA277" s="827">
        <v>0</v>
      </c>
      <c r="AB277" s="827">
        <v>0</v>
      </c>
      <c r="AC277" s="827">
        <v>0</v>
      </c>
      <c r="AD277" s="827">
        <v>0</v>
      </c>
      <c r="AE277" s="827">
        <v>0</v>
      </c>
      <c r="AF277" s="827">
        <v>0</v>
      </c>
      <c r="AG277" s="827">
        <v>0</v>
      </c>
      <c r="AH277" s="827">
        <v>0</v>
      </c>
      <c r="AI277" s="827">
        <v>0</v>
      </c>
      <c r="AJ277" s="827">
        <v>0</v>
      </c>
      <c r="AK277" s="827">
        <v>0</v>
      </c>
      <c r="AL277" s="827">
        <v>0</v>
      </c>
      <c r="AM277" s="827">
        <v>0</v>
      </c>
      <c r="AN277" s="827">
        <v>0</v>
      </c>
      <c r="AO277" s="827">
        <v>0</v>
      </c>
      <c r="AP277" s="827">
        <v>0</v>
      </c>
      <c r="AQ277" s="827">
        <v>0</v>
      </c>
      <c r="AR277" s="827">
        <v>0</v>
      </c>
      <c r="AS277" s="827">
        <v>0</v>
      </c>
      <c r="AT277" s="827">
        <v>0</v>
      </c>
      <c r="AU277" s="827">
        <v>0</v>
      </c>
      <c r="AV277" s="827">
        <v>0</v>
      </c>
      <c r="AW277" s="827">
        <v>0</v>
      </c>
      <c r="AX277" s="827">
        <v>0</v>
      </c>
      <c r="AY277" s="827">
        <v>0</v>
      </c>
      <c r="AZ277" s="827">
        <v>0</v>
      </c>
      <c r="BA277" s="827">
        <v>0</v>
      </c>
      <c r="BB277" s="827">
        <v>0</v>
      </c>
      <c r="BC277" s="827">
        <v>0</v>
      </c>
      <c r="BD277" s="827">
        <v>0</v>
      </c>
      <c r="BE277" s="827">
        <v>0</v>
      </c>
      <c r="BF277" s="827">
        <v>0</v>
      </c>
      <c r="BG277" s="827">
        <v>0</v>
      </c>
      <c r="BH277" s="827">
        <v>0</v>
      </c>
      <c r="BI277" s="827">
        <v>0</v>
      </c>
      <c r="BJ277" s="827">
        <v>0</v>
      </c>
      <c r="BK277" s="827">
        <v>0</v>
      </c>
      <c r="BL277" s="827">
        <v>0</v>
      </c>
      <c r="BM277" s="827">
        <v>0</v>
      </c>
      <c r="BN277" s="827">
        <v>0</v>
      </c>
      <c r="BO277" s="827">
        <v>0</v>
      </c>
      <c r="BP277" s="827">
        <v>0</v>
      </c>
      <c r="BQ277" s="827">
        <v>0</v>
      </c>
      <c r="BR277" s="827">
        <v>0</v>
      </c>
      <c r="BS277" s="827">
        <v>0</v>
      </c>
      <c r="BT277" s="827">
        <v>0</v>
      </c>
      <c r="BU277" s="827">
        <v>0</v>
      </c>
      <c r="BV277" s="827">
        <v>0</v>
      </c>
      <c r="BW277" s="827">
        <v>0</v>
      </c>
      <c r="BX277" s="827">
        <v>0</v>
      </c>
      <c r="BY277" s="827">
        <v>0</v>
      </c>
      <c r="BZ277" s="827">
        <v>0</v>
      </c>
      <c r="CA277" s="827">
        <v>0</v>
      </c>
      <c r="CB277" s="827">
        <v>0</v>
      </c>
    </row>
    <row r="278" spans="1:80" ht="30" x14ac:dyDescent="0.25">
      <c r="A278" s="794">
        <v>618</v>
      </c>
      <c r="B278" s="794">
        <v>618</v>
      </c>
      <c r="C278" s="834" t="s">
        <v>816</v>
      </c>
      <c r="D278" s="860"/>
      <c r="E278" s="851">
        <v>0</v>
      </c>
      <c r="F278" s="838">
        <v>0</v>
      </c>
      <c r="G278" s="838">
        <v>0</v>
      </c>
      <c r="H278" s="838">
        <v>0</v>
      </c>
      <c r="I278" s="838">
        <v>0</v>
      </c>
      <c r="J278" s="838">
        <v>0</v>
      </c>
      <c r="K278" s="823">
        <v>0</v>
      </c>
      <c r="L278" s="854">
        <v>0</v>
      </c>
      <c r="M278" s="854">
        <v>0</v>
      </c>
      <c r="N278" s="841">
        <v>0</v>
      </c>
      <c r="O278" s="841">
        <v>0</v>
      </c>
      <c r="P278" s="841">
        <v>0</v>
      </c>
      <c r="Q278" s="841">
        <v>0</v>
      </c>
      <c r="R278" s="841">
        <v>0</v>
      </c>
      <c r="S278" s="841">
        <v>0</v>
      </c>
      <c r="T278" s="841">
        <v>0</v>
      </c>
      <c r="U278" s="841">
        <v>0</v>
      </c>
      <c r="V278" s="841">
        <v>0</v>
      </c>
      <c r="W278" s="841">
        <v>0</v>
      </c>
      <c r="X278" s="841">
        <v>0</v>
      </c>
      <c r="Y278" s="841">
        <v>0</v>
      </c>
      <c r="Z278" s="841">
        <v>0</v>
      </c>
      <c r="AA278" s="854">
        <v>0</v>
      </c>
      <c r="AB278" s="854">
        <v>0</v>
      </c>
      <c r="AC278" s="854">
        <v>0</v>
      </c>
      <c r="AD278" s="854">
        <v>0</v>
      </c>
      <c r="AE278" s="854">
        <v>0</v>
      </c>
      <c r="AF278" s="854">
        <v>0</v>
      </c>
      <c r="AG278" s="854">
        <v>0</v>
      </c>
      <c r="AH278" s="854">
        <v>0</v>
      </c>
      <c r="AI278" s="854">
        <v>0</v>
      </c>
      <c r="AJ278" s="854">
        <v>0</v>
      </c>
      <c r="AK278" s="854">
        <v>0</v>
      </c>
      <c r="AL278" s="854">
        <v>0</v>
      </c>
      <c r="AM278" s="854">
        <v>0</v>
      </c>
      <c r="AN278" s="854">
        <v>0</v>
      </c>
      <c r="AO278" s="854">
        <v>0</v>
      </c>
      <c r="AP278" s="854">
        <v>0</v>
      </c>
      <c r="AQ278" s="854">
        <v>0</v>
      </c>
      <c r="AR278" s="854">
        <v>0</v>
      </c>
      <c r="AS278" s="854">
        <v>0</v>
      </c>
      <c r="AT278" s="854">
        <v>0</v>
      </c>
      <c r="AU278" s="854">
        <v>0</v>
      </c>
      <c r="AV278" s="854">
        <v>0</v>
      </c>
      <c r="AW278" s="854">
        <v>0</v>
      </c>
      <c r="AX278" s="854">
        <v>0</v>
      </c>
      <c r="AY278" s="854">
        <v>0</v>
      </c>
      <c r="AZ278" s="854">
        <v>0</v>
      </c>
      <c r="BA278" s="854">
        <v>0</v>
      </c>
      <c r="BB278" s="854">
        <v>0</v>
      </c>
      <c r="BC278" s="854">
        <v>0</v>
      </c>
      <c r="BD278" s="854">
        <v>0</v>
      </c>
      <c r="BE278" s="854">
        <v>0</v>
      </c>
      <c r="BF278" s="854">
        <v>0</v>
      </c>
      <c r="BG278" s="854">
        <v>0</v>
      </c>
      <c r="BH278" s="854">
        <v>0</v>
      </c>
      <c r="BI278" s="854">
        <v>0</v>
      </c>
      <c r="BJ278" s="854">
        <v>0</v>
      </c>
      <c r="BK278" s="854">
        <v>0</v>
      </c>
      <c r="BL278" s="854">
        <v>0</v>
      </c>
      <c r="BM278" s="854">
        <v>0</v>
      </c>
      <c r="BN278" s="854">
        <v>0</v>
      </c>
      <c r="BO278" s="854">
        <v>0</v>
      </c>
      <c r="BP278" s="854">
        <v>0</v>
      </c>
      <c r="BQ278" s="854">
        <v>0</v>
      </c>
      <c r="BR278" s="854">
        <v>0</v>
      </c>
      <c r="BS278" s="854">
        <v>0</v>
      </c>
      <c r="BT278" s="854">
        <v>0</v>
      </c>
      <c r="BU278" s="854">
        <v>0</v>
      </c>
      <c r="BV278" s="854">
        <v>0</v>
      </c>
      <c r="BW278" s="854">
        <v>0</v>
      </c>
      <c r="BX278" s="854">
        <v>0</v>
      </c>
      <c r="BY278" s="854">
        <v>0</v>
      </c>
      <c r="BZ278" s="854">
        <v>0</v>
      </c>
      <c r="CA278" s="854">
        <v>0</v>
      </c>
      <c r="CB278" s="854">
        <v>0</v>
      </c>
    </row>
    <row r="279" spans="1:80" ht="30" x14ac:dyDescent="0.25">
      <c r="A279" s="794">
        <v>619</v>
      </c>
      <c r="B279" s="794">
        <v>619</v>
      </c>
      <c r="C279" s="834" t="s">
        <v>818</v>
      </c>
      <c r="D279" s="860"/>
      <c r="E279" s="851">
        <v>0</v>
      </c>
      <c r="F279" s="838">
        <v>0</v>
      </c>
      <c r="G279" s="838">
        <v>0</v>
      </c>
      <c r="H279" s="838">
        <v>0</v>
      </c>
      <c r="I279" s="838">
        <v>0</v>
      </c>
      <c r="J279" s="838">
        <v>0</v>
      </c>
      <c r="K279" s="823">
        <v>0</v>
      </c>
      <c r="L279" s="854">
        <v>0</v>
      </c>
      <c r="M279" s="854">
        <v>0</v>
      </c>
      <c r="N279" s="841">
        <v>0</v>
      </c>
      <c r="O279" s="841">
        <v>0</v>
      </c>
      <c r="P279" s="841">
        <v>0</v>
      </c>
      <c r="Q279" s="841">
        <v>0</v>
      </c>
      <c r="R279" s="841">
        <v>0</v>
      </c>
      <c r="S279" s="841">
        <v>0</v>
      </c>
      <c r="T279" s="841">
        <v>0</v>
      </c>
      <c r="U279" s="841">
        <v>0</v>
      </c>
      <c r="V279" s="841">
        <v>0</v>
      </c>
      <c r="W279" s="841">
        <v>0</v>
      </c>
      <c r="X279" s="841">
        <v>0</v>
      </c>
      <c r="Y279" s="841">
        <v>0</v>
      </c>
      <c r="Z279" s="841">
        <v>0</v>
      </c>
      <c r="AA279" s="854">
        <v>0</v>
      </c>
      <c r="AB279" s="854">
        <v>0</v>
      </c>
      <c r="AC279" s="854">
        <v>0</v>
      </c>
      <c r="AD279" s="854">
        <v>0</v>
      </c>
      <c r="AE279" s="854">
        <v>0</v>
      </c>
      <c r="AF279" s="854">
        <v>0</v>
      </c>
      <c r="AG279" s="854">
        <v>0</v>
      </c>
      <c r="AH279" s="854">
        <v>0</v>
      </c>
      <c r="AI279" s="854">
        <v>0</v>
      </c>
      <c r="AJ279" s="854">
        <v>0</v>
      </c>
      <c r="AK279" s="854">
        <v>0</v>
      </c>
      <c r="AL279" s="854">
        <v>0</v>
      </c>
      <c r="AM279" s="854">
        <v>0</v>
      </c>
      <c r="AN279" s="854">
        <v>0</v>
      </c>
      <c r="AO279" s="854">
        <v>0</v>
      </c>
      <c r="AP279" s="854">
        <v>0</v>
      </c>
      <c r="AQ279" s="854">
        <v>0</v>
      </c>
      <c r="AR279" s="854">
        <v>0</v>
      </c>
      <c r="AS279" s="854">
        <v>0</v>
      </c>
      <c r="AT279" s="854">
        <v>0</v>
      </c>
      <c r="AU279" s="854">
        <v>0</v>
      </c>
      <c r="AV279" s="854">
        <v>0</v>
      </c>
      <c r="AW279" s="854">
        <v>0</v>
      </c>
      <c r="AX279" s="854">
        <v>0</v>
      </c>
      <c r="AY279" s="854">
        <v>0</v>
      </c>
      <c r="AZ279" s="854">
        <v>0</v>
      </c>
      <c r="BA279" s="854">
        <v>0</v>
      </c>
      <c r="BB279" s="854">
        <v>0</v>
      </c>
      <c r="BC279" s="854">
        <v>0</v>
      </c>
      <c r="BD279" s="854">
        <v>0</v>
      </c>
      <c r="BE279" s="854">
        <v>0</v>
      </c>
      <c r="BF279" s="854">
        <v>0</v>
      </c>
      <c r="BG279" s="854">
        <v>0</v>
      </c>
      <c r="BH279" s="854">
        <v>0</v>
      </c>
      <c r="BI279" s="854">
        <v>0</v>
      </c>
      <c r="BJ279" s="854">
        <v>0</v>
      </c>
      <c r="BK279" s="854">
        <v>0</v>
      </c>
      <c r="BL279" s="854">
        <v>0</v>
      </c>
      <c r="BM279" s="854">
        <v>0</v>
      </c>
      <c r="BN279" s="854">
        <v>0</v>
      </c>
      <c r="BO279" s="854">
        <v>0</v>
      </c>
      <c r="BP279" s="854">
        <v>0</v>
      </c>
      <c r="BQ279" s="854">
        <v>0</v>
      </c>
      <c r="BR279" s="854">
        <v>0</v>
      </c>
      <c r="BS279" s="854">
        <v>0</v>
      </c>
      <c r="BT279" s="854">
        <v>0</v>
      </c>
      <c r="BU279" s="854">
        <v>0</v>
      </c>
      <c r="BV279" s="854">
        <v>0</v>
      </c>
      <c r="BW279" s="854">
        <v>0</v>
      </c>
      <c r="BX279" s="854">
        <v>0</v>
      </c>
      <c r="BY279" s="854">
        <v>0</v>
      </c>
      <c r="BZ279" s="854">
        <v>0</v>
      </c>
      <c r="CA279" s="854">
        <v>0</v>
      </c>
      <c r="CB279" s="854">
        <v>0</v>
      </c>
    </row>
    <row r="280" spans="1:80" ht="45" x14ac:dyDescent="0.25">
      <c r="A280" s="794">
        <v>620</v>
      </c>
      <c r="B280" s="794">
        <v>620</v>
      </c>
      <c r="C280" s="834" t="s">
        <v>806</v>
      </c>
      <c r="D280" s="860"/>
      <c r="E280" s="851">
        <v>2</v>
      </c>
      <c r="F280" s="838">
        <v>2</v>
      </c>
      <c r="G280" s="838">
        <v>2</v>
      </c>
      <c r="H280" s="838">
        <v>1</v>
      </c>
      <c r="I280" s="838">
        <v>2</v>
      </c>
      <c r="J280" s="838">
        <v>2</v>
      </c>
      <c r="K280" s="823">
        <v>2</v>
      </c>
      <c r="L280" s="854">
        <v>2</v>
      </c>
      <c r="M280" s="854">
        <v>1</v>
      </c>
      <c r="N280" s="841">
        <v>2</v>
      </c>
      <c r="O280" s="841">
        <v>2</v>
      </c>
      <c r="P280" s="841">
        <v>2</v>
      </c>
      <c r="Q280" s="841">
        <v>2</v>
      </c>
      <c r="R280" s="841">
        <v>1</v>
      </c>
      <c r="S280" s="841">
        <v>2</v>
      </c>
      <c r="T280" s="841">
        <v>2</v>
      </c>
      <c r="U280" s="841">
        <v>2</v>
      </c>
      <c r="V280" s="841">
        <v>2</v>
      </c>
      <c r="W280" s="841">
        <v>2</v>
      </c>
      <c r="X280" s="841">
        <v>2</v>
      </c>
      <c r="Y280" s="841">
        <v>1</v>
      </c>
      <c r="Z280" s="841">
        <v>1</v>
      </c>
      <c r="AA280" s="854">
        <v>1</v>
      </c>
      <c r="AB280" s="854">
        <v>1</v>
      </c>
      <c r="AC280" s="854">
        <v>2</v>
      </c>
      <c r="AD280" s="854">
        <v>2</v>
      </c>
      <c r="AE280" s="854">
        <v>2</v>
      </c>
      <c r="AF280" s="854">
        <v>2</v>
      </c>
      <c r="AG280" s="854">
        <v>0</v>
      </c>
      <c r="AH280" s="854">
        <v>0</v>
      </c>
      <c r="AI280" s="854">
        <v>2</v>
      </c>
      <c r="AJ280" s="854">
        <v>2</v>
      </c>
      <c r="AK280" s="854">
        <v>2</v>
      </c>
      <c r="AL280" s="854">
        <v>2</v>
      </c>
      <c r="AM280" s="854">
        <v>2</v>
      </c>
      <c r="AN280" s="854">
        <v>2</v>
      </c>
      <c r="AO280" s="854">
        <v>1</v>
      </c>
      <c r="AP280" s="854">
        <v>2</v>
      </c>
      <c r="AQ280" s="854">
        <v>2</v>
      </c>
      <c r="AR280" s="854">
        <v>1</v>
      </c>
      <c r="AS280" s="854">
        <v>1</v>
      </c>
      <c r="AT280" s="854">
        <v>2</v>
      </c>
      <c r="AU280" s="854">
        <v>2</v>
      </c>
      <c r="AV280" s="854">
        <v>2</v>
      </c>
      <c r="AW280" s="854">
        <v>2</v>
      </c>
      <c r="AX280" s="854">
        <v>2</v>
      </c>
      <c r="AY280" s="854">
        <v>2</v>
      </c>
      <c r="AZ280" s="854">
        <v>2</v>
      </c>
      <c r="BA280" s="854">
        <v>2</v>
      </c>
      <c r="BB280" s="854">
        <v>2</v>
      </c>
      <c r="BC280" s="854">
        <v>2</v>
      </c>
      <c r="BD280" s="854">
        <v>1</v>
      </c>
      <c r="BE280" s="854">
        <v>2</v>
      </c>
      <c r="BF280" s="854">
        <v>2</v>
      </c>
      <c r="BG280" s="854">
        <v>2</v>
      </c>
      <c r="BH280" s="854">
        <v>2</v>
      </c>
      <c r="BI280" s="854">
        <v>2</v>
      </c>
      <c r="BJ280" s="854">
        <v>2</v>
      </c>
      <c r="BK280" s="854">
        <v>2</v>
      </c>
      <c r="BL280" s="854">
        <v>2</v>
      </c>
      <c r="BM280" s="854">
        <v>2</v>
      </c>
      <c r="BN280" s="854">
        <v>2</v>
      </c>
      <c r="BO280" s="854">
        <v>1</v>
      </c>
      <c r="BP280" s="854">
        <v>2</v>
      </c>
      <c r="BQ280" s="854">
        <v>2</v>
      </c>
      <c r="BR280" s="854">
        <v>2</v>
      </c>
      <c r="BS280" s="854">
        <v>2</v>
      </c>
      <c r="BT280" s="854">
        <v>2</v>
      </c>
      <c r="BU280" s="854">
        <v>2</v>
      </c>
      <c r="BV280" s="854">
        <v>2</v>
      </c>
      <c r="BW280" s="854">
        <v>1</v>
      </c>
      <c r="BX280" s="854">
        <v>2</v>
      </c>
      <c r="BY280" s="854">
        <v>2</v>
      </c>
      <c r="BZ280" s="854">
        <v>2</v>
      </c>
      <c r="CA280" s="854">
        <v>1</v>
      </c>
      <c r="CB280" s="854">
        <v>2</v>
      </c>
    </row>
    <row r="281" spans="1:80" x14ac:dyDescent="0.25">
      <c r="A281" s="794">
        <v>621</v>
      </c>
      <c r="B281" s="794">
        <v>621</v>
      </c>
      <c r="C281" s="812" t="s">
        <v>824</v>
      </c>
      <c r="D281" s="860"/>
      <c r="E281" s="851">
        <v>0</v>
      </c>
      <c r="F281" s="838">
        <v>0</v>
      </c>
      <c r="G281" s="838">
        <v>0</v>
      </c>
      <c r="H281" s="838">
        <v>0</v>
      </c>
      <c r="I281" s="838">
        <v>0</v>
      </c>
      <c r="J281" s="838">
        <v>0</v>
      </c>
      <c r="K281" s="823">
        <v>0</v>
      </c>
      <c r="L281" s="854">
        <v>0</v>
      </c>
      <c r="M281" s="854">
        <v>0</v>
      </c>
      <c r="N281" s="841">
        <v>0</v>
      </c>
      <c r="O281" s="841">
        <v>0</v>
      </c>
      <c r="P281" s="841">
        <v>0</v>
      </c>
      <c r="Q281" s="841">
        <v>0</v>
      </c>
      <c r="R281" s="841">
        <v>0</v>
      </c>
      <c r="S281" s="841">
        <v>0</v>
      </c>
      <c r="T281" s="841">
        <v>0</v>
      </c>
      <c r="U281" s="841">
        <v>0</v>
      </c>
      <c r="V281" s="841">
        <v>0</v>
      </c>
      <c r="W281" s="841">
        <v>0</v>
      </c>
      <c r="X281" s="841">
        <v>0</v>
      </c>
      <c r="Y281" s="841">
        <v>0</v>
      </c>
      <c r="Z281" s="841">
        <v>0</v>
      </c>
      <c r="AA281" s="854">
        <v>0</v>
      </c>
      <c r="AB281" s="854">
        <v>2950894</v>
      </c>
      <c r="AC281" s="854">
        <v>0</v>
      </c>
      <c r="AD281" s="854">
        <v>0</v>
      </c>
      <c r="AE281" s="854">
        <v>0</v>
      </c>
      <c r="AF281" s="854">
        <v>0</v>
      </c>
      <c r="AG281" s="854">
        <v>0</v>
      </c>
      <c r="AH281" s="854">
        <v>0</v>
      </c>
      <c r="AI281" s="854">
        <v>0</v>
      </c>
      <c r="AJ281" s="854">
        <v>0</v>
      </c>
      <c r="AK281" s="854">
        <v>0</v>
      </c>
      <c r="AL281" s="854">
        <v>0</v>
      </c>
      <c r="AM281" s="854">
        <v>0</v>
      </c>
      <c r="AN281" s="854">
        <v>0</v>
      </c>
      <c r="AO281" s="854">
        <v>0</v>
      </c>
      <c r="AP281" s="854">
        <v>0</v>
      </c>
      <c r="AQ281" s="854">
        <v>0</v>
      </c>
      <c r="AR281" s="854">
        <v>0</v>
      </c>
      <c r="AS281" s="854">
        <v>0</v>
      </c>
      <c r="AT281" s="854">
        <v>0</v>
      </c>
      <c r="AU281" s="854">
        <v>0</v>
      </c>
      <c r="AV281" s="854">
        <v>0</v>
      </c>
      <c r="AW281" s="854">
        <v>0</v>
      </c>
      <c r="AX281" s="854">
        <v>0</v>
      </c>
      <c r="AY281" s="854">
        <v>0</v>
      </c>
      <c r="AZ281" s="854">
        <v>0</v>
      </c>
      <c r="BA281" s="854">
        <v>0</v>
      </c>
      <c r="BB281" s="854">
        <v>0</v>
      </c>
      <c r="BC281" s="854">
        <v>0</v>
      </c>
      <c r="BD281" s="854">
        <v>0</v>
      </c>
      <c r="BE281" s="854">
        <v>0</v>
      </c>
      <c r="BF281" s="854">
        <v>0</v>
      </c>
      <c r="BG281" s="854">
        <v>0</v>
      </c>
      <c r="BH281" s="854">
        <v>0</v>
      </c>
      <c r="BI281" s="854">
        <v>0</v>
      </c>
      <c r="BJ281" s="854">
        <v>0</v>
      </c>
      <c r="BK281" s="854">
        <v>0</v>
      </c>
      <c r="BL281" s="854">
        <v>0</v>
      </c>
      <c r="BM281" s="854">
        <v>0</v>
      </c>
      <c r="BN281" s="854">
        <v>0</v>
      </c>
      <c r="BO281" s="854">
        <v>0</v>
      </c>
      <c r="BP281" s="854">
        <v>0</v>
      </c>
      <c r="BQ281" s="854">
        <v>0</v>
      </c>
      <c r="BR281" s="854">
        <v>0</v>
      </c>
      <c r="BS281" s="854">
        <v>0</v>
      </c>
      <c r="BT281" s="854">
        <v>0</v>
      </c>
      <c r="BU281" s="854">
        <v>0</v>
      </c>
      <c r="BV281" s="854">
        <v>0</v>
      </c>
      <c r="BW281" s="854">
        <v>0</v>
      </c>
      <c r="BX281" s="854">
        <v>0</v>
      </c>
      <c r="BY281" s="854">
        <v>0</v>
      </c>
      <c r="BZ281" s="854">
        <v>0</v>
      </c>
      <c r="CA281" s="854">
        <v>0</v>
      </c>
      <c r="CB281" s="854">
        <v>0</v>
      </c>
    </row>
    <row r="282" spans="1:80" s="502" customFormat="1" x14ac:dyDescent="0.25">
      <c r="A282" s="511">
        <v>647</v>
      </c>
      <c r="B282" s="511">
        <v>647</v>
      </c>
      <c r="C282" s="509" t="s">
        <v>935</v>
      </c>
      <c r="D282" s="508"/>
      <c r="E282" s="387">
        <v>0</v>
      </c>
      <c r="F282" s="387">
        <v>0</v>
      </c>
      <c r="G282" s="387">
        <v>0</v>
      </c>
      <c r="H282" s="387">
        <v>0</v>
      </c>
      <c r="I282" s="387">
        <v>0</v>
      </c>
      <c r="J282" s="387">
        <v>0</v>
      </c>
      <c r="K282" s="387">
        <v>0</v>
      </c>
      <c r="L282" s="387">
        <v>0</v>
      </c>
      <c r="M282" s="387">
        <v>0</v>
      </c>
      <c r="N282" s="387">
        <v>0</v>
      </c>
      <c r="O282" s="387">
        <v>0</v>
      </c>
      <c r="P282" s="387">
        <v>0</v>
      </c>
      <c r="Q282" s="387">
        <v>0</v>
      </c>
      <c r="R282" s="387">
        <v>0</v>
      </c>
      <c r="S282" s="387">
        <v>0</v>
      </c>
      <c r="T282" s="387">
        <v>0</v>
      </c>
      <c r="U282" s="387">
        <v>0</v>
      </c>
      <c r="V282" s="387">
        <v>0</v>
      </c>
      <c r="W282" s="387">
        <v>0</v>
      </c>
      <c r="X282" s="387">
        <v>0</v>
      </c>
      <c r="Y282" s="387">
        <v>0</v>
      </c>
      <c r="Z282" s="387">
        <v>0</v>
      </c>
      <c r="AA282" s="387">
        <v>0</v>
      </c>
      <c r="AB282" s="387">
        <v>0</v>
      </c>
      <c r="AC282" s="387">
        <v>0</v>
      </c>
      <c r="AD282" s="387">
        <v>0</v>
      </c>
      <c r="AE282" s="387">
        <v>0</v>
      </c>
      <c r="AF282" s="387">
        <v>0</v>
      </c>
      <c r="AG282" s="387">
        <v>0</v>
      </c>
      <c r="AH282" s="387">
        <v>0</v>
      </c>
      <c r="AI282" s="387">
        <v>0</v>
      </c>
      <c r="AJ282" s="387">
        <v>0</v>
      </c>
      <c r="AK282" s="387">
        <v>0</v>
      </c>
      <c r="AL282" s="387">
        <v>0</v>
      </c>
      <c r="AM282" s="387">
        <v>0</v>
      </c>
      <c r="AN282" s="387">
        <v>0</v>
      </c>
      <c r="AO282" s="387">
        <v>0</v>
      </c>
      <c r="AP282" s="387">
        <v>0</v>
      </c>
      <c r="AQ282" s="387">
        <v>0</v>
      </c>
      <c r="AR282" s="387">
        <v>0</v>
      </c>
      <c r="AS282" s="387">
        <v>0</v>
      </c>
      <c r="AT282" s="387">
        <v>0</v>
      </c>
      <c r="AU282" s="387">
        <v>0</v>
      </c>
      <c r="AV282" s="387">
        <v>0</v>
      </c>
      <c r="AW282" s="387">
        <v>0</v>
      </c>
      <c r="AX282" s="387">
        <v>0</v>
      </c>
      <c r="AY282" s="387">
        <v>0</v>
      </c>
      <c r="AZ282" s="387">
        <v>0</v>
      </c>
      <c r="BA282" s="387">
        <v>0</v>
      </c>
      <c r="BB282" s="387">
        <v>0</v>
      </c>
      <c r="BC282" s="387">
        <v>0</v>
      </c>
      <c r="BD282" s="387">
        <v>0</v>
      </c>
      <c r="BE282" s="387">
        <v>0</v>
      </c>
      <c r="BF282" s="387">
        <v>0</v>
      </c>
      <c r="BG282" s="387">
        <v>0</v>
      </c>
      <c r="BH282" s="387">
        <v>0</v>
      </c>
      <c r="BI282" s="387">
        <v>0</v>
      </c>
      <c r="BJ282" s="387">
        <v>0</v>
      </c>
      <c r="BK282" s="387">
        <v>0</v>
      </c>
      <c r="BL282" s="387">
        <v>0</v>
      </c>
      <c r="BM282" s="387">
        <v>0</v>
      </c>
      <c r="BN282" s="387">
        <v>0</v>
      </c>
      <c r="BO282" s="387">
        <v>0</v>
      </c>
      <c r="BP282" s="387">
        <v>0</v>
      </c>
      <c r="BQ282" s="387">
        <v>0</v>
      </c>
      <c r="BR282" s="387">
        <v>0</v>
      </c>
      <c r="BS282" s="387">
        <v>0</v>
      </c>
      <c r="BT282" s="387">
        <v>0</v>
      </c>
      <c r="BU282" s="387">
        <v>0</v>
      </c>
      <c r="BV282" s="387">
        <v>0</v>
      </c>
      <c r="BW282" s="387">
        <v>0</v>
      </c>
      <c r="BX282" s="387">
        <v>0</v>
      </c>
      <c r="BY282" s="387">
        <v>0</v>
      </c>
      <c r="BZ282" s="387">
        <v>0</v>
      </c>
      <c r="CA282" s="387">
        <v>0</v>
      </c>
      <c r="CB282" s="387">
        <v>0</v>
      </c>
    </row>
    <row r="283" spans="1:80" s="388" customFormat="1" x14ac:dyDescent="0.25">
      <c r="A283" s="390"/>
      <c r="B283" s="390"/>
      <c r="C283" s="389" t="s">
        <v>830</v>
      </c>
      <c r="D283" s="391"/>
      <c r="E283" s="392">
        <f t="shared" ref="E283:AJ283" si="0">E144-E226</f>
        <v>4402198</v>
      </c>
      <c r="F283" s="392">
        <f t="shared" si="0"/>
        <v>75949908</v>
      </c>
      <c r="G283" s="392">
        <f t="shared" si="0"/>
        <v>767850</v>
      </c>
      <c r="H283" s="392">
        <f t="shared" si="0"/>
        <v>148348563</v>
      </c>
      <c r="I283" s="392">
        <f t="shared" si="0"/>
        <v>11827504</v>
      </c>
      <c r="J283" s="392">
        <f t="shared" si="0"/>
        <v>649517</v>
      </c>
      <c r="K283" s="392">
        <f t="shared" si="0"/>
        <v>3616160</v>
      </c>
      <c r="L283" s="392">
        <f t="shared" si="0"/>
        <v>4282130</v>
      </c>
      <c r="M283" s="392">
        <f t="shared" si="0"/>
        <v>216623149</v>
      </c>
      <c r="N283" s="392">
        <f t="shared" si="0"/>
        <v>314848</v>
      </c>
      <c r="O283" s="392">
        <f t="shared" si="0"/>
        <v>2085532</v>
      </c>
      <c r="P283" s="392">
        <f t="shared" si="0"/>
        <v>2688444</v>
      </c>
      <c r="Q283" s="392">
        <f t="shared" si="0"/>
        <v>177281377</v>
      </c>
      <c r="R283" s="392">
        <f t="shared" si="0"/>
        <v>53205700</v>
      </c>
      <c r="S283" s="392">
        <f t="shared" si="0"/>
        <v>14446961</v>
      </c>
      <c r="T283" s="392">
        <f t="shared" si="0"/>
        <v>20003521</v>
      </c>
      <c r="U283" s="392">
        <f t="shared" si="0"/>
        <v>621668</v>
      </c>
      <c r="V283" s="392">
        <f t="shared" si="0"/>
        <v>42505708</v>
      </c>
      <c r="W283" s="392">
        <f t="shared" si="0"/>
        <v>270070</v>
      </c>
      <c r="X283" s="392">
        <f t="shared" si="0"/>
        <v>36229871</v>
      </c>
      <c r="Y283" s="392">
        <f t="shared" si="0"/>
        <v>96575206</v>
      </c>
      <c r="Z283" s="392">
        <f t="shared" si="0"/>
        <v>17536626</v>
      </c>
      <c r="AA283" s="392">
        <f t="shared" si="0"/>
        <v>4167557</v>
      </c>
      <c r="AB283" s="392">
        <f t="shared" si="0"/>
        <v>11916197</v>
      </c>
      <c r="AC283" s="392">
        <f t="shared" si="0"/>
        <v>1668132</v>
      </c>
      <c r="AD283" s="392">
        <f t="shared" si="0"/>
        <v>507428</v>
      </c>
      <c r="AE283" s="392">
        <f t="shared" si="0"/>
        <v>3102140</v>
      </c>
      <c r="AF283" s="392">
        <f t="shared" si="0"/>
        <v>6441720</v>
      </c>
      <c r="AG283" s="392">
        <f t="shared" si="0"/>
        <v>1320079</v>
      </c>
      <c r="AH283" s="392">
        <f t="shared" si="0"/>
        <v>165459</v>
      </c>
      <c r="AI283" s="392">
        <f t="shared" si="0"/>
        <v>1468862</v>
      </c>
      <c r="AJ283" s="392">
        <f t="shared" si="0"/>
        <v>3603230</v>
      </c>
      <c r="AK283" s="392">
        <f t="shared" ref="AK283:BS283" si="1">AK144-AK226</f>
        <v>18967116</v>
      </c>
      <c r="AL283" s="392">
        <f t="shared" si="1"/>
        <v>809148</v>
      </c>
      <c r="AM283" s="392">
        <f t="shared" si="1"/>
        <v>139239</v>
      </c>
      <c r="AN283" s="392">
        <f t="shared" si="1"/>
        <v>83382107</v>
      </c>
      <c r="AO283" s="392">
        <f t="shared" si="1"/>
        <v>36766080</v>
      </c>
      <c r="AP283" s="392">
        <f t="shared" si="1"/>
        <v>679513</v>
      </c>
      <c r="AQ283" s="392">
        <f t="shared" si="1"/>
        <v>18021333</v>
      </c>
      <c r="AR283" s="392">
        <f t="shared" si="1"/>
        <v>66906281</v>
      </c>
      <c r="AS283" s="392">
        <f t="shared" si="1"/>
        <v>4959600</v>
      </c>
      <c r="AT283" s="392">
        <f t="shared" si="1"/>
        <v>1998640</v>
      </c>
      <c r="AU283" s="392">
        <f t="shared" si="1"/>
        <v>11002284</v>
      </c>
      <c r="AV283" s="392">
        <f t="shared" si="1"/>
        <v>25685401</v>
      </c>
      <c r="AW283" s="392">
        <f t="shared" si="1"/>
        <v>790317</v>
      </c>
      <c r="AX283" s="392">
        <f t="shared" si="1"/>
        <v>1552959</v>
      </c>
      <c r="AY283" s="392">
        <f t="shared" si="1"/>
        <v>15109373</v>
      </c>
      <c r="AZ283" s="392">
        <f t="shared" si="1"/>
        <v>5184843</v>
      </c>
      <c r="BA283" s="392">
        <f t="shared" si="1"/>
        <v>8652995</v>
      </c>
      <c r="BB283" s="392">
        <f t="shared" si="1"/>
        <v>181567</v>
      </c>
      <c r="BC283" s="392">
        <f t="shared" si="1"/>
        <v>3154742</v>
      </c>
      <c r="BD283" s="392">
        <f t="shared" si="1"/>
        <v>2848996</v>
      </c>
      <c r="BE283" s="392">
        <f t="shared" si="1"/>
        <v>396936</v>
      </c>
      <c r="BF283" s="392">
        <f t="shared" si="1"/>
        <v>56737622</v>
      </c>
      <c r="BG283" s="392">
        <f t="shared" si="1"/>
        <v>485680</v>
      </c>
      <c r="BH283" s="392">
        <f t="shared" si="1"/>
        <v>205201</v>
      </c>
      <c r="BI283" s="392">
        <f t="shared" si="1"/>
        <v>5424435</v>
      </c>
      <c r="BJ283" s="392">
        <f t="shared" si="1"/>
        <v>11019568</v>
      </c>
      <c r="BK283" s="392">
        <f t="shared" si="1"/>
        <v>940161</v>
      </c>
      <c r="BL283" s="392">
        <f t="shared" si="1"/>
        <v>14969025</v>
      </c>
      <c r="BM283" s="392">
        <f t="shared" si="1"/>
        <v>14014548</v>
      </c>
      <c r="BN283" s="392">
        <f t="shared" si="1"/>
        <v>170020</v>
      </c>
      <c r="BO283" s="392">
        <f t="shared" si="1"/>
        <v>14373952</v>
      </c>
      <c r="BP283" s="392">
        <f t="shared" si="1"/>
        <v>6673292</v>
      </c>
      <c r="BQ283" s="392">
        <f t="shared" si="1"/>
        <v>2353863</v>
      </c>
      <c r="BR283" s="392">
        <f t="shared" si="1"/>
        <v>3164472</v>
      </c>
      <c r="BS283" s="392">
        <f t="shared" si="1"/>
        <v>6733510</v>
      </c>
    </row>
    <row r="284" spans="1:80" s="388" customFormat="1" x14ac:dyDescent="0.25">
      <c r="A284" s="390"/>
      <c r="B284" s="390"/>
      <c r="C284" s="389" t="s">
        <v>831</v>
      </c>
      <c r="D284" s="391"/>
      <c r="E284" s="392">
        <f t="shared" ref="E284:AJ284" si="2">E102-E226</f>
        <v>103644</v>
      </c>
      <c r="F284" s="392">
        <f t="shared" si="2"/>
        <v>2103392</v>
      </c>
      <c r="G284" s="392">
        <f t="shared" si="2"/>
        <v>117296</v>
      </c>
      <c r="H284" s="392">
        <f t="shared" si="2"/>
        <v>8002140</v>
      </c>
      <c r="I284" s="392">
        <f t="shared" si="2"/>
        <v>393040</v>
      </c>
      <c r="J284" s="392">
        <f t="shared" si="2"/>
        <v>14129</v>
      </c>
      <c r="K284" s="392">
        <f t="shared" si="2"/>
        <v>22100</v>
      </c>
      <c r="L284" s="392">
        <f t="shared" si="2"/>
        <v>48577</v>
      </c>
      <c r="M284" s="392">
        <f t="shared" si="2"/>
        <v>12095738</v>
      </c>
      <c r="N284" s="392">
        <f t="shared" si="2"/>
        <v>12748</v>
      </c>
      <c r="O284" s="392">
        <f t="shared" si="2"/>
        <v>71301</v>
      </c>
      <c r="P284" s="392">
        <f t="shared" si="2"/>
        <v>43198</v>
      </c>
      <c r="Q284" s="392">
        <f t="shared" si="2"/>
        <v>5261904</v>
      </c>
      <c r="R284" s="392">
        <f t="shared" si="2"/>
        <v>3303686</v>
      </c>
      <c r="S284" s="392">
        <f t="shared" si="2"/>
        <v>365497</v>
      </c>
      <c r="T284" s="392">
        <f t="shared" si="2"/>
        <v>1421250</v>
      </c>
      <c r="U284" s="392">
        <f t="shared" si="2"/>
        <v>6298</v>
      </c>
      <c r="V284" s="392">
        <f t="shared" si="2"/>
        <v>5076420</v>
      </c>
      <c r="W284" s="392">
        <f t="shared" si="2"/>
        <v>362</v>
      </c>
      <c r="X284" s="392">
        <f t="shared" si="2"/>
        <v>2336541</v>
      </c>
      <c r="Y284" s="392">
        <f t="shared" si="2"/>
        <v>1880807</v>
      </c>
      <c r="Z284" s="392">
        <f t="shared" si="2"/>
        <v>1286227</v>
      </c>
      <c r="AA284" s="392">
        <f t="shared" si="2"/>
        <v>132940</v>
      </c>
      <c r="AB284" s="392">
        <f t="shared" si="2"/>
        <v>415261</v>
      </c>
      <c r="AC284" s="392">
        <f t="shared" si="2"/>
        <v>25724</v>
      </c>
      <c r="AD284" s="392">
        <f t="shared" si="2"/>
        <v>8360</v>
      </c>
      <c r="AE284" s="392">
        <f t="shared" si="2"/>
        <v>99162</v>
      </c>
      <c r="AF284" s="392">
        <f t="shared" si="2"/>
        <v>337878</v>
      </c>
      <c r="AG284" s="392">
        <f t="shared" si="2"/>
        <v>7967</v>
      </c>
      <c r="AH284" s="392">
        <f t="shared" si="2"/>
        <v>732</v>
      </c>
      <c r="AI284" s="392">
        <f t="shared" si="2"/>
        <v>441</v>
      </c>
      <c r="AJ284" s="392">
        <f t="shared" si="2"/>
        <v>107716</v>
      </c>
      <c r="AK284" s="392">
        <f t="shared" ref="AK284:BS284" si="3">AK102-AK226</f>
        <v>1215262</v>
      </c>
      <c r="AL284" s="392">
        <f t="shared" si="3"/>
        <v>12464</v>
      </c>
      <c r="AM284" s="392">
        <f t="shared" si="3"/>
        <v>5720</v>
      </c>
      <c r="AN284" s="392">
        <f t="shared" si="3"/>
        <v>2327845</v>
      </c>
      <c r="AO284" s="392">
        <f t="shared" si="3"/>
        <v>1299034</v>
      </c>
      <c r="AP284" s="392">
        <f t="shared" si="3"/>
        <v>5457</v>
      </c>
      <c r="AQ284" s="392">
        <f t="shared" si="3"/>
        <v>448878</v>
      </c>
      <c r="AR284" s="392">
        <f t="shared" si="3"/>
        <v>2371229</v>
      </c>
      <c r="AS284" s="392">
        <f t="shared" si="3"/>
        <v>82888</v>
      </c>
      <c r="AT284" s="392">
        <f t="shared" si="3"/>
        <v>96159</v>
      </c>
      <c r="AU284" s="392">
        <f t="shared" si="3"/>
        <v>2971599</v>
      </c>
      <c r="AV284" s="392">
        <f t="shared" si="3"/>
        <v>737466</v>
      </c>
      <c r="AW284" s="392">
        <f t="shared" si="3"/>
        <v>3576</v>
      </c>
      <c r="AX284" s="392">
        <f t="shared" si="3"/>
        <v>95036</v>
      </c>
      <c r="AY284" s="392">
        <f t="shared" si="3"/>
        <v>162647</v>
      </c>
      <c r="AZ284" s="392">
        <f t="shared" si="3"/>
        <v>143546</v>
      </c>
      <c r="BA284" s="392">
        <f t="shared" si="3"/>
        <v>137660</v>
      </c>
      <c r="BB284" s="392">
        <f t="shared" si="3"/>
        <v>30300</v>
      </c>
      <c r="BC284" s="392">
        <f t="shared" si="3"/>
        <v>78183</v>
      </c>
      <c r="BD284" s="392">
        <f t="shared" si="3"/>
        <v>28108</v>
      </c>
      <c r="BE284" s="392">
        <f t="shared" si="3"/>
        <v>3642</v>
      </c>
      <c r="BF284" s="392">
        <f t="shared" si="3"/>
        <v>2616687</v>
      </c>
      <c r="BG284" s="392">
        <f t="shared" si="3"/>
        <v>12732</v>
      </c>
      <c r="BH284" s="392">
        <f t="shared" si="3"/>
        <v>2365</v>
      </c>
      <c r="BI284" s="392">
        <f t="shared" si="3"/>
        <v>89340</v>
      </c>
      <c r="BJ284" s="392">
        <f t="shared" si="3"/>
        <v>301854</v>
      </c>
      <c r="BK284" s="392">
        <f t="shared" si="3"/>
        <v>33670</v>
      </c>
      <c r="BL284" s="392">
        <f t="shared" si="3"/>
        <v>362882</v>
      </c>
      <c r="BM284" s="392">
        <f t="shared" si="3"/>
        <v>163400</v>
      </c>
      <c r="BN284" s="392">
        <f t="shared" si="3"/>
        <v>0</v>
      </c>
      <c r="BO284" s="392">
        <f t="shared" si="3"/>
        <v>405677</v>
      </c>
      <c r="BP284" s="392">
        <f t="shared" si="3"/>
        <v>41341</v>
      </c>
      <c r="BQ284" s="392">
        <f t="shared" si="3"/>
        <v>19895</v>
      </c>
      <c r="BR284" s="392">
        <f t="shared" si="3"/>
        <v>44141</v>
      </c>
      <c r="BS284" s="392">
        <f t="shared" si="3"/>
        <v>49717</v>
      </c>
    </row>
    <row r="285" spans="1:80" s="388" customFormat="1" x14ac:dyDescent="0.25">
      <c r="A285" s="390"/>
      <c r="B285" s="390"/>
      <c r="C285" s="389" t="s">
        <v>832</v>
      </c>
      <c r="D285" s="391"/>
      <c r="E285" s="392">
        <f t="shared" ref="E285:AJ285" si="4">E104-E226</f>
        <v>672562</v>
      </c>
      <c r="F285" s="392">
        <f t="shared" si="4"/>
        <v>16288934</v>
      </c>
      <c r="G285" s="392">
        <f t="shared" si="4"/>
        <v>168844</v>
      </c>
      <c r="H285" s="392">
        <f t="shared" si="4"/>
        <v>42950809</v>
      </c>
      <c r="I285" s="392">
        <f t="shared" si="4"/>
        <v>1801865</v>
      </c>
      <c r="J285" s="392">
        <f t="shared" si="4"/>
        <v>319819</v>
      </c>
      <c r="K285" s="392">
        <f t="shared" si="4"/>
        <v>330683</v>
      </c>
      <c r="L285" s="392">
        <f t="shared" si="4"/>
        <v>2003667</v>
      </c>
      <c r="M285" s="392">
        <f t="shared" si="4"/>
        <v>129912268</v>
      </c>
      <c r="N285" s="392">
        <f t="shared" si="4"/>
        <v>12748</v>
      </c>
      <c r="O285" s="392">
        <f t="shared" si="4"/>
        <v>924735</v>
      </c>
      <c r="P285" s="392">
        <f t="shared" si="4"/>
        <v>709001</v>
      </c>
      <c r="Q285" s="392">
        <f t="shared" si="4"/>
        <v>47202408</v>
      </c>
      <c r="R285" s="392">
        <f t="shared" si="4"/>
        <v>20321252</v>
      </c>
      <c r="S285" s="392">
        <f t="shared" si="4"/>
        <v>2972687</v>
      </c>
      <c r="T285" s="392">
        <f t="shared" si="4"/>
        <v>13354624</v>
      </c>
      <c r="U285" s="392">
        <f t="shared" si="4"/>
        <v>8124</v>
      </c>
      <c r="V285" s="392">
        <f t="shared" si="4"/>
        <v>24791646</v>
      </c>
      <c r="W285" s="392">
        <f t="shared" si="4"/>
        <v>426</v>
      </c>
      <c r="X285" s="392">
        <f t="shared" si="4"/>
        <v>11714980</v>
      </c>
      <c r="Y285" s="392">
        <f t="shared" si="4"/>
        <v>18858528</v>
      </c>
      <c r="Z285" s="392">
        <f t="shared" si="4"/>
        <v>9262236</v>
      </c>
      <c r="AA285" s="392">
        <f t="shared" si="4"/>
        <v>400470</v>
      </c>
      <c r="AB285" s="392">
        <f t="shared" si="4"/>
        <v>6734469</v>
      </c>
      <c r="AC285" s="392">
        <f t="shared" si="4"/>
        <v>25724</v>
      </c>
      <c r="AD285" s="392">
        <f t="shared" si="4"/>
        <v>8360</v>
      </c>
      <c r="AE285" s="392">
        <f t="shared" si="4"/>
        <v>358054</v>
      </c>
      <c r="AF285" s="392">
        <f t="shared" si="4"/>
        <v>2666113</v>
      </c>
      <c r="AG285" s="392">
        <f t="shared" si="4"/>
        <v>13623</v>
      </c>
      <c r="AH285" s="392">
        <f t="shared" si="4"/>
        <v>6587</v>
      </c>
      <c r="AI285" s="392">
        <f t="shared" si="4"/>
        <v>10685</v>
      </c>
      <c r="AJ285" s="392">
        <f t="shared" si="4"/>
        <v>451979</v>
      </c>
      <c r="AK285" s="392">
        <f t="shared" ref="AK285:BS285" si="5">AK104-AK226</f>
        <v>10848265</v>
      </c>
      <c r="AL285" s="392">
        <f t="shared" si="5"/>
        <v>31982</v>
      </c>
      <c r="AM285" s="392">
        <f t="shared" si="5"/>
        <v>5720</v>
      </c>
      <c r="AN285" s="392">
        <f t="shared" si="5"/>
        <v>14987548</v>
      </c>
      <c r="AO285" s="392">
        <f t="shared" si="5"/>
        <v>7891162</v>
      </c>
      <c r="AP285" s="392">
        <f t="shared" si="5"/>
        <v>13172</v>
      </c>
      <c r="AQ285" s="392">
        <f t="shared" si="5"/>
        <v>1261929</v>
      </c>
      <c r="AR285" s="392">
        <f t="shared" si="5"/>
        <v>26695225</v>
      </c>
      <c r="AS285" s="392">
        <f t="shared" si="5"/>
        <v>1018061</v>
      </c>
      <c r="AT285" s="392">
        <f t="shared" si="5"/>
        <v>770920</v>
      </c>
      <c r="AU285" s="392">
        <f t="shared" si="5"/>
        <v>6030297</v>
      </c>
      <c r="AV285" s="392">
        <f t="shared" si="5"/>
        <v>13258318</v>
      </c>
      <c r="AW285" s="392">
        <f t="shared" si="5"/>
        <v>4017</v>
      </c>
      <c r="AX285" s="392">
        <f t="shared" si="5"/>
        <v>203285</v>
      </c>
      <c r="AY285" s="392">
        <f t="shared" si="5"/>
        <v>4057693</v>
      </c>
      <c r="AZ285" s="392">
        <f t="shared" si="5"/>
        <v>1177724</v>
      </c>
      <c r="BA285" s="392">
        <f t="shared" si="5"/>
        <v>2301426</v>
      </c>
      <c r="BB285" s="392">
        <f t="shared" si="5"/>
        <v>30300</v>
      </c>
      <c r="BC285" s="392">
        <f t="shared" si="5"/>
        <v>844239</v>
      </c>
      <c r="BD285" s="392">
        <f t="shared" si="5"/>
        <v>38944</v>
      </c>
      <c r="BE285" s="392">
        <f t="shared" si="5"/>
        <v>3642</v>
      </c>
      <c r="BF285" s="392">
        <f t="shared" si="5"/>
        <v>52917266</v>
      </c>
      <c r="BG285" s="392">
        <f t="shared" si="5"/>
        <v>22890</v>
      </c>
      <c r="BH285" s="392">
        <f t="shared" si="5"/>
        <v>2365</v>
      </c>
      <c r="BI285" s="392">
        <f t="shared" si="5"/>
        <v>3484400</v>
      </c>
      <c r="BJ285" s="392">
        <f t="shared" si="5"/>
        <v>1299752</v>
      </c>
      <c r="BK285" s="392">
        <f t="shared" si="5"/>
        <v>201138</v>
      </c>
      <c r="BL285" s="392">
        <f t="shared" si="5"/>
        <v>3558704</v>
      </c>
      <c r="BM285" s="392">
        <f t="shared" si="5"/>
        <v>2691222</v>
      </c>
      <c r="BN285" s="392">
        <f t="shared" si="5"/>
        <v>0</v>
      </c>
      <c r="BO285" s="392">
        <f t="shared" si="5"/>
        <v>3301566</v>
      </c>
      <c r="BP285" s="392">
        <f t="shared" si="5"/>
        <v>332554</v>
      </c>
      <c r="BQ285" s="392">
        <f t="shared" si="5"/>
        <v>164203</v>
      </c>
      <c r="BR285" s="392">
        <f t="shared" si="5"/>
        <v>549940</v>
      </c>
      <c r="BS285" s="392">
        <f t="shared" si="5"/>
        <v>190221</v>
      </c>
    </row>
    <row r="286" spans="1:80" s="373" customFormat="1" x14ac:dyDescent="0.25">
      <c r="A286" s="376"/>
      <c r="B286" s="376"/>
      <c r="C286" s="375"/>
      <c r="D286" s="374"/>
      <c r="E286" s="387"/>
      <c r="F286" s="387"/>
      <c r="G286" s="387"/>
      <c r="H286" s="387"/>
      <c r="I286" s="387"/>
      <c r="J286" s="387"/>
      <c r="K286" s="387"/>
      <c r="L286" s="387"/>
      <c r="M286" s="387"/>
      <c r="N286" s="387"/>
      <c r="O286" s="387"/>
      <c r="P286" s="387"/>
      <c r="Q286" s="387"/>
      <c r="R286" s="387"/>
      <c r="S286" s="387"/>
      <c r="T286" s="387"/>
      <c r="U286" s="387"/>
      <c r="V286" s="387"/>
      <c r="W286" s="387"/>
      <c r="X286" s="387"/>
      <c r="Y286" s="387"/>
      <c r="Z286" s="387"/>
      <c r="AA286" s="387"/>
      <c r="AB286" s="387"/>
      <c r="AC286" s="387"/>
      <c r="AD286" s="387"/>
      <c r="AE286" s="387"/>
      <c r="AF286" s="387"/>
      <c r="AG286" s="387"/>
      <c r="AH286" s="387"/>
      <c r="AI286" s="387"/>
      <c r="AJ286" s="387"/>
      <c r="AK286" s="387"/>
      <c r="AL286" s="387"/>
      <c r="AM286" s="387"/>
      <c r="AN286" s="387"/>
      <c r="AO286" s="387"/>
      <c r="AP286" s="387"/>
      <c r="AQ286" s="387"/>
      <c r="AR286" s="387"/>
      <c r="AS286" s="387"/>
      <c r="AT286" s="387"/>
      <c r="AU286" s="387"/>
      <c r="AV286" s="387"/>
      <c r="AW286" s="387"/>
      <c r="AX286" s="387"/>
      <c r="AY286" s="387"/>
      <c r="AZ286" s="387"/>
      <c r="BA286" s="387"/>
      <c r="BB286" s="387"/>
      <c r="BC286" s="387"/>
      <c r="BD286" s="387"/>
      <c r="BE286" s="387"/>
      <c r="BF286" s="387"/>
      <c r="BG286" s="387"/>
      <c r="BH286" s="387"/>
      <c r="BI286" s="387"/>
      <c r="BJ286" s="387"/>
      <c r="BK286" s="387"/>
      <c r="BL286" s="387"/>
      <c r="BM286" s="387"/>
      <c r="BN286" s="387"/>
      <c r="BO286" s="387"/>
      <c r="BP286" s="387"/>
      <c r="BQ286" s="387"/>
      <c r="BR286" s="387"/>
      <c r="BS286" s="387"/>
    </row>
    <row r="287" spans="1:80" s="502" customFormat="1" x14ac:dyDescent="0.25">
      <c r="A287" s="517" t="s">
        <v>936</v>
      </c>
      <c r="B287" s="507"/>
      <c r="C287" s="507" t="s">
        <v>939</v>
      </c>
      <c r="D287" s="507"/>
      <c r="E287" s="494">
        <f t="shared" ref="E287:AJ287" si="6">+E156+E186-E3-E4-E5+E282</f>
        <v>263563</v>
      </c>
      <c r="F287" s="494">
        <f t="shared" si="6"/>
        <v>15624069</v>
      </c>
      <c r="G287" s="494">
        <f t="shared" si="6"/>
        <v>450401</v>
      </c>
      <c r="H287" s="494">
        <f t="shared" si="6"/>
        <v>24783549</v>
      </c>
      <c r="I287" s="494">
        <f t="shared" si="6"/>
        <v>3565804</v>
      </c>
      <c r="J287" s="494">
        <f t="shared" si="6"/>
        <v>477392</v>
      </c>
      <c r="K287" s="494">
        <f t="shared" si="6"/>
        <v>2567817</v>
      </c>
      <c r="L287" s="494">
        <f t="shared" si="6"/>
        <v>735188</v>
      </c>
      <c r="M287" s="494">
        <f t="shared" si="6"/>
        <v>16622472</v>
      </c>
      <c r="N287" s="494">
        <f t="shared" si="6"/>
        <v>211056</v>
      </c>
      <c r="O287" s="494">
        <f t="shared" si="6"/>
        <v>546817</v>
      </c>
      <c r="P287" s="494">
        <f t="shared" si="6"/>
        <v>425222</v>
      </c>
      <c r="Q287" s="494">
        <f t="shared" si="6"/>
        <v>11679219</v>
      </c>
      <c r="R287" s="494">
        <f t="shared" si="6"/>
        <v>15662522</v>
      </c>
      <c r="S287" s="494">
        <f t="shared" si="6"/>
        <v>2971449</v>
      </c>
      <c r="T287" s="494">
        <f t="shared" si="6"/>
        <v>5755294</v>
      </c>
      <c r="U287" s="494">
        <f t="shared" si="6"/>
        <v>162888</v>
      </c>
      <c r="V287" s="494">
        <f t="shared" si="6"/>
        <v>6521082</v>
      </c>
      <c r="W287" s="494">
        <f t="shared" si="6"/>
        <v>265980</v>
      </c>
      <c r="X287" s="494">
        <f t="shared" si="6"/>
        <v>9262641</v>
      </c>
      <c r="Y287" s="494">
        <f t="shared" si="6"/>
        <v>5781367</v>
      </c>
      <c r="Z287" s="494">
        <f t="shared" si="6"/>
        <v>3882127</v>
      </c>
      <c r="AA287" s="494">
        <f t="shared" si="6"/>
        <v>1393079</v>
      </c>
      <c r="AB287" s="494">
        <f t="shared" si="6"/>
        <v>2369813</v>
      </c>
      <c r="AC287" s="494">
        <f t="shared" si="6"/>
        <v>1218162</v>
      </c>
      <c r="AD287" s="494">
        <f t="shared" si="6"/>
        <v>183535</v>
      </c>
      <c r="AE287" s="494">
        <f t="shared" si="6"/>
        <v>1060444</v>
      </c>
      <c r="AF287" s="494">
        <f t="shared" si="6"/>
        <v>1052550</v>
      </c>
      <c r="AG287" s="494">
        <f t="shared" si="6"/>
        <v>119367</v>
      </c>
      <c r="AH287" s="494">
        <f t="shared" si="6"/>
        <v>69622</v>
      </c>
      <c r="AI287" s="494">
        <f t="shared" si="6"/>
        <v>288996</v>
      </c>
      <c r="AJ287" s="494">
        <f t="shared" si="6"/>
        <v>1529248</v>
      </c>
      <c r="AK287" s="494">
        <f t="shared" ref="AK287:BP287" si="7">+AK156+AK186-AK3-AK4-AK5+AK282</f>
        <v>3330022</v>
      </c>
      <c r="AL287" s="494">
        <f t="shared" si="7"/>
        <v>291829</v>
      </c>
      <c r="AM287" s="494">
        <f t="shared" si="7"/>
        <v>106028</v>
      </c>
      <c r="AN287" s="494">
        <f t="shared" si="7"/>
        <v>11562605</v>
      </c>
      <c r="AO287" s="494">
        <f t="shared" si="7"/>
        <v>8820428</v>
      </c>
      <c r="AP287" s="494">
        <f t="shared" si="7"/>
        <v>526017</v>
      </c>
      <c r="AQ287" s="494">
        <f t="shared" si="7"/>
        <v>6469048</v>
      </c>
      <c r="AR287" s="494">
        <f t="shared" si="7"/>
        <v>7617570</v>
      </c>
      <c r="AS287" s="494">
        <f t="shared" si="7"/>
        <v>2386827</v>
      </c>
      <c r="AT287" s="494">
        <f t="shared" si="7"/>
        <v>346453</v>
      </c>
      <c r="AU287" s="494">
        <f t="shared" si="7"/>
        <v>4055929</v>
      </c>
      <c r="AV287" s="494">
        <f t="shared" si="7"/>
        <v>3703324</v>
      </c>
      <c r="AW287" s="494">
        <f t="shared" si="7"/>
        <v>118827</v>
      </c>
      <c r="AX287" s="494">
        <f t="shared" si="7"/>
        <v>389600</v>
      </c>
      <c r="AY287" s="494">
        <f t="shared" si="7"/>
        <v>2317165</v>
      </c>
      <c r="AZ287" s="494">
        <f t="shared" si="7"/>
        <v>1947518</v>
      </c>
      <c r="BA287" s="494">
        <f t="shared" si="7"/>
        <v>787087</v>
      </c>
      <c r="BB287" s="494">
        <f t="shared" si="7"/>
        <v>78609</v>
      </c>
      <c r="BC287" s="494">
        <f t="shared" si="7"/>
        <v>1254568</v>
      </c>
      <c r="BD287" s="494">
        <f t="shared" si="7"/>
        <v>1757948</v>
      </c>
      <c r="BE287" s="494">
        <f t="shared" si="7"/>
        <v>356999</v>
      </c>
      <c r="BF287" s="494">
        <f t="shared" si="7"/>
        <v>3475300</v>
      </c>
      <c r="BG287" s="494">
        <f t="shared" si="7"/>
        <v>389233</v>
      </c>
      <c r="BH287" s="494">
        <f t="shared" si="7"/>
        <v>137550</v>
      </c>
      <c r="BI287" s="494">
        <f t="shared" si="7"/>
        <v>2378921</v>
      </c>
      <c r="BJ287" s="494">
        <f t="shared" si="7"/>
        <v>2735294</v>
      </c>
      <c r="BK287" s="494">
        <f t="shared" si="7"/>
        <v>413636</v>
      </c>
      <c r="BL287" s="494">
        <f t="shared" si="7"/>
        <v>2221067</v>
      </c>
      <c r="BM287" s="494">
        <f t="shared" si="7"/>
        <v>4201147</v>
      </c>
      <c r="BN287" s="494">
        <f t="shared" si="7"/>
        <v>118476</v>
      </c>
      <c r="BO287" s="494">
        <f t="shared" si="7"/>
        <v>2751045</v>
      </c>
      <c r="BP287" s="494">
        <f t="shared" si="7"/>
        <v>2824483</v>
      </c>
      <c r="BQ287" s="494">
        <f t="shared" ref="BQ287:CB287" si="8">+BQ156+BQ186-BQ3-BQ4-BQ5+BQ282</f>
        <v>1569350</v>
      </c>
      <c r="BR287" s="494">
        <f t="shared" si="8"/>
        <v>1239323</v>
      </c>
      <c r="BS287" s="494">
        <f t="shared" si="8"/>
        <v>1411964</v>
      </c>
      <c r="BT287" s="494">
        <f t="shared" si="8"/>
        <v>9899415</v>
      </c>
      <c r="BU287" s="494">
        <f t="shared" si="8"/>
        <v>1456459</v>
      </c>
      <c r="BV287" s="494">
        <f t="shared" si="8"/>
        <v>1440060</v>
      </c>
      <c r="BW287" s="494">
        <f t="shared" si="8"/>
        <v>81526</v>
      </c>
      <c r="BX287" s="494">
        <f t="shared" si="8"/>
        <v>782417</v>
      </c>
      <c r="BY287" s="494">
        <f t="shared" si="8"/>
        <v>164511</v>
      </c>
      <c r="BZ287" s="494">
        <f t="shared" si="8"/>
        <v>200630</v>
      </c>
      <c r="CA287" s="494">
        <f t="shared" si="8"/>
        <v>9391515</v>
      </c>
      <c r="CB287" s="494">
        <f t="shared" si="8"/>
        <v>99583</v>
      </c>
    </row>
    <row r="288" spans="1:80" s="502" customFormat="1" x14ac:dyDescent="0.25">
      <c r="A288" s="517" t="s">
        <v>937</v>
      </c>
      <c r="B288" s="507"/>
      <c r="C288" s="507" t="s">
        <v>946</v>
      </c>
      <c r="D288" s="507"/>
      <c r="E288" s="494">
        <f t="shared" ref="E288:AJ288" si="9">+E182+E15+E159-E158-E183</f>
        <v>1920507</v>
      </c>
      <c r="F288" s="494">
        <f t="shared" si="9"/>
        <v>12505640</v>
      </c>
      <c r="G288" s="494">
        <f t="shared" si="9"/>
        <v>348364</v>
      </c>
      <c r="H288" s="494">
        <f t="shared" si="9"/>
        <v>43248942</v>
      </c>
      <c r="I288" s="494">
        <f t="shared" si="9"/>
        <v>3780033</v>
      </c>
      <c r="J288" s="494">
        <f t="shared" si="9"/>
        <v>243952</v>
      </c>
      <c r="K288" s="494">
        <f t="shared" si="9"/>
        <v>1263622</v>
      </c>
      <c r="L288" s="494">
        <f t="shared" si="9"/>
        <v>1528030</v>
      </c>
      <c r="M288" s="494">
        <f t="shared" si="9"/>
        <v>44641922</v>
      </c>
      <c r="N288" s="494">
        <f t="shared" si="9"/>
        <v>85426</v>
      </c>
      <c r="O288" s="494">
        <f t="shared" si="9"/>
        <v>953320</v>
      </c>
      <c r="P288" s="494">
        <f t="shared" si="9"/>
        <v>1466300</v>
      </c>
      <c r="Q288" s="494">
        <f t="shared" si="9"/>
        <v>29006509</v>
      </c>
      <c r="R288" s="494">
        <f t="shared" si="9"/>
        <v>17452304</v>
      </c>
      <c r="S288" s="494">
        <f t="shared" si="9"/>
        <v>6444218</v>
      </c>
      <c r="T288" s="494">
        <f t="shared" si="9"/>
        <v>14303636</v>
      </c>
      <c r="U288" s="494">
        <f t="shared" si="9"/>
        <v>149057</v>
      </c>
      <c r="V288" s="494">
        <f t="shared" si="9"/>
        <v>20958093</v>
      </c>
      <c r="W288" s="494">
        <f t="shared" si="9"/>
        <v>27808</v>
      </c>
      <c r="X288" s="494">
        <f t="shared" si="9"/>
        <v>10436792</v>
      </c>
      <c r="Y288" s="494">
        <f t="shared" si="9"/>
        <v>16134944</v>
      </c>
      <c r="Z288" s="494">
        <f t="shared" si="9"/>
        <v>5161052</v>
      </c>
      <c r="AA288" s="494">
        <f t="shared" si="9"/>
        <v>1484226</v>
      </c>
      <c r="AB288" s="494">
        <f t="shared" si="9"/>
        <v>4505870</v>
      </c>
      <c r="AC288" s="494">
        <f t="shared" si="9"/>
        <v>1093385</v>
      </c>
      <c r="AD288" s="494">
        <f t="shared" si="9"/>
        <v>271870</v>
      </c>
      <c r="AE288" s="494">
        <f t="shared" si="9"/>
        <v>1115848</v>
      </c>
      <c r="AF288" s="494">
        <f t="shared" si="9"/>
        <v>3196493</v>
      </c>
      <c r="AG288" s="494">
        <f t="shared" si="9"/>
        <v>123167</v>
      </c>
      <c r="AH288" s="494">
        <f t="shared" si="9"/>
        <v>37960</v>
      </c>
      <c r="AI288" s="494">
        <f t="shared" si="9"/>
        <v>108118</v>
      </c>
      <c r="AJ288" s="494">
        <f t="shared" si="9"/>
        <v>2726318</v>
      </c>
      <c r="AK288" s="494">
        <f t="shared" ref="AK288:BP288" si="10">+AK182+AK15+AK159-AK158-AK183</f>
        <v>7032526</v>
      </c>
      <c r="AL288" s="494">
        <f t="shared" si="10"/>
        <v>178565</v>
      </c>
      <c r="AM288" s="494">
        <f t="shared" si="10"/>
        <v>22027</v>
      </c>
      <c r="AN288" s="494">
        <f t="shared" si="10"/>
        <v>13331670</v>
      </c>
      <c r="AO288" s="494">
        <f t="shared" si="10"/>
        <v>16767146</v>
      </c>
      <c r="AP288" s="494">
        <f t="shared" si="10"/>
        <v>286676</v>
      </c>
      <c r="AQ288" s="494">
        <f t="shared" si="10"/>
        <v>4108252</v>
      </c>
      <c r="AR288" s="494">
        <f t="shared" si="10"/>
        <v>22705160</v>
      </c>
      <c r="AS288" s="494">
        <f t="shared" si="10"/>
        <v>2627757</v>
      </c>
      <c r="AT288" s="494">
        <f t="shared" si="10"/>
        <v>556871</v>
      </c>
      <c r="AU288" s="494">
        <f t="shared" si="10"/>
        <v>4142509</v>
      </c>
      <c r="AV288" s="494">
        <f t="shared" si="10"/>
        <v>11105841</v>
      </c>
      <c r="AW288" s="494">
        <f t="shared" si="10"/>
        <v>134071</v>
      </c>
      <c r="AX288" s="494">
        <f t="shared" si="10"/>
        <v>616017</v>
      </c>
      <c r="AY288" s="494">
        <f t="shared" si="10"/>
        <v>2708704</v>
      </c>
      <c r="AZ288" s="494">
        <f t="shared" si="10"/>
        <v>3300958</v>
      </c>
      <c r="BA288" s="494">
        <f t="shared" si="10"/>
        <v>3847636</v>
      </c>
      <c r="BB288" s="494">
        <f t="shared" si="10"/>
        <v>99613</v>
      </c>
      <c r="BC288" s="494">
        <f t="shared" si="10"/>
        <v>1922657</v>
      </c>
      <c r="BD288" s="494">
        <f t="shared" si="10"/>
        <v>390971</v>
      </c>
      <c r="BE288" s="494">
        <f t="shared" si="10"/>
        <v>74797</v>
      </c>
      <c r="BF288" s="494">
        <f t="shared" si="10"/>
        <v>25807625</v>
      </c>
      <c r="BG288" s="494">
        <f t="shared" si="10"/>
        <v>287480</v>
      </c>
      <c r="BH288" s="494">
        <f t="shared" si="10"/>
        <v>49992</v>
      </c>
      <c r="BI288" s="494">
        <f t="shared" si="10"/>
        <v>3319504</v>
      </c>
      <c r="BJ288" s="494">
        <f t="shared" si="10"/>
        <v>2473662</v>
      </c>
      <c r="BK288" s="494">
        <f t="shared" si="10"/>
        <v>547033</v>
      </c>
      <c r="BL288" s="494">
        <f t="shared" si="10"/>
        <v>8968130</v>
      </c>
      <c r="BM288" s="494">
        <f t="shared" si="10"/>
        <v>5086067</v>
      </c>
      <c r="BN288" s="494">
        <f t="shared" si="10"/>
        <v>39298</v>
      </c>
      <c r="BO288" s="494">
        <f t="shared" si="10"/>
        <v>6034770</v>
      </c>
      <c r="BP288" s="494">
        <f t="shared" si="10"/>
        <v>1727586</v>
      </c>
      <c r="BQ288" s="494">
        <f t="shared" ref="BQ288:CB288" si="11">+BQ182+BQ15+BQ159-BQ158-BQ183</f>
        <v>813008</v>
      </c>
      <c r="BR288" s="494">
        <f t="shared" si="11"/>
        <v>1849357</v>
      </c>
      <c r="BS288" s="494">
        <f t="shared" si="11"/>
        <v>1282755</v>
      </c>
      <c r="BT288" s="494">
        <f t="shared" si="11"/>
        <v>20703135</v>
      </c>
      <c r="BU288" s="494">
        <f t="shared" si="11"/>
        <v>1980119</v>
      </c>
      <c r="BV288" s="494">
        <f t="shared" si="11"/>
        <v>3013819</v>
      </c>
      <c r="BW288" s="494">
        <f t="shared" si="11"/>
        <v>827031</v>
      </c>
      <c r="BX288" s="494">
        <f t="shared" si="11"/>
        <v>933718</v>
      </c>
      <c r="BY288" s="494">
        <f t="shared" si="11"/>
        <v>27467</v>
      </c>
      <c r="BZ288" s="494">
        <f t="shared" si="11"/>
        <v>25308</v>
      </c>
      <c r="CA288" s="494">
        <f t="shared" si="11"/>
        <v>18582689</v>
      </c>
      <c r="CB288" s="494">
        <f t="shared" si="11"/>
        <v>62552</v>
      </c>
    </row>
    <row r="289" spans="1:80" s="502" customFormat="1" x14ac:dyDescent="0.25">
      <c r="A289" s="517" t="s">
        <v>938</v>
      </c>
      <c r="B289" s="507"/>
      <c r="C289" s="513" t="s">
        <v>945</v>
      </c>
      <c r="D289" s="507"/>
      <c r="E289" s="514">
        <f>E287/E288</f>
        <v>0.13723615691064911</v>
      </c>
      <c r="F289" s="514">
        <f t="shared" ref="F289:BQ289" si="12">F287/F288</f>
        <v>1.2493618079522519</v>
      </c>
      <c r="G289" s="514">
        <f t="shared" si="12"/>
        <v>1.2929033998920669</v>
      </c>
      <c r="H289" s="514">
        <f t="shared" si="12"/>
        <v>0.57304405273081593</v>
      </c>
      <c r="I289" s="514">
        <f t="shared" si="12"/>
        <v>0.94332615614731408</v>
      </c>
      <c r="J289" s="514">
        <f t="shared" si="12"/>
        <v>1.9569095559782252</v>
      </c>
      <c r="K289" s="514">
        <f t="shared" si="12"/>
        <v>2.0321084944706564</v>
      </c>
      <c r="L289" s="514">
        <f t="shared" si="12"/>
        <v>0.48113453269896533</v>
      </c>
      <c r="M289" s="514">
        <f t="shared" si="12"/>
        <v>0.37235117251448091</v>
      </c>
      <c r="N289" s="514">
        <f t="shared" si="12"/>
        <v>2.4706295507222626</v>
      </c>
      <c r="O289" s="514">
        <f t="shared" si="12"/>
        <v>0.57359228800402806</v>
      </c>
      <c r="P289" s="514">
        <f t="shared" si="12"/>
        <v>0.28999659005660505</v>
      </c>
      <c r="Q289" s="514">
        <f t="shared" si="12"/>
        <v>0.40264131750566745</v>
      </c>
      <c r="R289" s="514">
        <f t="shared" si="12"/>
        <v>0.89744723676598803</v>
      </c>
      <c r="S289" s="514">
        <f t="shared" si="12"/>
        <v>0.46110311600259335</v>
      </c>
      <c r="T289" s="514">
        <f t="shared" si="12"/>
        <v>0.4023658040515013</v>
      </c>
      <c r="U289" s="514">
        <f t="shared" si="12"/>
        <v>1.0927900065075777</v>
      </c>
      <c r="V289" s="514">
        <f t="shared" si="12"/>
        <v>0.31114863360898343</v>
      </c>
      <c r="W289" s="514">
        <f t="shared" si="12"/>
        <v>9.5648734177215182</v>
      </c>
      <c r="X289" s="514">
        <f t="shared" si="12"/>
        <v>0.88749885980289733</v>
      </c>
      <c r="Y289" s="514">
        <f t="shared" si="12"/>
        <v>0.35831342209802525</v>
      </c>
      <c r="Z289" s="514">
        <f t="shared" si="12"/>
        <v>0.75219683893903799</v>
      </c>
      <c r="AA289" s="514">
        <f t="shared" si="12"/>
        <v>0.93858954094592062</v>
      </c>
      <c r="AB289" s="514">
        <f t="shared" si="12"/>
        <v>0.52593905283552345</v>
      </c>
      <c r="AC289" s="514">
        <f t="shared" si="12"/>
        <v>1.114119912016353</v>
      </c>
      <c r="AD289" s="514">
        <f t="shared" si="12"/>
        <v>0.6750836796998565</v>
      </c>
      <c r="AE289" s="514">
        <f t="shared" si="12"/>
        <v>0.95034807608204697</v>
      </c>
      <c r="AF289" s="514">
        <f t="shared" si="12"/>
        <v>0.32928274831197818</v>
      </c>
      <c r="AG289" s="514">
        <f t="shared" si="12"/>
        <v>0.96914758011480351</v>
      </c>
      <c r="AH289" s="514">
        <f t="shared" si="12"/>
        <v>1.8340885142255006</v>
      </c>
      <c r="AI289" s="514">
        <f t="shared" si="12"/>
        <v>2.6729684233892597</v>
      </c>
      <c r="AJ289" s="514">
        <f t="shared" si="12"/>
        <v>0.56092062628057326</v>
      </c>
      <c r="AK289" s="514">
        <f t="shared" si="12"/>
        <v>0.47351719709248141</v>
      </c>
      <c r="AL289" s="514">
        <f t="shared" si="12"/>
        <v>1.6343012348444543</v>
      </c>
      <c r="AM289" s="514">
        <f t="shared" si="12"/>
        <v>4.8135470104871292</v>
      </c>
      <c r="AN289" s="514">
        <f t="shared" si="12"/>
        <v>0.86730357112049727</v>
      </c>
      <c r="AO289" s="514">
        <f t="shared" si="12"/>
        <v>0.52605422532850854</v>
      </c>
      <c r="AP289" s="514">
        <f t="shared" si="12"/>
        <v>1.83488328286986</v>
      </c>
      <c r="AQ289" s="514">
        <f t="shared" si="12"/>
        <v>1.5746473195899375</v>
      </c>
      <c r="AR289" s="514">
        <f t="shared" si="12"/>
        <v>0.3354995076009154</v>
      </c>
      <c r="AS289" s="514">
        <f t="shared" si="12"/>
        <v>0.90831343994136449</v>
      </c>
      <c r="AT289" s="514">
        <f t="shared" si="12"/>
        <v>0.62214229148222833</v>
      </c>
      <c r="AU289" s="514">
        <f t="shared" si="12"/>
        <v>0.97909962295797059</v>
      </c>
      <c r="AV289" s="514">
        <f t="shared" si="12"/>
        <v>0.33345732214246537</v>
      </c>
      <c r="AW289" s="514">
        <f t="shared" si="12"/>
        <v>0.88629905050309166</v>
      </c>
      <c r="AX289" s="514">
        <f t="shared" si="12"/>
        <v>0.63245007848809365</v>
      </c>
      <c r="AY289" s="514">
        <f t="shared" si="12"/>
        <v>0.85545153697118625</v>
      </c>
      <c r="AZ289" s="514">
        <f t="shared" si="12"/>
        <v>0.58998569506185783</v>
      </c>
      <c r="BA289" s="514">
        <f t="shared" si="12"/>
        <v>0.20456378929815605</v>
      </c>
      <c r="BB289" s="514">
        <f t="shared" si="12"/>
        <v>0.78914398723058232</v>
      </c>
      <c r="BC289" s="514">
        <f t="shared" si="12"/>
        <v>0.65251784379637134</v>
      </c>
      <c r="BD289" s="514">
        <f t="shared" si="12"/>
        <v>4.4963641804635124</v>
      </c>
      <c r="BE289" s="514">
        <f t="shared" si="12"/>
        <v>4.7729053304276912</v>
      </c>
      <c r="BF289" s="514">
        <f t="shared" si="12"/>
        <v>0.13466175209845926</v>
      </c>
      <c r="BG289" s="514">
        <f t="shared" si="12"/>
        <v>1.3539481007374425</v>
      </c>
      <c r="BH289" s="514">
        <f t="shared" si="12"/>
        <v>2.7514402304368697</v>
      </c>
      <c r="BI289" s="514">
        <f t="shared" si="12"/>
        <v>0.71664953559326938</v>
      </c>
      <c r="BJ289" s="514">
        <f t="shared" si="12"/>
        <v>1.1057670773129069</v>
      </c>
      <c r="BK289" s="514">
        <f t="shared" si="12"/>
        <v>0.75614451047743003</v>
      </c>
      <c r="BL289" s="514">
        <f t="shared" si="12"/>
        <v>0.24766222166717031</v>
      </c>
      <c r="BM289" s="514">
        <f t="shared" si="12"/>
        <v>0.82601094322980806</v>
      </c>
      <c r="BN289" s="514">
        <f t="shared" si="12"/>
        <v>3.014809913990534</v>
      </c>
      <c r="BO289" s="514">
        <f t="shared" si="12"/>
        <v>0.45586575793277956</v>
      </c>
      <c r="BP289" s="514">
        <f t="shared" si="12"/>
        <v>1.6349304752411746</v>
      </c>
      <c r="BQ289" s="514">
        <f t="shared" si="12"/>
        <v>1.9303008088481295</v>
      </c>
      <c r="BR289" s="514">
        <f>BR287/BR288</f>
        <v>0.67013724229556548</v>
      </c>
      <c r="BS289" s="514">
        <f>BS287/BS288</f>
        <v>1.1007277305487018</v>
      </c>
      <c r="BT289" s="514">
        <f t="shared" ref="BT289:CB289" si="13">BT287/BT288</f>
        <v>0.47816019168111495</v>
      </c>
      <c r="BU289" s="514">
        <f t="shared" si="13"/>
        <v>0.73554114676946181</v>
      </c>
      <c r="BV289" s="514">
        <f t="shared" si="13"/>
        <v>0.47781900638359504</v>
      </c>
      <c r="BW289" s="514">
        <f t="shared" si="13"/>
        <v>9.8576715987671565E-2</v>
      </c>
      <c r="BX289" s="514">
        <f t="shared" si="13"/>
        <v>0.83795856993224938</v>
      </c>
      <c r="BY289" s="514">
        <f t="shared" si="13"/>
        <v>5.9894054683802382</v>
      </c>
      <c r="BZ289" s="514">
        <f t="shared" si="13"/>
        <v>7.9275327959538489</v>
      </c>
      <c r="CA289" s="514">
        <f t="shared" si="13"/>
        <v>0.50539052771103254</v>
      </c>
      <c r="CB289" s="514">
        <f t="shared" si="13"/>
        <v>1.5920034531269984</v>
      </c>
    </row>
    <row r="290" spans="1:80" s="502" customFormat="1" x14ac:dyDescent="0.25">
      <c r="A290" s="517" t="s">
        <v>940</v>
      </c>
      <c r="B290" s="507"/>
      <c r="C290" s="515" t="s">
        <v>948</v>
      </c>
      <c r="D290" s="507"/>
      <c r="E290" s="494">
        <f t="shared" ref="E290:K290" si="14">+E97+E53</f>
        <v>0</v>
      </c>
      <c r="F290" s="494">
        <f t="shared" si="14"/>
        <v>0</v>
      </c>
      <c r="G290" s="494">
        <f t="shared" si="14"/>
        <v>7289</v>
      </c>
      <c r="H290" s="494">
        <f t="shared" si="14"/>
        <v>5408338</v>
      </c>
      <c r="I290" s="494">
        <f t="shared" si="14"/>
        <v>206363</v>
      </c>
      <c r="J290" s="494">
        <f t="shared" si="14"/>
        <v>1965</v>
      </c>
      <c r="K290" s="494">
        <f t="shared" si="14"/>
        <v>105000</v>
      </c>
      <c r="L290" s="494">
        <f>+L97+L51</f>
        <v>117773</v>
      </c>
      <c r="M290" s="494">
        <f t="shared" ref="M290:BX290" si="15">+M97+M51</f>
        <v>4062863</v>
      </c>
      <c r="N290" s="494">
        <f t="shared" si="15"/>
        <v>0</v>
      </c>
      <c r="O290" s="494">
        <f t="shared" si="15"/>
        <v>16885</v>
      </c>
      <c r="P290" s="494">
        <f t="shared" si="15"/>
        <v>91262</v>
      </c>
      <c r="Q290" s="494">
        <f t="shared" si="15"/>
        <v>0</v>
      </c>
      <c r="R290" s="494">
        <f t="shared" si="15"/>
        <v>2813</v>
      </c>
      <c r="S290" s="494">
        <f t="shared" si="15"/>
        <v>844581</v>
      </c>
      <c r="T290" s="494">
        <f t="shared" si="15"/>
        <v>2094814</v>
      </c>
      <c r="U290" s="494">
        <f t="shared" si="15"/>
        <v>17224</v>
      </c>
      <c r="V290" s="494">
        <f t="shared" si="15"/>
        <v>1755932</v>
      </c>
      <c r="W290" s="494">
        <f t="shared" si="15"/>
        <v>0</v>
      </c>
      <c r="X290" s="494">
        <f t="shared" si="15"/>
        <v>0</v>
      </c>
      <c r="Y290" s="494">
        <f t="shared" si="15"/>
        <v>1580656</v>
      </c>
      <c r="Z290" s="494">
        <f t="shared" si="15"/>
        <v>223491</v>
      </c>
      <c r="AA290" s="494">
        <f t="shared" si="15"/>
        <v>20503</v>
      </c>
      <c r="AB290" s="494">
        <f t="shared" si="15"/>
        <v>131552</v>
      </c>
      <c r="AC290" s="494">
        <f t="shared" si="15"/>
        <v>0</v>
      </c>
      <c r="AD290" s="494">
        <f t="shared" si="15"/>
        <v>13280</v>
      </c>
      <c r="AE290" s="494">
        <f t="shared" si="15"/>
        <v>111368</v>
      </c>
      <c r="AF290" s="494">
        <f t="shared" si="15"/>
        <v>374326</v>
      </c>
      <c r="AG290" s="494">
        <f t="shared" si="15"/>
        <v>0</v>
      </c>
      <c r="AH290" s="494">
        <f t="shared" si="15"/>
        <v>0</v>
      </c>
      <c r="AI290" s="494">
        <f t="shared" si="15"/>
        <v>0</v>
      </c>
      <c r="AJ290" s="494">
        <f t="shared" si="15"/>
        <v>0</v>
      </c>
      <c r="AK290" s="494">
        <f t="shared" si="15"/>
        <v>902866</v>
      </c>
      <c r="AL290" s="494">
        <f t="shared" si="15"/>
        <v>6197</v>
      </c>
      <c r="AM290" s="494">
        <f t="shared" si="15"/>
        <v>0</v>
      </c>
      <c r="AN290" s="494">
        <f t="shared" si="15"/>
        <v>958753</v>
      </c>
      <c r="AO290" s="494">
        <f t="shared" si="15"/>
        <v>1259468</v>
      </c>
      <c r="AP290" s="494">
        <f t="shared" si="15"/>
        <v>0</v>
      </c>
      <c r="AQ290" s="494">
        <f t="shared" si="15"/>
        <v>0</v>
      </c>
      <c r="AR290" s="494">
        <f t="shared" si="15"/>
        <v>857443</v>
      </c>
      <c r="AS290" s="494">
        <f t="shared" si="15"/>
        <v>6064</v>
      </c>
      <c r="AT290" s="494">
        <f t="shared" si="15"/>
        <v>6611</v>
      </c>
      <c r="AU290" s="494">
        <f t="shared" si="15"/>
        <v>363751</v>
      </c>
      <c r="AV290" s="494">
        <f t="shared" si="15"/>
        <v>2464965</v>
      </c>
      <c r="AW290" s="494">
        <f t="shared" si="15"/>
        <v>21598</v>
      </c>
      <c r="AX290" s="494">
        <f t="shared" si="15"/>
        <v>42747</v>
      </c>
      <c r="AY290" s="494">
        <f t="shared" si="15"/>
        <v>243214</v>
      </c>
      <c r="AZ290" s="494">
        <f t="shared" si="15"/>
        <v>36771</v>
      </c>
      <c r="BA290" s="494">
        <f t="shared" si="15"/>
        <v>256825</v>
      </c>
      <c r="BB290" s="494">
        <f t="shared" si="15"/>
        <v>0</v>
      </c>
      <c r="BC290" s="494">
        <f t="shared" si="15"/>
        <v>66859</v>
      </c>
      <c r="BD290" s="494">
        <f t="shared" si="15"/>
        <v>43218</v>
      </c>
      <c r="BE290" s="494">
        <f t="shared" si="15"/>
        <v>0</v>
      </c>
      <c r="BF290" s="494">
        <f t="shared" si="15"/>
        <v>1453732</v>
      </c>
      <c r="BG290" s="494">
        <f t="shared" si="15"/>
        <v>0</v>
      </c>
      <c r="BH290" s="494">
        <f t="shared" si="15"/>
        <v>0</v>
      </c>
      <c r="BI290" s="494">
        <f t="shared" si="15"/>
        <v>327834</v>
      </c>
      <c r="BJ290" s="494">
        <f t="shared" si="15"/>
        <v>221515</v>
      </c>
      <c r="BK290" s="494">
        <f t="shared" si="15"/>
        <v>0</v>
      </c>
      <c r="BL290" s="494">
        <f t="shared" si="15"/>
        <v>94652</v>
      </c>
      <c r="BM290" s="494">
        <f t="shared" si="15"/>
        <v>83099</v>
      </c>
      <c r="BN290" s="494">
        <f t="shared" si="15"/>
        <v>0</v>
      </c>
      <c r="BO290" s="494">
        <f t="shared" si="15"/>
        <v>299439</v>
      </c>
      <c r="BP290" s="494">
        <f t="shared" si="15"/>
        <v>112391</v>
      </c>
      <c r="BQ290" s="494">
        <f t="shared" si="15"/>
        <v>68388</v>
      </c>
      <c r="BR290" s="494">
        <f t="shared" si="15"/>
        <v>11950</v>
      </c>
      <c r="BS290" s="494">
        <f t="shared" si="15"/>
        <v>0</v>
      </c>
      <c r="BT290" s="494">
        <f t="shared" si="15"/>
        <v>0</v>
      </c>
      <c r="BU290" s="494">
        <f t="shared" si="15"/>
        <v>70286</v>
      </c>
      <c r="BV290" s="494">
        <f t="shared" si="15"/>
        <v>369946</v>
      </c>
      <c r="BW290" s="494">
        <f t="shared" si="15"/>
        <v>8875</v>
      </c>
      <c r="BX290" s="494">
        <f t="shared" si="15"/>
        <v>0</v>
      </c>
      <c r="BY290" s="494">
        <f t="shared" ref="BY290:CB290" si="16">+BY97+BY51</f>
        <v>0</v>
      </c>
      <c r="BZ290" s="494">
        <f t="shared" si="16"/>
        <v>0</v>
      </c>
      <c r="CA290" s="494">
        <f t="shared" si="16"/>
        <v>997968</v>
      </c>
      <c r="CB290" s="494">
        <f t="shared" si="16"/>
        <v>0</v>
      </c>
    </row>
    <row r="291" spans="1:80" s="502" customFormat="1" x14ac:dyDescent="0.25">
      <c r="A291" s="517" t="s">
        <v>1201</v>
      </c>
      <c r="B291" s="507"/>
      <c r="C291" s="507" t="s">
        <v>941</v>
      </c>
      <c r="D291" s="507"/>
      <c r="E291" s="494">
        <f t="shared" ref="E291:AJ291" si="17">+E60+E58</f>
        <v>0</v>
      </c>
      <c r="F291" s="494">
        <f t="shared" si="17"/>
        <v>0</v>
      </c>
      <c r="G291" s="494">
        <f t="shared" si="17"/>
        <v>0</v>
      </c>
      <c r="H291" s="494">
        <f t="shared" si="17"/>
        <v>0</v>
      </c>
      <c r="I291" s="494">
        <f t="shared" si="17"/>
        <v>0</v>
      </c>
      <c r="J291" s="494">
        <f t="shared" si="17"/>
        <v>0</v>
      </c>
      <c r="K291" s="494">
        <f t="shared" si="17"/>
        <v>0</v>
      </c>
      <c r="L291" s="494">
        <f t="shared" si="17"/>
        <v>0</v>
      </c>
      <c r="M291" s="494">
        <f t="shared" si="17"/>
        <v>0</v>
      </c>
      <c r="N291" s="494">
        <f t="shared" si="17"/>
        <v>0</v>
      </c>
      <c r="O291" s="494">
        <f t="shared" si="17"/>
        <v>0</v>
      </c>
      <c r="P291" s="494">
        <f t="shared" si="17"/>
        <v>0</v>
      </c>
      <c r="Q291" s="494">
        <f t="shared" si="17"/>
        <v>0</v>
      </c>
      <c r="R291" s="494">
        <f t="shared" si="17"/>
        <v>0</v>
      </c>
      <c r="S291" s="494">
        <f t="shared" si="17"/>
        <v>0</v>
      </c>
      <c r="T291" s="494">
        <f t="shared" si="17"/>
        <v>442967</v>
      </c>
      <c r="U291" s="494">
        <f t="shared" si="17"/>
        <v>0</v>
      </c>
      <c r="V291" s="494">
        <f t="shared" si="17"/>
        <v>814610</v>
      </c>
      <c r="W291" s="494">
        <f t="shared" si="17"/>
        <v>0</v>
      </c>
      <c r="X291" s="494">
        <f t="shared" si="17"/>
        <v>0</v>
      </c>
      <c r="Y291" s="494">
        <f t="shared" si="17"/>
        <v>0</v>
      </c>
      <c r="Z291" s="494">
        <f t="shared" si="17"/>
        <v>0</v>
      </c>
      <c r="AA291" s="494">
        <f t="shared" si="17"/>
        <v>38552</v>
      </c>
      <c r="AB291" s="494">
        <f t="shared" si="17"/>
        <v>0</v>
      </c>
      <c r="AC291" s="494">
        <f t="shared" si="17"/>
        <v>0</v>
      </c>
      <c r="AD291" s="494">
        <f t="shared" si="17"/>
        <v>0</v>
      </c>
      <c r="AE291" s="494">
        <f t="shared" si="17"/>
        <v>0</v>
      </c>
      <c r="AF291" s="494">
        <f t="shared" si="17"/>
        <v>21792</v>
      </c>
      <c r="AG291" s="494">
        <f t="shared" si="17"/>
        <v>0</v>
      </c>
      <c r="AH291" s="494">
        <f t="shared" si="17"/>
        <v>0</v>
      </c>
      <c r="AI291" s="494">
        <f t="shared" si="17"/>
        <v>0</v>
      </c>
      <c r="AJ291" s="494">
        <f t="shared" si="17"/>
        <v>0</v>
      </c>
      <c r="AK291" s="494">
        <f t="shared" ref="AK291:BP291" si="18">+AK60+AK58</f>
        <v>98050</v>
      </c>
      <c r="AL291" s="494">
        <f t="shared" si="18"/>
        <v>0</v>
      </c>
      <c r="AM291" s="494">
        <f t="shared" si="18"/>
        <v>0</v>
      </c>
      <c r="AN291" s="494">
        <f t="shared" si="18"/>
        <v>0</v>
      </c>
      <c r="AO291" s="494">
        <f t="shared" si="18"/>
        <v>0</v>
      </c>
      <c r="AP291" s="494">
        <f t="shared" si="18"/>
        <v>0</v>
      </c>
      <c r="AQ291" s="494">
        <f t="shared" si="18"/>
        <v>0</v>
      </c>
      <c r="AR291" s="494">
        <f t="shared" si="18"/>
        <v>1095024</v>
      </c>
      <c r="AS291" s="494">
        <f t="shared" si="18"/>
        <v>0</v>
      </c>
      <c r="AT291" s="494">
        <f t="shared" si="18"/>
        <v>0</v>
      </c>
      <c r="AU291" s="494">
        <f t="shared" si="18"/>
        <v>0</v>
      </c>
      <c r="AV291" s="494">
        <f t="shared" si="18"/>
        <v>0</v>
      </c>
      <c r="AW291" s="494">
        <f t="shared" si="18"/>
        <v>0</v>
      </c>
      <c r="AX291" s="494">
        <f t="shared" si="18"/>
        <v>0</v>
      </c>
      <c r="AY291" s="494">
        <f t="shared" si="18"/>
        <v>0</v>
      </c>
      <c r="AZ291" s="494">
        <f t="shared" si="18"/>
        <v>0</v>
      </c>
      <c r="BA291" s="494">
        <f t="shared" si="18"/>
        <v>123300</v>
      </c>
      <c r="BB291" s="494">
        <f t="shared" si="18"/>
        <v>0</v>
      </c>
      <c r="BC291" s="494">
        <f t="shared" si="18"/>
        <v>0</v>
      </c>
      <c r="BD291" s="494">
        <f t="shared" si="18"/>
        <v>0</v>
      </c>
      <c r="BE291" s="494">
        <f t="shared" si="18"/>
        <v>0</v>
      </c>
      <c r="BF291" s="494">
        <f t="shared" si="18"/>
        <v>183456</v>
      </c>
      <c r="BG291" s="494">
        <f t="shared" si="18"/>
        <v>0</v>
      </c>
      <c r="BH291" s="494">
        <f t="shared" si="18"/>
        <v>0</v>
      </c>
      <c r="BI291" s="494">
        <f t="shared" si="18"/>
        <v>0</v>
      </c>
      <c r="BJ291" s="494">
        <f t="shared" si="18"/>
        <v>0</v>
      </c>
      <c r="BK291" s="494">
        <f t="shared" si="18"/>
        <v>0</v>
      </c>
      <c r="BL291" s="494">
        <f t="shared" si="18"/>
        <v>0</v>
      </c>
      <c r="BM291" s="494">
        <f t="shared" si="18"/>
        <v>0</v>
      </c>
      <c r="BN291" s="494">
        <f t="shared" si="18"/>
        <v>0</v>
      </c>
      <c r="BO291" s="494">
        <f t="shared" si="18"/>
        <v>0</v>
      </c>
      <c r="BP291" s="494">
        <f t="shared" si="18"/>
        <v>0</v>
      </c>
      <c r="BQ291" s="494">
        <f t="shared" ref="BQ291:CB291" si="19">+BQ60+BQ58</f>
        <v>0</v>
      </c>
      <c r="BR291" s="494">
        <f t="shared" si="19"/>
        <v>0</v>
      </c>
      <c r="BS291" s="494">
        <f t="shared" si="19"/>
        <v>0</v>
      </c>
      <c r="BT291" s="494">
        <f t="shared" si="19"/>
        <v>0</v>
      </c>
      <c r="BU291" s="494">
        <f t="shared" si="19"/>
        <v>0</v>
      </c>
      <c r="BV291" s="494">
        <f t="shared" si="19"/>
        <v>0</v>
      </c>
      <c r="BW291" s="494">
        <f t="shared" si="19"/>
        <v>0</v>
      </c>
      <c r="BX291" s="494">
        <f t="shared" si="19"/>
        <v>0</v>
      </c>
      <c r="BY291" s="494">
        <f t="shared" si="19"/>
        <v>0</v>
      </c>
      <c r="BZ291" s="494">
        <f t="shared" si="19"/>
        <v>0</v>
      </c>
      <c r="CA291" s="494">
        <f t="shared" si="19"/>
        <v>0</v>
      </c>
      <c r="CB291" s="494">
        <f t="shared" si="19"/>
        <v>0</v>
      </c>
    </row>
    <row r="292" spans="1:80" x14ac:dyDescent="0.25">
      <c r="A292" s="517" t="s">
        <v>944</v>
      </c>
      <c r="C292" s="510" t="s">
        <v>943</v>
      </c>
      <c r="E292" s="516">
        <f t="shared" ref="E292:AJ292" si="20">+E31-E160</f>
        <v>0</v>
      </c>
      <c r="F292" s="516">
        <f t="shared" si="20"/>
        <v>0</v>
      </c>
      <c r="G292" s="516">
        <f t="shared" si="20"/>
        <v>255174</v>
      </c>
      <c r="H292" s="516">
        <f t="shared" si="20"/>
        <v>31768452</v>
      </c>
      <c r="I292" s="516">
        <f t="shared" si="20"/>
        <v>6921525</v>
      </c>
      <c r="J292" s="516">
        <f t="shared" si="20"/>
        <v>220760</v>
      </c>
      <c r="K292" s="516">
        <f t="shared" si="20"/>
        <v>4951484</v>
      </c>
      <c r="L292" s="516">
        <f t="shared" si="20"/>
        <v>985477</v>
      </c>
      <c r="M292" s="516">
        <f t="shared" si="20"/>
        <v>11455997</v>
      </c>
      <c r="N292" s="516">
        <f t="shared" si="20"/>
        <v>0</v>
      </c>
      <c r="O292" s="516">
        <f t="shared" si="20"/>
        <v>1715042</v>
      </c>
      <c r="P292" s="516">
        <f t="shared" si="20"/>
        <v>855085</v>
      </c>
      <c r="Q292" s="516">
        <f t="shared" si="20"/>
        <v>0</v>
      </c>
      <c r="R292" s="516">
        <f t="shared" si="20"/>
        <v>7969664</v>
      </c>
      <c r="S292" s="516">
        <f t="shared" si="20"/>
        <v>7664396</v>
      </c>
      <c r="T292" s="516">
        <f t="shared" si="20"/>
        <v>7083557</v>
      </c>
      <c r="U292" s="516">
        <f t="shared" si="20"/>
        <v>34245</v>
      </c>
      <c r="V292" s="516">
        <f t="shared" si="20"/>
        <v>9475421</v>
      </c>
      <c r="W292" s="516">
        <f t="shared" si="20"/>
        <v>0</v>
      </c>
      <c r="X292" s="516">
        <f t="shared" si="20"/>
        <v>0</v>
      </c>
      <c r="Y292" s="516">
        <f t="shared" si="20"/>
        <v>755203</v>
      </c>
      <c r="Z292" s="516">
        <f t="shared" si="20"/>
        <v>2400796</v>
      </c>
      <c r="AA292" s="516">
        <f t="shared" si="20"/>
        <v>750443</v>
      </c>
      <c r="AB292" s="516">
        <f t="shared" si="20"/>
        <v>213007</v>
      </c>
      <c r="AC292" s="516">
        <f t="shared" si="20"/>
        <v>0</v>
      </c>
      <c r="AD292" s="516">
        <f t="shared" si="20"/>
        <v>105324</v>
      </c>
      <c r="AE292" s="516">
        <f t="shared" si="20"/>
        <v>1488971</v>
      </c>
      <c r="AF292" s="516">
        <f t="shared" si="20"/>
        <v>532505</v>
      </c>
      <c r="AG292" s="516">
        <f t="shared" si="20"/>
        <v>54936</v>
      </c>
      <c r="AH292" s="516">
        <f t="shared" si="20"/>
        <v>0</v>
      </c>
      <c r="AI292" s="516">
        <f t="shared" si="20"/>
        <v>0</v>
      </c>
      <c r="AJ292" s="516">
        <f t="shared" si="20"/>
        <v>776959</v>
      </c>
      <c r="AK292" s="516">
        <f t="shared" ref="AK292:BP292" si="21">+AK31-AK160</f>
        <v>6871474</v>
      </c>
      <c r="AL292" s="516">
        <f t="shared" si="21"/>
        <v>389179</v>
      </c>
      <c r="AM292" s="516">
        <f t="shared" si="21"/>
        <v>0</v>
      </c>
      <c r="AN292" s="516">
        <f t="shared" si="21"/>
        <v>13484550</v>
      </c>
      <c r="AO292" s="516">
        <f t="shared" si="21"/>
        <v>7587569</v>
      </c>
      <c r="AP292" s="516">
        <f t="shared" si="21"/>
        <v>67280</v>
      </c>
      <c r="AQ292" s="516">
        <f t="shared" si="21"/>
        <v>0</v>
      </c>
      <c r="AR292" s="516">
        <f t="shared" si="21"/>
        <v>4893116</v>
      </c>
      <c r="AS292" s="516">
        <f t="shared" si="21"/>
        <v>1341079</v>
      </c>
      <c r="AT292" s="516">
        <f t="shared" si="21"/>
        <v>242829</v>
      </c>
      <c r="AU292" s="516">
        <f t="shared" si="21"/>
        <v>1599283</v>
      </c>
      <c r="AV292" s="516">
        <f t="shared" si="21"/>
        <v>9013477</v>
      </c>
      <c r="AW292" s="516">
        <f t="shared" si="21"/>
        <v>985182</v>
      </c>
      <c r="AX292" s="516">
        <f t="shared" si="21"/>
        <v>261446</v>
      </c>
      <c r="AY292" s="516">
        <f t="shared" si="21"/>
        <v>1451036</v>
      </c>
      <c r="AZ292" s="516">
        <f t="shared" si="21"/>
        <v>402830</v>
      </c>
      <c r="BA292" s="516">
        <f t="shared" si="21"/>
        <v>1723598</v>
      </c>
      <c r="BB292" s="516">
        <f t="shared" si="21"/>
        <v>0</v>
      </c>
      <c r="BC292" s="516">
        <f t="shared" si="21"/>
        <v>570245</v>
      </c>
      <c r="BD292" s="516">
        <f t="shared" si="21"/>
        <v>654269</v>
      </c>
      <c r="BE292" s="516">
        <f t="shared" si="21"/>
        <v>0</v>
      </c>
      <c r="BF292" s="516">
        <f t="shared" si="21"/>
        <v>2288049</v>
      </c>
      <c r="BG292" s="516">
        <f t="shared" si="21"/>
        <v>42400</v>
      </c>
      <c r="BH292" s="516">
        <f t="shared" si="21"/>
        <v>0</v>
      </c>
      <c r="BI292" s="516">
        <f t="shared" si="21"/>
        <v>1091406</v>
      </c>
      <c r="BJ292" s="516">
        <f t="shared" si="21"/>
        <v>1814894</v>
      </c>
      <c r="BK292" s="516">
        <f t="shared" si="21"/>
        <v>50824</v>
      </c>
      <c r="BL292" s="516">
        <f t="shared" si="21"/>
        <v>4997801</v>
      </c>
      <c r="BM292" s="516">
        <f t="shared" si="21"/>
        <v>2326635</v>
      </c>
      <c r="BN292" s="516">
        <f t="shared" si="21"/>
        <v>0</v>
      </c>
      <c r="BO292" s="516">
        <f t="shared" si="21"/>
        <v>2193673</v>
      </c>
      <c r="BP292" s="516">
        <f t="shared" si="21"/>
        <v>3441113</v>
      </c>
      <c r="BQ292" s="516">
        <f t="shared" ref="BQ292:CB292" si="22">+BQ31-BQ160</f>
        <v>1669743</v>
      </c>
      <c r="BR292" s="516">
        <f t="shared" si="22"/>
        <v>3228358</v>
      </c>
      <c r="BS292" s="516">
        <f t="shared" si="22"/>
        <v>0</v>
      </c>
      <c r="BT292" s="516">
        <f t="shared" si="22"/>
        <v>0</v>
      </c>
      <c r="BU292" s="516">
        <f t="shared" si="22"/>
        <v>1119412</v>
      </c>
      <c r="BV292" s="516">
        <f t="shared" si="22"/>
        <v>1867210</v>
      </c>
      <c r="BW292" s="516">
        <f t="shared" si="22"/>
        <v>94042</v>
      </c>
      <c r="BX292" s="516">
        <f t="shared" si="22"/>
        <v>846898</v>
      </c>
      <c r="BY292" s="516">
        <f t="shared" si="22"/>
        <v>0</v>
      </c>
      <c r="BZ292" s="516">
        <f t="shared" si="22"/>
        <v>0</v>
      </c>
      <c r="CA292" s="516">
        <f t="shared" si="22"/>
        <v>9991695</v>
      </c>
      <c r="CB292" s="516">
        <f t="shared" si="22"/>
        <v>0</v>
      </c>
    </row>
    <row r="293" spans="1:80" s="502" customFormat="1" x14ac:dyDescent="0.25">
      <c r="A293" s="517" t="s">
        <v>949</v>
      </c>
      <c r="C293" s="510" t="s">
        <v>951</v>
      </c>
      <c r="E293" s="405" t="e">
        <f t="shared" ref="E293:AJ293" si="23">+(E45*365)/E50</f>
        <v>#DIV/0!</v>
      </c>
      <c r="F293" s="405" t="e">
        <f t="shared" si="23"/>
        <v>#DIV/0!</v>
      </c>
      <c r="G293" s="405">
        <f t="shared" si="23"/>
        <v>54.929292102009697</v>
      </c>
      <c r="H293" s="405">
        <f t="shared" si="23"/>
        <v>44.124228010980367</v>
      </c>
      <c r="I293" s="405">
        <f t="shared" si="23"/>
        <v>26.500161181353988</v>
      </c>
      <c r="J293" s="405">
        <f t="shared" si="23"/>
        <v>38.887959509856152</v>
      </c>
      <c r="K293" s="405">
        <f t="shared" si="23"/>
        <v>39.534970623443819</v>
      </c>
      <c r="L293" s="405">
        <f t="shared" si="23"/>
        <v>71.438587513342156</v>
      </c>
      <c r="M293" s="405">
        <f t="shared" si="23"/>
        <v>78.943899973802843</v>
      </c>
      <c r="N293" s="405" t="e">
        <f t="shared" si="23"/>
        <v>#DIV/0!</v>
      </c>
      <c r="O293" s="405">
        <f t="shared" si="23"/>
        <v>55.477414848466992</v>
      </c>
      <c r="P293" s="405">
        <f t="shared" si="23"/>
        <v>30.939933637230286</v>
      </c>
      <c r="Q293" s="405" t="e">
        <f t="shared" si="23"/>
        <v>#DIV/0!</v>
      </c>
      <c r="R293" s="405">
        <f t="shared" si="23"/>
        <v>83.523032406342764</v>
      </c>
      <c r="S293" s="405">
        <f t="shared" si="23"/>
        <v>67.336226674252785</v>
      </c>
      <c r="T293" s="405">
        <f t="shared" si="23"/>
        <v>56.534552901820419</v>
      </c>
      <c r="U293" s="405">
        <f t="shared" si="23"/>
        <v>50.523357799806014</v>
      </c>
      <c r="V293" s="405">
        <f t="shared" si="23"/>
        <v>44.421362773364223</v>
      </c>
      <c r="W293" s="405" t="e">
        <f t="shared" si="23"/>
        <v>#DIV/0!</v>
      </c>
      <c r="X293" s="405" t="e">
        <f t="shared" si="23"/>
        <v>#DIV/0!</v>
      </c>
      <c r="Y293" s="405" t="e">
        <f t="shared" si="23"/>
        <v>#DIV/0!</v>
      </c>
      <c r="Z293" s="405">
        <f t="shared" si="23"/>
        <v>58.134298593538276</v>
      </c>
      <c r="AA293" s="405">
        <f t="shared" si="23"/>
        <v>16.822891407903622</v>
      </c>
      <c r="AB293" s="405">
        <f t="shared" si="23"/>
        <v>65.524541503412024</v>
      </c>
      <c r="AC293" s="405" t="e">
        <f t="shared" si="23"/>
        <v>#DIV/0!</v>
      </c>
      <c r="AD293" s="405">
        <f t="shared" si="23"/>
        <v>56.759222838688309</v>
      </c>
      <c r="AE293" s="405">
        <f t="shared" si="23"/>
        <v>50.483317343301835</v>
      </c>
      <c r="AF293" s="405">
        <f t="shared" si="23"/>
        <v>45.519261233517888</v>
      </c>
      <c r="AG293" s="405">
        <f t="shared" si="23"/>
        <v>17.483467381590707</v>
      </c>
      <c r="AH293" s="405" t="e">
        <f t="shared" si="23"/>
        <v>#DIV/0!</v>
      </c>
      <c r="AI293" s="405" t="e">
        <f t="shared" si="23"/>
        <v>#DIV/0!</v>
      </c>
      <c r="AJ293" s="405">
        <f t="shared" si="23"/>
        <v>59.649021575514297</v>
      </c>
      <c r="AK293" s="405">
        <f t="shared" ref="AK293:BP293" si="24">+(AK45*365)/AK50</f>
        <v>25.529625506309269</v>
      </c>
      <c r="AL293" s="405">
        <f t="shared" si="24"/>
        <v>48.803604502065824</v>
      </c>
      <c r="AM293" s="405" t="e">
        <f t="shared" si="24"/>
        <v>#DIV/0!</v>
      </c>
      <c r="AN293" s="405">
        <f t="shared" si="24"/>
        <v>45.029965745952786</v>
      </c>
      <c r="AO293" s="405">
        <f t="shared" si="24"/>
        <v>20.30527767674679</v>
      </c>
      <c r="AP293" s="405">
        <f t="shared" si="24"/>
        <v>58.453183556314187</v>
      </c>
      <c r="AQ293" s="405" t="e">
        <f t="shared" si="24"/>
        <v>#DIV/0!</v>
      </c>
      <c r="AR293" s="405">
        <f t="shared" si="24"/>
        <v>47.971489524980555</v>
      </c>
      <c r="AS293" s="405">
        <f t="shared" si="24"/>
        <v>90.136528051516336</v>
      </c>
      <c r="AT293" s="405">
        <f t="shared" si="24"/>
        <v>36.399899972840309</v>
      </c>
      <c r="AU293" s="405">
        <f t="shared" si="24"/>
        <v>34.040955832048091</v>
      </c>
      <c r="AV293" s="405">
        <f t="shared" si="24"/>
        <v>26.659820247168764</v>
      </c>
      <c r="AW293" s="405">
        <f t="shared" si="24"/>
        <v>31.752285243853972</v>
      </c>
      <c r="AX293" s="405">
        <f t="shared" si="24"/>
        <v>48.009570869459807</v>
      </c>
      <c r="AY293" s="405">
        <f t="shared" si="24"/>
        <v>42.828799830630743</v>
      </c>
      <c r="AZ293" s="405">
        <f t="shared" si="24"/>
        <v>30.94831367347328</v>
      </c>
      <c r="BA293" s="405">
        <f t="shared" si="24"/>
        <v>40.214895622349211</v>
      </c>
      <c r="BB293" s="405" t="e">
        <f t="shared" si="24"/>
        <v>#DIV/0!</v>
      </c>
      <c r="BC293" s="405">
        <f t="shared" si="24"/>
        <v>52.531908311937393</v>
      </c>
      <c r="BD293" s="405">
        <f t="shared" si="24"/>
        <v>132.63544648856592</v>
      </c>
      <c r="BE293" s="405" t="e">
        <f t="shared" si="24"/>
        <v>#DIV/0!</v>
      </c>
      <c r="BF293" s="405">
        <f t="shared" si="24"/>
        <v>63.444524845943853</v>
      </c>
      <c r="BG293" s="405">
        <f t="shared" si="24"/>
        <v>58.141116478514874</v>
      </c>
      <c r="BH293" s="405" t="e">
        <f t="shared" si="24"/>
        <v>#DIV/0!</v>
      </c>
      <c r="BI293" s="405">
        <f t="shared" si="24"/>
        <v>33.024066276449119</v>
      </c>
      <c r="BJ293" s="405">
        <f t="shared" si="24"/>
        <v>69.716830146986908</v>
      </c>
      <c r="BK293" s="405">
        <f t="shared" si="24"/>
        <v>48.410325037527578</v>
      </c>
      <c r="BL293" s="405">
        <f t="shared" si="24"/>
        <v>36.051644746660443</v>
      </c>
      <c r="BM293" s="405">
        <f t="shared" si="24"/>
        <v>71.33727400261661</v>
      </c>
      <c r="BN293" s="405" t="e">
        <f t="shared" si="24"/>
        <v>#DIV/0!</v>
      </c>
      <c r="BO293" s="405">
        <f t="shared" si="24"/>
        <v>57.174921569502061</v>
      </c>
      <c r="BP293" s="405">
        <f t="shared" si="24"/>
        <v>72.09781115060602</v>
      </c>
      <c r="BQ293" s="405">
        <f t="shared" ref="BQ293:CB293" si="25">+(BQ45*365)/BQ50</f>
        <v>545.61911622328034</v>
      </c>
      <c r="BR293" s="405">
        <f t="shared" si="25"/>
        <v>28.736262382336996</v>
      </c>
      <c r="BS293" s="405" t="e">
        <f t="shared" si="25"/>
        <v>#DIV/0!</v>
      </c>
      <c r="BT293" s="862" t="e">
        <f t="shared" si="25"/>
        <v>#DIV/0!</v>
      </c>
      <c r="BU293" s="862">
        <f t="shared" si="25"/>
        <v>79.085349045071936</v>
      </c>
      <c r="BV293" s="862">
        <f t="shared" si="25"/>
        <v>47.888679761246543</v>
      </c>
      <c r="BW293" s="862">
        <f t="shared" si="25"/>
        <v>65.482542750304603</v>
      </c>
      <c r="BX293" s="862">
        <f t="shared" si="25"/>
        <v>55.713488840420695</v>
      </c>
      <c r="BY293" s="862" t="e">
        <f t="shared" si="25"/>
        <v>#DIV/0!</v>
      </c>
      <c r="BZ293" s="862" t="e">
        <f t="shared" si="25"/>
        <v>#DIV/0!</v>
      </c>
      <c r="CA293" s="862">
        <f t="shared" si="25"/>
        <v>50.127360616374148</v>
      </c>
      <c r="CB293" s="862" t="e">
        <f t="shared" si="25"/>
        <v>#DIV/0!</v>
      </c>
    </row>
    <row r="294" spans="1:80" s="502" customFormat="1" x14ac:dyDescent="0.25">
      <c r="A294" s="517" t="s">
        <v>950</v>
      </c>
      <c r="C294" s="510" t="s">
        <v>952</v>
      </c>
      <c r="E294" s="405" t="e">
        <f t="shared" ref="E294:AJ294" si="26">+E53*365/E57</f>
        <v>#DIV/0!</v>
      </c>
      <c r="F294" s="405" t="e">
        <f t="shared" si="26"/>
        <v>#DIV/0!</v>
      </c>
      <c r="G294" s="405" t="e">
        <f t="shared" si="26"/>
        <v>#DIV/0!</v>
      </c>
      <c r="H294" s="405" t="e">
        <f t="shared" si="26"/>
        <v>#DIV/0!</v>
      </c>
      <c r="I294" s="405" t="e">
        <f t="shared" si="26"/>
        <v>#DIV/0!</v>
      </c>
      <c r="J294" s="405" t="e">
        <f t="shared" si="26"/>
        <v>#DIV/0!</v>
      </c>
      <c r="K294" s="405" t="e">
        <f t="shared" si="26"/>
        <v>#DIV/0!</v>
      </c>
      <c r="L294" s="405" t="e">
        <f t="shared" si="26"/>
        <v>#DIV/0!</v>
      </c>
      <c r="M294" s="405" t="e">
        <f t="shared" si="26"/>
        <v>#DIV/0!</v>
      </c>
      <c r="N294" s="405" t="e">
        <f t="shared" si="26"/>
        <v>#DIV/0!</v>
      </c>
      <c r="O294" s="405" t="e">
        <f t="shared" si="26"/>
        <v>#DIV/0!</v>
      </c>
      <c r="P294" s="405" t="e">
        <f t="shared" si="26"/>
        <v>#DIV/0!</v>
      </c>
      <c r="Q294" s="405" t="e">
        <f t="shared" si="26"/>
        <v>#DIV/0!</v>
      </c>
      <c r="R294" s="405" t="e">
        <f t="shared" si="26"/>
        <v>#DIV/0!</v>
      </c>
      <c r="S294" s="405" t="e">
        <f t="shared" si="26"/>
        <v>#DIV/0!</v>
      </c>
      <c r="T294" s="405">
        <f t="shared" si="26"/>
        <v>38.209604369004623</v>
      </c>
      <c r="U294" s="862" t="e">
        <f t="shared" si="26"/>
        <v>#DIV/0!</v>
      </c>
      <c r="V294" s="405">
        <f t="shared" si="26"/>
        <v>43.814252799538565</v>
      </c>
      <c r="W294" s="405" t="e">
        <f t="shared" si="26"/>
        <v>#DIV/0!</v>
      </c>
      <c r="X294" s="405" t="e">
        <f t="shared" si="26"/>
        <v>#DIV/0!</v>
      </c>
      <c r="Y294" s="405" t="e">
        <f t="shared" si="26"/>
        <v>#DIV/0!</v>
      </c>
      <c r="Z294" s="405" t="e">
        <f t="shared" si="26"/>
        <v>#DIV/0!</v>
      </c>
      <c r="AA294" s="405">
        <f t="shared" si="26"/>
        <v>17.135881493098321</v>
      </c>
      <c r="AB294" s="405">
        <f t="shared" si="26"/>
        <v>0</v>
      </c>
      <c r="AC294" s="405" t="e">
        <f t="shared" si="26"/>
        <v>#DIV/0!</v>
      </c>
      <c r="AD294" s="405" t="e">
        <f t="shared" si="26"/>
        <v>#DIV/0!</v>
      </c>
      <c r="AE294" s="405" t="e">
        <f t="shared" si="26"/>
        <v>#DIV/0!</v>
      </c>
      <c r="AF294" s="405">
        <f t="shared" si="26"/>
        <v>47.941890320855947</v>
      </c>
      <c r="AG294" s="405" t="e">
        <f t="shared" si="26"/>
        <v>#DIV/0!</v>
      </c>
      <c r="AH294" s="405" t="e">
        <f t="shared" si="26"/>
        <v>#DIV/0!</v>
      </c>
      <c r="AI294" s="405" t="e">
        <f t="shared" si="26"/>
        <v>#DIV/0!</v>
      </c>
      <c r="AJ294" s="405" t="e">
        <f t="shared" si="26"/>
        <v>#DIV/0!</v>
      </c>
      <c r="AK294" s="405">
        <f t="shared" ref="AK294:BP294" si="27">+AK53*365/AK57</f>
        <v>27.397181381433967</v>
      </c>
      <c r="AL294" s="405" t="e">
        <f t="shared" si="27"/>
        <v>#DIV/0!</v>
      </c>
      <c r="AM294" s="405" t="e">
        <f t="shared" si="27"/>
        <v>#DIV/0!</v>
      </c>
      <c r="AN294" s="405" t="e">
        <f t="shared" si="27"/>
        <v>#DIV/0!</v>
      </c>
      <c r="AO294" s="405" t="e">
        <f t="shared" si="27"/>
        <v>#DIV/0!</v>
      </c>
      <c r="AP294" s="405" t="e">
        <f t="shared" si="27"/>
        <v>#DIV/0!</v>
      </c>
      <c r="AQ294" s="405" t="e">
        <f t="shared" si="27"/>
        <v>#DIV/0!</v>
      </c>
      <c r="AR294" s="405">
        <f t="shared" si="27"/>
        <v>50.042022733205563</v>
      </c>
      <c r="AS294" s="405" t="e">
        <f t="shared" si="27"/>
        <v>#DIV/0!</v>
      </c>
      <c r="AT294" s="405" t="e">
        <f t="shared" si="27"/>
        <v>#DIV/0!</v>
      </c>
      <c r="AU294" s="405" t="e">
        <f t="shared" si="27"/>
        <v>#DIV/0!</v>
      </c>
      <c r="AV294" s="405">
        <f t="shared" si="27"/>
        <v>37.755805448959777</v>
      </c>
      <c r="AW294" s="405" t="e">
        <f t="shared" si="27"/>
        <v>#DIV/0!</v>
      </c>
      <c r="AX294" s="405" t="e">
        <f t="shared" si="27"/>
        <v>#DIV/0!</v>
      </c>
      <c r="AY294" s="405" t="e">
        <f t="shared" si="27"/>
        <v>#DIV/0!</v>
      </c>
      <c r="AZ294" s="405" t="e">
        <f t="shared" si="27"/>
        <v>#DIV/0!</v>
      </c>
      <c r="BA294" s="405">
        <f t="shared" si="27"/>
        <v>33.36223543160537</v>
      </c>
      <c r="BB294" s="405" t="e">
        <f t="shared" si="27"/>
        <v>#DIV/0!</v>
      </c>
      <c r="BC294" s="405" t="e">
        <f t="shared" si="27"/>
        <v>#DIV/0!</v>
      </c>
      <c r="BD294" s="405">
        <f t="shared" si="27"/>
        <v>105.30653294158995</v>
      </c>
      <c r="BE294" s="405" t="e">
        <f t="shared" si="27"/>
        <v>#DIV/0!</v>
      </c>
      <c r="BF294" s="405">
        <f t="shared" si="27"/>
        <v>41.949190437548374</v>
      </c>
      <c r="BG294" s="405">
        <f t="shared" si="27"/>
        <v>60.722917110709759</v>
      </c>
      <c r="BH294" s="405" t="e">
        <f t="shared" si="27"/>
        <v>#DIV/0!</v>
      </c>
      <c r="BI294" s="405" t="e">
        <f t="shared" si="27"/>
        <v>#DIV/0!</v>
      </c>
      <c r="BJ294" s="405" t="e">
        <f t="shared" si="27"/>
        <v>#DIV/0!</v>
      </c>
      <c r="BK294" s="405" t="e">
        <f t="shared" si="27"/>
        <v>#DIV/0!</v>
      </c>
      <c r="BL294" s="405">
        <f t="shared" si="27"/>
        <v>32.773485250207976</v>
      </c>
      <c r="BM294" s="405" t="e">
        <f t="shared" si="27"/>
        <v>#DIV/0!</v>
      </c>
      <c r="BN294" s="405" t="e">
        <f t="shared" si="27"/>
        <v>#DIV/0!</v>
      </c>
      <c r="BO294" s="405" t="e">
        <f t="shared" si="27"/>
        <v>#DIV/0!</v>
      </c>
      <c r="BP294" s="405" t="e">
        <f t="shared" si="27"/>
        <v>#DIV/0!</v>
      </c>
      <c r="BQ294" s="405" t="e">
        <f t="shared" ref="BQ294:CB294" si="28">+BQ53*365/BQ57</f>
        <v>#DIV/0!</v>
      </c>
      <c r="BR294" s="405" t="e">
        <f t="shared" si="28"/>
        <v>#DIV/0!</v>
      </c>
      <c r="BS294" s="405" t="e">
        <f t="shared" si="28"/>
        <v>#DIV/0!</v>
      </c>
      <c r="BT294" s="862" t="e">
        <f t="shared" si="28"/>
        <v>#DIV/0!</v>
      </c>
      <c r="BU294" s="862" t="e">
        <f t="shared" si="28"/>
        <v>#DIV/0!</v>
      </c>
      <c r="BV294" s="862" t="e">
        <f t="shared" si="28"/>
        <v>#DIV/0!</v>
      </c>
      <c r="BW294" s="862" t="e">
        <f t="shared" si="28"/>
        <v>#DIV/0!</v>
      </c>
      <c r="BX294" s="862" t="e">
        <f t="shared" si="28"/>
        <v>#DIV/0!</v>
      </c>
      <c r="BY294" s="862" t="e">
        <f t="shared" si="28"/>
        <v>#DIV/0!</v>
      </c>
      <c r="BZ294" s="862" t="e">
        <f t="shared" si="28"/>
        <v>#DIV/0!</v>
      </c>
      <c r="CA294" s="862" t="e">
        <f t="shared" si="28"/>
        <v>#DIV/0!</v>
      </c>
      <c r="CB294" s="862" t="e">
        <f t="shared" si="28"/>
        <v>#DIV/0!</v>
      </c>
    </row>
    <row r="295" spans="1:80" x14ac:dyDescent="0.25">
      <c r="C295" s="389" t="s">
        <v>833</v>
      </c>
      <c r="E295" s="369">
        <f t="shared" ref="E295:AJ295" si="29">SUM(E3:E281)</f>
        <v>25838001.990000002</v>
      </c>
      <c r="F295" s="369">
        <f t="shared" si="29"/>
        <v>426048211.65999997</v>
      </c>
      <c r="G295" s="369">
        <f t="shared" si="29"/>
        <v>15926975.18</v>
      </c>
      <c r="H295" s="369">
        <f t="shared" si="29"/>
        <v>2059055631.8099999</v>
      </c>
      <c r="I295" s="369">
        <f t="shared" si="29"/>
        <v>212449436.25999999</v>
      </c>
      <c r="J295" s="369">
        <f t="shared" si="29"/>
        <v>11687496.1</v>
      </c>
      <c r="K295" s="369">
        <f t="shared" si="29"/>
        <v>90438563.170000017</v>
      </c>
      <c r="L295" s="369">
        <f t="shared" si="29"/>
        <v>66575761.019999996</v>
      </c>
      <c r="M295" s="369">
        <f t="shared" si="29"/>
        <v>1956087161.0699999</v>
      </c>
      <c r="N295" s="369">
        <f t="shared" si="29"/>
        <v>2427494.7599999998</v>
      </c>
      <c r="O295" s="369">
        <f t="shared" si="29"/>
        <v>41830109.279999994</v>
      </c>
      <c r="P295" s="369">
        <f t="shared" si="29"/>
        <v>55913121.089999996</v>
      </c>
      <c r="Q295" s="369">
        <f t="shared" si="29"/>
        <v>856462082.5</v>
      </c>
      <c r="R295" s="369">
        <f t="shared" si="29"/>
        <v>492014387.11000001</v>
      </c>
      <c r="S295" s="369">
        <f t="shared" si="29"/>
        <v>296524231.72000003</v>
      </c>
      <c r="T295" s="369">
        <f t="shared" si="29"/>
        <v>746691643.5</v>
      </c>
      <c r="U295" s="369">
        <f t="shared" si="29"/>
        <v>15073311.449999999</v>
      </c>
      <c r="V295" s="369">
        <f t="shared" si="29"/>
        <v>1380237506.3899999</v>
      </c>
      <c r="W295" s="369">
        <f t="shared" si="29"/>
        <v>1983991.5</v>
      </c>
      <c r="X295" s="369">
        <f t="shared" si="29"/>
        <v>240646338.73000002</v>
      </c>
      <c r="Y295" s="369">
        <f t="shared" si="29"/>
        <v>479836502.30000001</v>
      </c>
      <c r="Z295" s="369">
        <f t="shared" si="29"/>
        <v>160874346.20999998</v>
      </c>
      <c r="AA295" s="369">
        <f t="shared" si="29"/>
        <v>140593335.57999998</v>
      </c>
      <c r="AB295" s="369">
        <f t="shared" si="29"/>
        <v>127392167.17</v>
      </c>
      <c r="AC295" s="369">
        <f t="shared" si="29"/>
        <v>16082271.949999999</v>
      </c>
      <c r="AD295" s="369">
        <f t="shared" si="29"/>
        <v>7799715.3599999994</v>
      </c>
      <c r="AE295" s="369">
        <f t="shared" si="29"/>
        <v>73818545.410000011</v>
      </c>
      <c r="AF295" s="369">
        <f t="shared" si="29"/>
        <v>171783542.91</v>
      </c>
      <c r="AG295" s="369">
        <f t="shared" si="29"/>
        <v>8413149.620000001</v>
      </c>
      <c r="AH295" s="369">
        <f t="shared" si="29"/>
        <v>1142766.53</v>
      </c>
      <c r="AI295" s="369">
        <f t="shared" si="29"/>
        <v>7381493.5199999996</v>
      </c>
      <c r="AJ295" s="369">
        <f t="shared" si="29"/>
        <v>46591920.740000002</v>
      </c>
      <c r="AK295" s="369">
        <f t="shared" ref="AK295:BP295" si="30">SUM(AK3:AK281)</f>
        <v>541204140.8599999</v>
      </c>
      <c r="AL295" s="369">
        <f t="shared" si="30"/>
        <v>16027370.32</v>
      </c>
      <c r="AM295" s="369">
        <f t="shared" si="30"/>
        <v>972021.65</v>
      </c>
      <c r="AN295" s="369">
        <f t="shared" si="30"/>
        <v>719186059.63999999</v>
      </c>
      <c r="AO295" s="369">
        <f t="shared" si="30"/>
        <v>747114277.82999992</v>
      </c>
      <c r="AP295" s="369">
        <f t="shared" si="30"/>
        <v>9899233.7400000002</v>
      </c>
      <c r="AQ295" s="369">
        <f t="shared" si="30"/>
        <v>106555151.2</v>
      </c>
      <c r="AR295" s="369">
        <f t="shared" si="30"/>
        <v>1317032879.9499998</v>
      </c>
      <c r="AS295" s="369">
        <f t="shared" si="30"/>
        <v>81148034.320000008</v>
      </c>
      <c r="AT295" s="369">
        <f t="shared" si="30"/>
        <v>35278298.339999996</v>
      </c>
      <c r="AU295" s="369">
        <f t="shared" si="30"/>
        <v>120007993.58</v>
      </c>
      <c r="AV295" s="369">
        <f t="shared" si="30"/>
        <v>545398528.13</v>
      </c>
      <c r="AW295" s="369">
        <f t="shared" si="30"/>
        <v>16078399.65</v>
      </c>
      <c r="AX295" s="369">
        <f t="shared" si="30"/>
        <v>34277162.559999995</v>
      </c>
      <c r="AY295" s="369">
        <f t="shared" si="30"/>
        <v>142988637.06999999</v>
      </c>
      <c r="AZ295" s="369">
        <f t="shared" si="30"/>
        <v>107041055.53999999</v>
      </c>
      <c r="BA295" s="369">
        <f t="shared" si="30"/>
        <v>239046730.78</v>
      </c>
      <c r="BB295" s="369">
        <f t="shared" si="30"/>
        <v>1607799.99</v>
      </c>
      <c r="BC295" s="369">
        <f t="shared" si="30"/>
        <v>59575915.039999999</v>
      </c>
      <c r="BD295" s="369">
        <f t="shared" si="30"/>
        <v>86471535.970000014</v>
      </c>
      <c r="BE295" s="369">
        <f t="shared" si="30"/>
        <v>2972403.92</v>
      </c>
      <c r="BF295" s="369">
        <f t="shared" si="30"/>
        <v>1014271349.89</v>
      </c>
      <c r="BG295" s="369">
        <f t="shared" si="30"/>
        <v>28345215.170000002</v>
      </c>
      <c r="BH295" s="369">
        <f t="shared" si="30"/>
        <v>1548003</v>
      </c>
      <c r="BI295" s="369">
        <f t="shared" si="30"/>
        <v>100704701.02</v>
      </c>
      <c r="BJ295" s="369">
        <f t="shared" si="30"/>
        <v>101587501.16000001</v>
      </c>
      <c r="BK295" s="369">
        <f t="shared" si="30"/>
        <v>47430307.600000001</v>
      </c>
      <c r="BL295" s="369">
        <f t="shared" si="30"/>
        <v>272818801.32999998</v>
      </c>
      <c r="BM295" s="369">
        <f t="shared" si="30"/>
        <v>142145835.94</v>
      </c>
      <c r="BN295" s="369">
        <f t="shared" si="30"/>
        <v>1361872</v>
      </c>
      <c r="BO295" s="369">
        <f t="shared" si="30"/>
        <v>227361367.79999998</v>
      </c>
      <c r="BP295" s="369">
        <f t="shared" si="30"/>
        <v>116754447.35000001</v>
      </c>
      <c r="BQ295" s="369">
        <f t="shared" ref="BQ295:CB295" si="31">SUM(BQ3:BQ281)</f>
        <v>75257724.75</v>
      </c>
      <c r="BR295" s="369">
        <f t="shared" si="31"/>
        <v>74187271.910000011</v>
      </c>
      <c r="BS295" s="369">
        <f t="shared" si="31"/>
        <v>30267418.48</v>
      </c>
      <c r="BT295" s="862">
        <f t="shared" si="31"/>
        <v>991650235.25</v>
      </c>
      <c r="BU295" s="862">
        <f t="shared" si="31"/>
        <v>77539555.400000006</v>
      </c>
      <c r="BV295" s="862">
        <f t="shared" si="31"/>
        <v>128655238.42</v>
      </c>
      <c r="BW295" s="862">
        <f t="shared" si="31"/>
        <v>30084446.900000002</v>
      </c>
      <c r="BX295" s="862">
        <f t="shared" si="31"/>
        <v>32910317.530000005</v>
      </c>
      <c r="BY295" s="862">
        <f t="shared" si="31"/>
        <v>1341386.43</v>
      </c>
      <c r="BZ295" s="862">
        <f t="shared" si="31"/>
        <v>1661211.95</v>
      </c>
      <c r="CA295" s="862">
        <f t="shared" si="31"/>
        <v>672858313.38999999</v>
      </c>
      <c r="CB295" s="862">
        <f t="shared" si="31"/>
        <v>1854184.12</v>
      </c>
    </row>
    <row r="296" spans="1:80" s="371" customFormat="1" x14ac:dyDescent="0.25">
      <c r="E296" s="372">
        <f t="shared" ref="E296:AJ296" si="32">SUM(E187:E188,E204:E207,E227,E245:E249,E264:E267)</f>
        <v>50534</v>
      </c>
      <c r="F296" s="372">
        <f t="shared" si="32"/>
        <v>50245</v>
      </c>
      <c r="G296" s="372">
        <f t="shared" si="32"/>
        <v>50249.01</v>
      </c>
      <c r="H296" s="372">
        <f t="shared" si="32"/>
        <v>10703387.01</v>
      </c>
      <c r="I296" s="372">
        <f t="shared" si="32"/>
        <v>475080.01</v>
      </c>
      <c r="J296" s="372">
        <f t="shared" si="32"/>
        <v>494722.01</v>
      </c>
      <c r="K296" s="372">
        <f t="shared" si="32"/>
        <v>50254.01</v>
      </c>
      <c r="L296" s="372">
        <f t="shared" si="32"/>
        <v>443025.01</v>
      </c>
      <c r="M296" s="372">
        <f t="shared" si="32"/>
        <v>49419298.009999998</v>
      </c>
      <c r="N296" s="372">
        <f t="shared" si="32"/>
        <v>50256</v>
      </c>
      <c r="O296" s="372">
        <f t="shared" si="32"/>
        <v>1210455.01</v>
      </c>
      <c r="P296" s="372">
        <f t="shared" si="32"/>
        <v>50259.01</v>
      </c>
      <c r="Q296" s="372">
        <f t="shared" si="32"/>
        <v>12671078</v>
      </c>
      <c r="R296" s="372">
        <f t="shared" si="32"/>
        <v>8767468.0099999998</v>
      </c>
      <c r="S296" s="372">
        <f t="shared" si="32"/>
        <v>247776.01</v>
      </c>
      <c r="T296" s="372">
        <f t="shared" si="32"/>
        <v>21692058.009999998</v>
      </c>
      <c r="U296" s="372">
        <f t="shared" si="32"/>
        <v>50580.01</v>
      </c>
      <c r="V296" s="372">
        <f t="shared" si="32"/>
        <v>11463471.01</v>
      </c>
      <c r="W296" s="372">
        <f t="shared" si="32"/>
        <v>50259</v>
      </c>
      <c r="X296" s="372">
        <f t="shared" si="32"/>
        <v>1620728</v>
      </c>
      <c r="Y296" s="372">
        <f t="shared" si="32"/>
        <v>8509397</v>
      </c>
      <c r="Z296" s="372">
        <f t="shared" si="32"/>
        <v>2003734.01</v>
      </c>
      <c r="AA296" s="372">
        <f t="shared" si="32"/>
        <v>131676.01</v>
      </c>
      <c r="AB296" s="372">
        <f t="shared" si="32"/>
        <v>50267.01</v>
      </c>
      <c r="AC296" s="372">
        <f t="shared" si="32"/>
        <v>50571</v>
      </c>
      <c r="AD296" s="372">
        <f t="shared" si="32"/>
        <v>50585.01</v>
      </c>
      <c r="AE296" s="372">
        <f t="shared" si="32"/>
        <v>50269.01</v>
      </c>
      <c r="AF296" s="372">
        <f t="shared" si="32"/>
        <v>1101108.01</v>
      </c>
      <c r="AG296" s="372">
        <f t="shared" si="32"/>
        <v>50265.01</v>
      </c>
      <c r="AH296" s="372">
        <f t="shared" si="32"/>
        <v>50266</v>
      </c>
      <c r="AI296" s="372">
        <f t="shared" si="32"/>
        <v>50273</v>
      </c>
      <c r="AJ296" s="372">
        <f t="shared" si="32"/>
        <v>50272.01</v>
      </c>
      <c r="AK296" s="372">
        <f t="shared" ref="AK296:BP296" si="33">SUM(AK187:AK188,AK204:AK207,AK227,AK245:AK249,AK264:AK267)</f>
        <v>3624570.01</v>
      </c>
      <c r="AL296" s="372">
        <f t="shared" si="33"/>
        <v>50276.01</v>
      </c>
      <c r="AM296" s="372">
        <f t="shared" si="33"/>
        <v>50537</v>
      </c>
      <c r="AN296" s="372">
        <f t="shared" si="33"/>
        <v>2272716.0099999998</v>
      </c>
      <c r="AO296" s="372">
        <f t="shared" si="33"/>
        <v>12282505.01</v>
      </c>
      <c r="AP296" s="372">
        <f t="shared" si="33"/>
        <v>50277.01</v>
      </c>
      <c r="AQ296" s="372">
        <f t="shared" si="33"/>
        <v>50590</v>
      </c>
      <c r="AR296" s="372">
        <f t="shared" si="33"/>
        <v>18966415.010000002</v>
      </c>
      <c r="AS296" s="372">
        <f t="shared" si="33"/>
        <v>50280.01</v>
      </c>
      <c r="AT296" s="372">
        <f t="shared" si="33"/>
        <v>363914.01</v>
      </c>
      <c r="AU296" s="372">
        <f t="shared" si="33"/>
        <v>846088.01</v>
      </c>
      <c r="AV296" s="372">
        <f t="shared" si="33"/>
        <v>11646846.01</v>
      </c>
      <c r="AW296" s="372">
        <f t="shared" si="33"/>
        <v>50283.01</v>
      </c>
      <c r="AX296" s="372">
        <f t="shared" si="33"/>
        <v>50287.01</v>
      </c>
      <c r="AY296" s="372">
        <f t="shared" si="33"/>
        <v>50511.01</v>
      </c>
      <c r="AZ296" s="372">
        <f t="shared" si="33"/>
        <v>186183.01</v>
      </c>
      <c r="BA296" s="372">
        <f t="shared" si="33"/>
        <v>3548335.01</v>
      </c>
      <c r="BB296" s="372">
        <f t="shared" si="33"/>
        <v>50290</v>
      </c>
      <c r="BC296" s="372">
        <f t="shared" si="33"/>
        <v>367056.01</v>
      </c>
      <c r="BD296" s="372">
        <f t="shared" si="33"/>
        <v>50290.01</v>
      </c>
      <c r="BE296" s="372">
        <f t="shared" si="33"/>
        <v>50288</v>
      </c>
      <c r="BF296" s="372">
        <f t="shared" si="33"/>
        <v>44468585.009999998</v>
      </c>
      <c r="BG296" s="372">
        <f t="shared" si="33"/>
        <v>50295.01</v>
      </c>
      <c r="BH296" s="372">
        <f t="shared" si="33"/>
        <v>50291</v>
      </c>
      <c r="BI296" s="372">
        <f t="shared" si="33"/>
        <v>3114123.01</v>
      </c>
      <c r="BJ296" s="372">
        <f t="shared" si="33"/>
        <v>224617.01</v>
      </c>
      <c r="BK296" s="372">
        <f t="shared" si="33"/>
        <v>3839451.01</v>
      </c>
      <c r="BL296" s="372">
        <f t="shared" si="33"/>
        <v>539382.01</v>
      </c>
      <c r="BM296" s="372">
        <f t="shared" si="33"/>
        <v>3610047.01</v>
      </c>
      <c r="BN296" s="372">
        <f t="shared" si="33"/>
        <v>50575</v>
      </c>
      <c r="BO296" s="372">
        <f t="shared" si="33"/>
        <v>188047.01</v>
      </c>
      <c r="BP296" s="372">
        <f t="shared" si="33"/>
        <v>50300.01</v>
      </c>
      <c r="BQ296" s="372">
        <f t="shared" ref="BQ296:CB296" si="34">SUM(BQ187:BQ188,BQ204:BQ207,BQ227,BQ245:BQ249,BQ264:BQ267)</f>
        <v>2101756.0099999998</v>
      </c>
      <c r="BR296" s="372">
        <f t="shared" si="34"/>
        <v>50303.01</v>
      </c>
      <c r="BS296" s="372">
        <f t="shared" si="34"/>
        <v>50580</v>
      </c>
      <c r="BT296" s="372">
        <f t="shared" si="34"/>
        <v>1998078</v>
      </c>
      <c r="BU296" s="372">
        <f t="shared" si="34"/>
        <v>2170937.0099999998</v>
      </c>
      <c r="BV296" s="372">
        <f t="shared" si="34"/>
        <v>4738456.01</v>
      </c>
      <c r="BW296" s="372">
        <f t="shared" si="34"/>
        <v>50309.01</v>
      </c>
      <c r="BX296" s="372">
        <f t="shared" si="34"/>
        <v>50307.01</v>
      </c>
      <c r="BY296" s="372">
        <f t="shared" si="34"/>
        <v>50305</v>
      </c>
      <c r="BZ296" s="372">
        <f t="shared" si="34"/>
        <v>50304</v>
      </c>
      <c r="CA296" s="372">
        <f t="shared" si="34"/>
        <v>13697704.01</v>
      </c>
      <c r="CB296" s="372">
        <f t="shared" si="34"/>
        <v>50510</v>
      </c>
    </row>
    <row r="297" spans="1:80" x14ac:dyDescent="0.25">
      <c r="E297" s="369">
        <f>E295-E296</f>
        <v>25787467.990000002</v>
      </c>
      <c r="F297" s="369">
        <f t="shared" ref="F297:BQ297" si="35">F295-F296</f>
        <v>425997966.65999997</v>
      </c>
      <c r="G297" s="369">
        <f t="shared" si="35"/>
        <v>15876726.17</v>
      </c>
      <c r="H297" s="369">
        <f t="shared" si="35"/>
        <v>2048352244.8</v>
      </c>
      <c r="I297" s="369">
        <f t="shared" si="35"/>
        <v>211974356.25</v>
      </c>
      <c r="J297" s="369">
        <f t="shared" si="35"/>
        <v>11192774.09</v>
      </c>
      <c r="K297" s="369">
        <f t="shared" si="35"/>
        <v>90388309.160000011</v>
      </c>
      <c r="L297" s="369">
        <f t="shared" si="35"/>
        <v>66132736.009999998</v>
      </c>
      <c r="M297" s="369">
        <f t="shared" si="35"/>
        <v>1906667863.0599999</v>
      </c>
      <c r="N297" s="369">
        <f t="shared" si="35"/>
        <v>2377238.7599999998</v>
      </c>
      <c r="O297" s="369">
        <f t="shared" si="35"/>
        <v>40619654.269999996</v>
      </c>
      <c r="P297" s="369">
        <f t="shared" si="35"/>
        <v>55862862.079999998</v>
      </c>
      <c r="Q297" s="369">
        <f t="shared" si="35"/>
        <v>843791004.5</v>
      </c>
      <c r="R297" s="369">
        <f t="shared" si="35"/>
        <v>483246919.10000002</v>
      </c>
      <c r="S297" s="369">
        <f t="shared" si="35"/>
        <v>296276455.71000004</v>
      </c>
      <c r="T297" s="369">
        <f t="shared" si="35"/>
        <v>724999585.49000001</v>
      </c>
      <c r="U297" s="369">
        <f t="shared" si="35"/>
        <v>15022731.439999999</v>
      </c>
      <c r="V297" s="369">
        <f t="shared" si="35"/>
        <v>1368774035.3799999</v>
      </c>
      <c r="W297" s="369">
        <f t="shared" si="35"/>
        <v>1933732.5</v>
      </c>
      <c r="X297" s="369">
        <f t="shared" si="35"/>
        <v>239025610.73000002</v>
      </c>
      <c r="Y297" s="369">
        <f t="shared" si="35"/>
        <v>471327105.30000001</v>
      </c>
      <c r="Z297" s="369">
        <f t="shared" si="35"/>
        <v>158870612.19999999</v>
      </c>
      <c r="AA297" s="369">
        <f t="shared" si="35"/>
        <v>140461659.56999999</v>
      </c>
      <c r="AB297" s="369">
        <f t="shared" si="35"/>
        <v>127341900.16</v>
      </c>
      <c r="AC297" s="369">
        <f t="shared" si="35"/>
        <v>16031700.949999999</v>
      </c>
      <c r="AD297" s="369">
        <f t="shared" si="35"/>
        <v>7749130.3499999996</v>
      </c>
      <c r="AE297" s="369">
        <f t="shared" si="35"/>
        <v>73768276.400000006</v>
      </c>
      <c r="AF297" s="369">
        <f t="shared" si="35"/>
        <v>170682434.90000001</v>
      </c>
      <c r="AG297" s="369">
        <f t="shared" si="35"/>
        <v>8362884.6100000013</v>
      </c>
      <c r="AH297" s="369">
        <f t="shared" si="35"/>
        <v>1092500.53</v>
      </c>
      <c r="AI297" s="369">
        <f t="shared" si="35"/>
        <v>7331220.5199999996</v>
      </c>
      <c r="AJ297" s="369">
        <f t="shared" si="35"/>
        <v>46541648.730000004</v>
      </c>
      <c r="AK297" s="369">
        <f t="shared" si="35"/>
        <v>537579570.8499999</v>
      </c>
      <c r="AL297" s="369">
        <f t="shared" si="35"/>
        <v>15977094.310000001</v>
      </c>
      <c r="AM297" s="369">
        <f t="shared" si="35"/>
        <v>921484.65</v>
      </c>
      <c r="AN297" s="369">
        <f t="shared" si="35"/>
        <v>716913343.63</v>
      </c>
      <c r="AO297" s="369">
        <f t="shared" si="35"/>
        <v>734831772.81999993</v>
      </c>
      <c r="AP297" s="369">
        <f t="shared" si="35"/>
        <v>9848956.7300000004</v>
      </c>
      <c r="AQ297" s="369">
        <f t="shared" si="35"/>
        <v>106504561.2</v>
      </c>
      <c r="AR297" s="369">
        <f t="shared" si="35"/>
        <v>1298066464.9399998</v>
      </c>
      <c r="AS297" s="369">
        <f t="shared" si="35"/>
        <v>81097754.310000002</v>
      </c>
      <c r="AT297" s="369">
        <f t="shared" si="35"/>
        <v>34914384.329999998</v>
      </c>
      <c r="AU297" s="369">
        <f t="shared" si="35"/>
        <v>119161905.56999999</v>
      </c>
      <c r="AV297" s="369">
        <f t="shared" si="35"/>
        <v>533751682.12</v>
      </c>
      <c r="AW297" s="369">
        <f t="shared" si="35"/>
        <v>16028116.640000001</v>
      </c>
      <c r="AX297" s="369">
        <f t="shared" si="35"/>
        <v>34226875.549999997</v>
      </c>
      <c r="AY297" s="369">
        <f t="shared" si="35"/>
        <v>142938126.06</v>
      </c>
      <c r="AZ297" s="369">
        <f t="shared" si="35"/>
        <v>106854872.52999999</v>
      </c>
      <c r="BA297" s="369">
        <f t="shared" si="35"/>
        <v>235498395.77000001</v>
      </c>
      <c r="BB297" s="369">
        <f t="shared" si="35"/>
        <v>1557509.99</v>
      </c>
      <c r="BC297" s="369">
        <f t="shared" si="35"/>
        <v>59208859.030000001</v>
      </c>
      <c r="BD297" s="369">
        <f t="shared" si="35"/>
        <v>86421245.960000008</v>
      </c>
      <c r="BE297" s="369">
        <f t="shared" si="35"/>
        <v>2922115.92</v>
      </c>
      <c r="BF297" s="369">
        <f t="shared" si="35"/>
        <v>969802764.88</v>
      </c>
      <c r="BG297" s="369">
        <f t="shared" si="35"/>
        <v>28294920.16</v>
      </c>
      <c r="BH297" s="369">
        <f t="shared" si="35"/>
        <v>1497712</v>
      </c>
      <c r="BI297" s="369">
        <f t="shared" si="35"/>
        <v>97590578.00999999</v>
      </c>
      <c r="BJ297" s="369">
        <f t="shared" si="35"/>
        <v>101362884.15000001</v>
      </c>
      <c r="BK297" s="369">
        <f t="shared" si="35"/>
        <v>43590856.590000004</v>
      </c>
      <c r="BL297" s="369">
        <f t="shared" si="35"/>
        <v>272279419.31999999</v>
      </c>
      <c r="BM297" s="369">
        <f t="shared" si="35"/>
        <v>138535788.93000001</v>
      </c>
      <c r="BN297" s="369">
        <f t="shared" si="35"/>
        <v>1311297</v>
      </c>
      <c r="BO297" s="369">
        <f t="shared" si="35"/>
        <v>227173320.78999999</v>
      </c>
      <c r="BP297" s="369">
        <f t="shared" si="35"/>
        <v>116704147.34</v>
      </c>
      <c r="BQ297" s="369">
        <f t="shared" si="35"/>
        <v>73155968.739999995</v>
      </c>
      <c r="BR297" s="369">
        <f>BR295-BR296</f>
        <v>74136968.900000006</v>
      </c>
      <c r="BS297" s="369">
        <f>BS295-BS296</f>
        <v>30216838.48</v>
      </c>
      <c r="BT297" s="862">
        <f t="shared" ref="BT297:CB297" si="36">BT295-BT296</f>
        <v>989652157.25</v>
      </c>
      <c r="BU297" s="862">
        <f t="shared" si="36"/>
        <v>75368618.390000001</v>
      </c>
      <c r="BV297" s="862">
        <f t="shared" si="36"/>
        <v>123916782.41</v>
      </c>
      <c r="BW297" s="862">
        <f t="shared" si="36"/>
        <v>30034137.890000001</v>
      </c>
      <c r="BX297" s="862">
        <f t="shared" si="36"/>
        <v>32860010.520000003</v>
      </c>
      <c r="BY297" s="862">
        <f t="shared" si="36"/>
        <v>1291081.43</v>
      </c>
      <c r="BZ297" s="862">
        <f t="shared" si="36"/>
        <v>1610907.95</v>
      </c>
      <c r="CA297" s="862">
        <f t="shared" si="36"/>
        <v>659160609.38</v>
      </c>
      <c r="CB297" s="862">
        <f t="shared" si="36"/>
        <v>1803674.12</v>
      </c>
    </row>
    <row r="298" spans="1:80" x14ac:dyDescent="0.25">
      <c r="BT298" s="860"/>
      <c r="BU298" s="860"/>
      <c r="BV298" s="860"/>
      <c r="BW298" s="860"/>
      <c r="BX298" s="860"/>
      <c r="BY298" s="860"/>
      <c r="BZ298" s="860"/>
      <c r="CA298" s="860"/>
      <c r="CB298" s="860"/>
    </row>
    <row r="299" spans="1:80" x14ac:dyDescent="0.25">
      <c r="E299" s="405">
        <f t="shared" ref="E299:AJ299" si="37">E226</f>
        <v>0</v>
      </c>
      <c r="F299" s="405">
        <f t="shared" si="37"/>
        <v>0</v>
      </c>
      <c r="G299" s="405">
        <f t="shared" si="37"/>
        <v>0</v>
      </c>
      <c r="H299" s="405">
        <f t="shared" si="37"/>
        <v>440000</v>
      </c>
      <c r="I299" s="405">
        <f t="shared" si="37"/>
        <v>0</v>
      </c>
      <c r="J299" s="405">
        <f t="shared" si="37"/>
        <v>0</v>
      </c>
      <c r="K299" s="405">
        <f t="shared" si="37"/>
        <v>4950</v>
      </c>
      <c r="L299" s="405">
        <f t="shared" si="37"/>
        <v>0</v>
      </c>
      <c r="M299" s="405">
        <f t="shared" si="37"/>
        <v>0</v>
      </c>
      <c r="N299" s="405">
        <f t="shared" si="37"/>
        <v>0</v>
      </c>
      <c r="O299" s="405">
        <f t="shared" si="37"/>
        <v>0</v>
      </c>
      <c r="P299" s="405">
        <f t="shared" si="37"/>
        <v>0</v>
      </c>
      <c r="Q299" s="405">
        <f t="shared" si="37"/>
        <v>0</v>
      </c>
      <c r="R299" s="405">
        <f t="shared" si="37"/>
        <v>0</v>
      </c>
      <c r="S299" s="405">
        <f t="shared" si="37"/>
        <v>0</v>
      </c>
      <c r="T299" s="405">
        <f t="shared" si="37"/>
        <v>60000</v>
      </c>
      <c r="U299" s="405">
        <f t="shared" si="37"/>
        <v>0</v>
      </c>
      <c r="V299" s="405">
        <f t="shared" si="37"/>
        <v>0</v>
      </c>
      <c r="W299" s="405">
        <f t="shared" si="37"/>
        <v>0</v>
      </c>
      <c r="X299" s="405">
        <f t="shared" si="37"/>
        <v>0</v>
      </c>
      <c r="Y299" s="405">
        <f t="shared" si="37"/>
        <v>0</v>
      </c>
      <c r="Z299" s="405">
        <f t="shared" si="37"/>
        <v>0</v>
      </c>
      <c r="AA299" s="405">
        <f t="shared" si="37"/>
        <v>30714</v>
      </c>
      <c r="AB299" s="405">
        <f t="shared" si="37"/>
        <v>0</v>
      </c>
      <c r="AC299" s="405">
        <f t="shared" si="37"/>
        <v>0</v>
      </c>
      <c r="AD299" s="405">
        <f t="shared" si="37"/>
        <v>41451</v>
      </c>
      <c r="AE299" s="405">
        <f t="shared" si="37"/>
        <v>0</v>
      </c>
      <c r="AF299" s="405">
        <f t="shared" si="37"/>
        <v>54477</v>
      </c>
      <c r="AG299" s="405">
        <f t="shared" si="37"/>
        <v>0</v>
      </c>
      <c r="AH299" s="405">
        <f t="shared" si="37"/>
        <v>0</v>
      </c>
      <c r="AI299" s="405">
        <f t="shared" si="37"/>
        <v>0</v>
      </c>
      <c r="AJ299" s="405">
        <f t="shared" si="37"/>
        <v>0</v>
      </c>
      <c r="AK299" s="405">
        <f t="shared" ref="AK299:BS299" si="38">AK226</f>
        <v>0</v>
      </c>
      <c r="AL299" s="405">
        <f t="shared" si="38"/>
        <v>19900</v>
      </c>
      <c r="AM299" s="405">
        <f t="shared" si="38"/>
        <v>0</v>
      </c>
      <c r="AN299" s="405">
        <f t="shared" si="38"/>
        <v>0</v>
      </c>
      <c r="AO299" s="405">
        <f t="shared" si="38"/>
        <v>0</v>
      </c>
      <c r="AP299" s="405">
        <f t="shared" si="38"/>
        <v>0</v>
      </c>
      <c r="AQ299" s="405">
        <f t="shared" si="38"/>
        <v>0</v>
      </c>
      <c r="AR299" s="405">
        <f t="shared" si="38"/>
        <v>3132693</v>
      </c>
      <c r="AS299" s="405">
        <f t="shared" si="38"/>
        <v>0</v>
      </c>
      <c r="AT299" s="405">
        <f t="shared" si="38"/>
        <v>0</v>
      </c>
      <c r="AU299" s="405">
        <f t="shared" si="38"/>
        <v>0</v>
      </c>
      <c r="AV299" s="405">
        <f t="shared" si="38"/>
        <v>1000000</v>
      </c>
      <c r="AW299" s="405">
        <f t="shared" si="38"/>
        <v>36370</v>
      </c>
      <c r="AX299" s="405">
        <f t="shared" si="38"/>
        <v>0</v>
      </c>
      <c r="AY299" s="405">
        <f t="shared" si="38"/>
        <v>1294535</v>
      </c>
      <c r="AZ299" s="405">
        <f t="shared" si="38"/>
        <v>0</v>
      </c>
      <c r="BA299" s="405">
        <f t="shared" si="38"/>
        <v>0</v>
      </c>
      <c r="BB299" s="405">
        <f t="shared" si="38"/>
        <v>0</v>
      </c>
      <c r="BC299" s="405">
        <f t="shared" si="38"/>
        <v>0</v>
      </c>
      <c r="BD299" s="405">
        <f t="shared" si="38"/>
        <v>0</v>
      </c>
      <c r="BE299" s="405">
        <f t="shared" si="38"/>
        <v>0</v>
      </c>
      <c r="BF299" s="405">
        <f t="shared" si="38"/>
        <v>0</v>
      </c>
      <c r="BG299" s="405">
        <f t="shared" si="38"/>
        <v>0</v>
      </c>
      <c r="BH299" s="405">
        <f t="shared" si="38"/>
        <v>0</v>
      </c>
      <c r="BI299" s="405">
        <f t="shared" si="38"/>
        <v>0</v>
      </c>
      <c r="BJ299" s="405">
        <f t="shared" si="38"/>
        <v>0</v>
      </c>
      <c r="BK299" s="405">
        <f t="shared" si="38"/>
        <v>11329</v>
      </c>
      <c r="BL299" s="405">
        <f t="shared" si="38"/>
        <v>0</v>
      </c>
      <c r="BM299" s="405">
        <f t="shared" si="38"/>
        <v>0</v>
      </c>
      <c r="BN299" s="405">
        <f t="shared" si="38"/>
        <v>0</v>
      </c>
      <c r="BO299" s="405">
        <f t="shared" si="38"/>
        <v>0</v>
      </c>
      <c r="BP299" s="405">
        <f t="shared" si="38"/>
        <v>89496</v>
      </c>
      <c r="BQ299" s="405">
        <f t="shared" si="38"/>
        <v>0</v>
      </c>
      <c r="BR299" s="405">
        <f t="shared" si="38"/>
        <v>0</v>
      </c>
      <c r="BS299" s="405">
        <f t="shared" si="38"/>
        <v>0</v>
      </c>
      <c r="BT299" s="862">
        <f t="shared" ref="BT299:CB299" si="39">BT226</f>
        <v>0</v>
      </c>
      <c r="BU299" s="862">
        <f t="shared" si="39"/>
        <v>80000</v>
      </c>
      <c r="BV299" s="862">
        <f t="shared" si="39"/>
        <v>0</v>
      </c>
      <c r="BW299" s="862">
        <f t="shared" si="39"/>
        <v>0</v>
      </c>
      <c r="BX299" s="862">
        <f t="shared" si="39"/>
        <v>0</v>
      </c>
      <c r="BY299" s="862">
        <f t="shared" si="39"/>
        <v>0</v>
      </c>
      <c r="BZ299" s="862">
        <f t="shared" si="39"/>
        <v>0</v>
      </c>
      <c r="CA299" s="862">
        <f t="shared" si="39"/>
        <v>0</v>
      </c>
      <c r="CB299" s="862">
        <f t="shared" si="39"/>
        <v>0</v>
      </c>
    </row>
    <row r="300" spans="1:80" x14ac:dyDescent="0.25">
      <c r="E300" s="304">
        <v>0</v>
      </c>
      <c r="F300" s="304">
        <v>0</v>
      </c>
      <c r="G300" s="304">
        <v>0</v>
      </c>
      <c r="H300" s="304">
        <v>1075726</v>
      </c>
      <c r="I300" s="304">
        <v>0</v>
      </c>
      <c r="J300" s="304">
        <v>0</v>
      </c>
      <c r="K300" s="304">
        <v>0</v>
      </c>
      <c r="L300" s="304">
        <v>10303</v>
      </c>
      <c r="M300" s="304">
        <v>216339</v>
      </c>
      <c r="N300" s="304">
        <v>0</v>
      </c>
      <c r="O300" s="304">
        <v>0</v>
      </c>
      <c r="P300" s="304">
        <v>0</v>
      </c>
      <c r="Q300" s="304">
        <v>0</v>
      </c>
      <c r="R300" s="304">
        <v>0</v>
      </c>
      <c r="S300" s="304">
        <v>0</v>
      </c>
      <c r="T300" s="304">
        <v>0</v>
      </c>
      <c r="U300" s="304">
        <v>0</v>
      </c>
      <c r="V300" s="304">
        <v>0</v>
      </c>
      <c r="W300" s="304">
        <v>0</v>
      </c>
      <c r="X300" s="304">
        <v>0</v>
      </c>
      <c r="Y300" s="304">
        <v>0</v>
      </c>
      <c r="Z300" s="304">
        <v>0</v>
      </c>
      <c r="AA300" s="304">
        <v>2340</v>
      </c>
      <c r="AB300" s="304">
        <v>0</v>
      </c>
      <c r="AC300" s="304">
        <v>0</v>
      </c>
      <c r="AD300" s="304">
        <v>0</v>
      </c>
      <c r="AE300" s="304">
        <v>0</v>
      </c>
      <c r="AF300" s="304">
        <v>0</v>
      </c>
      <c r="AG300" s="304">
        <v>0</v>
      </c>
      <c r="AH300" s="304">
        <v>0</v>
      </c>
      <c r="AI300" s="304">
        <v>0</v>
      </c>
      <c r="AJ300" s="304">
        <v>0</v>
      </c>
      <c r="AK300" s="304">
        <v>0</v>
      </c>
      <c r="AL300" s="304">
        <v>0</v>
      </c>
      <c r="AM300" s="304">
        <v>0</v>
      </c>
      <c r="AN300" s="304">
        <v>0</v>
      </c>
      <c r="AO300" s="304">
        <v>0</v>
      </c>
      <c r="AP300" s="304">
        <v>0</v>
      </c>
      <c r="AQ300" s="304">
        <v>0</v>
      </c>
      <c r="AR300" s="304">
        <v>0</v>
      </c>
      <c r="AS300" s="304">
        <v>0</v>
      </c>
      <c r="AT300" s="304">
        <v>0</v>
      </c>
      <c r="AU300" s="304">
        <v>0</v>
      </c>
      <c r="AV300" s="304">
        <v>0</v>
      </c>
      <c r="AW300" s="304">
        <v>0</v>
      </c>
      <c r="AX300" s="304">
        <v>0</v>
      </c>
      <c r="AY300" s="304">
        <v>0</v>
      </c>
      <c r="AZ300" s="304">
        <v>0</v>
      </c>
      <c r="BA300" s="304">
        <v>0</v>
      </c>
      <c r="BB300" s="304">
        <v>0</v>
      </c>
      <c r="BC300" s="304">
        <v>0</v>
      </c>
      <c r="BD300" s="304">
        <v>0</v>
      </c>
      <c r="BE300" s="304">
        <v>0</v>
      </c>
      <c r="BF300" s="304">
        <v>290080</v>
      </c>
      <c r="BG300" s="304">
        <v>0</v>
      </c>
      <c r="BH300" s="304">
        <v>0</v>
      </c>
      <c r="BI300" s="304">
        <v>0</v>
      </c>
      <c r="BJ300" s="304">
        <v>0</v>
      </c>
      <c r="BK300" s="304">
        <v>0</v>
      </c>
      <c r="BL300" s="304">
        <v>0</v>
      </c>
      <c r="BM300" s="304">
        <v>0</v>
      </c>
      <c r="BN300" s="304">
        <v>0</v>
      </c>
      <c r="BO300" s="304">
        <v>0</v>
      </c>
      <c r="BP300" s="304">
        <v>0</v>
      </c>
      <c r="BQ300" s="304">
        <v>0</v>
      </c>
      <c r="BR300" s="304">
        <v>0</v>
      </c>
      <c r="BS300" s="304">
        <v>0</v>
      </c>
      <c r="BT300" s="860">
        <v>0</v>
      </c>
      <c r="BU300" s="860">
        <v>0</v>
      </c>
      <c r="BV300" s="860">
        <v>0</v>
      </c>
      <c r="BW300" s="860">
        <v>0</v>
      </c>
      <c r="BX300" s="860">
        <v>0</v>
      </c>
      <c r="BY300" s="860">
        <v>0</v>
      </c>
      <c r="BZ300" s="860">
        <v>0</v>
      </c>
      <c r="CA300" s="860">
        <v>0</v>
      </c>
      <c r="CB300" s="860">
        <v>0</v>
      </c>
    </row>
    <row r="301" spans="1:80" x14ac:dyDescent="0.25">
      <c r="E301" s="304">
        <v>0</v>
      </c>
      <c r="F301" s="304">
        <v>0</v>
      </c>
      <c r="G301" s="304">
        <v>0</v>
      </c>
      <c r="H301" s="304">
        <v>1075726</v>
      </c>
      <c r="I301" s="304">
        <v>0</v>
      </c>
      <c r="J301" s="304">
        <v>0</v>
      </c>
      <c r="K301" s="304">
        <v>0</v>
      </c>
      <c r="L301" s="304">
        <v>10303</v>
      </c>
      <c r="M301" s="304">
        <v>216339</v>
      </c>
      <c r="N301" s="304">
        <v>0</v>
      </c>
      <c r="O301" s="304">
        <v>0</v>
      </c>
      <c r="P301" s="304">
        <v>0</v>
      </c>
      <c r="Q301" s="304">
        <v>0</v>
      </c>
      <c r="R301" s="304">
        <v>0</v>
      </c>
      <c r="S301" s="304">
        <v>0</v>
      </c>
      <c r="T301" s="304">
        <v>0</v>
      </c>
      <c r="U301" s="304">
        <v>0</v>
      </c>
      <c r="V301" s="304">
        <v>0</v>
      </c>
      <c r="W301" s="304">
        <v>0</v>
      </c>
      <c r="X301" s="304">
        <v>0</v>
      </c>
      <c r="Y301" s="304">
        <v>0</v>
      </c>
      <c r="Z301" s="304">
        <v>0</v>
      </c>
      <c r="AA301" s="304">
        <v>2340</v>
      </c>
      <c r="AB301" s="304">
        <v>0</v>
      </c>
      <c r="AC301" s="304">
        <v>0</v>
      </c>
      <c r="AD301" s="304">
        <v>0</v>
      </c>
      <c r="AE301" s="304">
        <v>0</v>
      </c>
      <c r="AF301" s="304">
        <v>0</v>
      </c>
      <c r="AG301" s="304">
        <v>0</v>
      </c>
      <c r="AH301" s="304">
        <v>0</v>
      </c>
      <c r="AI301" s="304">
        <v>0</v>
      </c>
      <c r="AJ301" s="304">
        <v>0</v>
      </c>
      <c r="AK301" s="304">
        <v>0</v>
      </c>
      <c r="AL301" s="304">
        <v>0</v>
      </c>
      <c r="AM301" s="304">
        <v>0</v>
      </c>
      <c r="AN301" s="304">
        <v>0</v>
      </c>
      <c r="AO301" s="304">
        <v>0</v>
      </c>
      <c r="AP301" s="304">
        <v>0</v>
      </c>
      <c r="AQ301" s="304">
        <v>0</v>
      </c>
      <c r="AR301" s="304">
        <v>0</v>
      </c>
      <c r="AS301" s="304">
        <v>0</v>
      </c>
      <c r="AT301" s="304">
        <v>0</v>
      </c>
      <c r="AU301" s="304">
        <v>0</v>
      </c>
      <c r="AV301" s="304">
        <v>0</v>
      </c>
      <c r="AW301" s="304">
        <v>0</v>
      </c>
      <c r="AX301" s="304">
        <v>0</v>
      </c>
      <c r="AY301" s="304">
        <v>0</v>
      </c>
      <c r="AZ301" s="304">
        <v>0</v>
      </c>
      <c r="BA301" s="304">
        <v>0</v>
      </c>
      <c r="BB301" s="304">
        <v>0</v>
      </c>
      <c r="BC301" s="304">
        <v>0</v>
      </c>
      <c r="BD301" s="304">
        <v>0</v>
      </c>
      <c r="BE301" s="304">
        <v>0</v>
      </c>
      <c r="BF301" s="304">
        <v>290080</v>
      </c>
      <c r="BG301" s="304">
        <v>0</v>
      </c>
      <c r="BH301" s="304">
        <v>0</v>
      </c>
      <c r="BI301" s="304">
        <v>0</v>
      </c>
      <c r="BJ301" s="304">
        <v>0</v>
      </c>
      <c r="BK301" s="304">
        <v>0</v>
      </c>
      <c r="BL301" s="304">
        <v>0</v>
      </c>
      <c r="BM301" s="304">
        <v>0</v>
      </c>
      <c r="BN301" s="304">
        <v>0</v>
      </c>
      <c r="BO301" s="304">
        <v>0</v>
      </c>
      <c r="BP301" s="304">
        <v>0</v>
      </c>
      <c r="BQ301" s="304">
        <v>0</v>
      </c>
      <c r="BR301" s="304">
        <v>0</v>
      </c>
      <c r="BS301" s="304">
        <v>0</v>
      </c>
      <c r="BT301" s="860">
        <v>0</v>
      </c>
      <c r="BU301" s="860">
        <v>0</v>
      </c>
      <c r="BV301" s="860">
        <v>0</v>
      </c>
      <c r="BW301" s="860">
        <v>0</v>
      </c>
      <c r="BX301" s="860">
        <v>0</v>
      </c>
      <c r="BY301" s="860">
        <v>0</v>
      </c>
      <c r="BZ301" s="860">
        <v>0</v>
      </c>
      <c r="CA301" s="860">
        <v>0</v>
      </c>
      <c r="CB301" s="860">
        <v>0</v>
      </c>
    </row>
    <row r="303" spans="1:80" x14ac:dyDescent="0.25">
      <c r="E303" s="405">
        <f>E297-E299-E300-E301</f>
        <v>25787467.990000002</v>
      </c>
      <c r="F303" s="405">
        <f t="shared" ref="F303:BQ303" si="40">F297-F299-F300-F301</f>
        <v>425997966.65999997</v>
      </c>
      <c r="G303" s="405">
        <f t="shared" si="40"/>
        <v>15876726.17</v>
      </c>
      <c r="H303" s="405">
        <f t="shared" si="40"/>
        <v>2045760792.8</v>
      </c>
      <c r="I303" s="405">
        <f t="shared" si="40"/>
        <v>211974356.25</v>
      </c>
      <c r="J303" s="405">
        <f t="shared" si="40"/>
        <v>11192774.09</v>
      </c>
      <c r="K303" s="405">
        <f t="shared" si="40"/>
        <v>90383359.160000011</v>
      </c>
      <c r="L303" s="405">
        <f t="shared" si="40"/>
        <v>66112130.009999998</v>
      </c>
      <c r="M303" s="405">
        <f t="shared" si="40"/>
        <v>1906235185.0599999</v>
      </c>
      <c r="N303" s="405">
        <f t="shared" si="40"/>
        <v>2377238.7599999998</v>
      </c>
      <c r="O303" s="405">
        <f t="shared" si="40"/>
        <v>40619654.269999996</v>
      </c>
      <c r="P303" s="405">
        <f t="shared" si="40"/>
        <v>55862862.079999998</v>
      </c>
      <c r="Q303" s="405">
        <f t="shared" si="40"/>
        <v>843791004.5</v>
      </c>
      <c r="R303" s="405">
        <f t="shared" si="40"/>
        <v>483246919.10000002</v>
      </c>
      <c r="S303" s="405">
        <f t="shared" si="40"/>
        <v>296276455.71000004</v>
      </c>
      <c r="T303" s="405">
        <f t="shared" si="40"/>
        <v>724939585.49000001</v>
      </c>
      <c r="U303" s="405">
        <f t="shared" si="40"/>
        <v>15022731.439999999</v>
      </c>
      <c r="V303" s="405">
        <f t="shared" si="40"/>
        <v>1368774035.3799999</v>
      </c>
      <c r="W303" s="405">
        <f t="shared" si="40"/>
        <v>1933732.5</v>
      </c>
      <c r="X303" s="405">
        <f t="shared" si="40"/>
        <v>239025610.73000002</v>
      </c>
      <c r="Y303" s="405">
        <f t="shared" si="40"/>
        <v>471327105.30000001</v>
      </c>
      <c r="Z303" s="405">
        <f t="shared" si="40"/>
        <v>158870612.19999999</v>
      </c>
      <c r="AA303" s="405">
        <f t="shared" si="40"/>
        <v>140426265.56999999</v>
      </c>
      <c r="AB303" s="405">
        <f t="shared" si="40"/>
        <v>127341900.16</v>
      </c>
      <c r="AC303" s="405">
        <f t="shared" si="40"/>
        <v>16031700.949999999</v>
      </c>
      <c r="AD303" s="405">
        <f t="shared" si="40"/>
        <v>7707679.3499999996</v>
      </c>
      <c r="AE303" s="405">
        <f t="shared" si="40"/>
        <v>73768276.400000006</v>
      </c>
      <c r="AF303" s="405">
        <f t="shared" si="40"/>
        <v>170627957.90000001</v>
      </c>
      <c r="AG303" s="405">
        <f t="shared" si="40"/>
        <v>8362884.6100000013</v>
      </c>
      <c r="AH303" s="405">
        <f t="shared" si="40"/>
        <v>1092500.53</v>
      </c>
      <c r="AI303" s="405">
        <f t="shared" si="40"/>
        <v>7331220.5199999996</v>
      </c>
      <c r="AJ303" s="405">
        <f t="shared" si="40"/>
        <v>46541648.730000004</v>
      </c>
      <c r="AK303" s="405">
        <f t="shared" si="40"/>
        <v>537579570.8499999</v>
      </c>
      <c r="AL303" s="405">
        <f t="shared" si="40"/>
        <v>15957194.310000001</v>
      </c>
      <c r="AM303" s="405">
        <f t="shared" si="40"/>
        <v>921484.65</v>
      </c>
      <c r="AN303" s="405">
        <f t="shared" si="40"/>
        <v>716913343.63</v>
      </c>
      <c r="AO303" s="405">
        <f t="shared" si="40"/>
        <v>734831772.81999993</v>
      </c>
      <c r="AP303" s="405">
        <f t="shared" si="40"/>
        <v>9848956.7300000004</v>
      </c>
      <c r="AQ303" s="405">
        <f t="shared" si="40"/>
        <v>106504561.2</v>
      </c>
      <c r="AR303" s="405">
        <f t="shared" si="40"/>
        <v>1294933771.9399998</v>
      </c>
      <c r="AS303" s="405">
        <f t="shared" si="40"/>
        <v>81097754.310000002</v>
      </c>
      <c r="AT303" s="405">
        <f t="shared" si="40"/>
        <v>34914384.329999998</v>
      </c>
      <c r="AU303" s="405">
        <f t="shared" si="40"/>
        <v>119161905.56999999</v>
      </c>
      <c r="AV303" s="405">
        <f t="shared" si="40"/>
        <v>532751682.12</v>
      </c>
      <c r="AW303" s="405">
        <f t="shared" si="40"/>
        <v>15991746.640000001</v>
      </c>
      <c r="AX303" s="405">
        <f t="shared" si="40"/>
        <v>34226875.549999997</v>
      </c>
      <c r="AY303" s="405">
        <f t="shared" si="40"/>
        <v>141643591.06</v>
      </c>
      <c r="AZ303" s="405">
        <f t="shared" si="40"/>
        <v>106854872.52999999</v>
      </c>
      <c r="BA303" s="405">
        <f t="shared" si="40"/>
        <v>235498395.77000001</v>
      </c>
      <c r="BB303" s="405">
        <f t="shared" si="40"/>
        <v>1557509.99</v>
      </c>
      <c r="BC303" s="405">
        <f t="shared" si="40"/>
        <v>59208859.030000001</v>
      </c>
      <c r="BD303" s="405">
        <f t="shared" si="40"/>
        <v>86421245.960000008</v>
      </c>
      <c r="BE303" s="405">
        <f t="shared" si="40"/>
        <v>2922115.92</v>
      </c>
      <c r="BF303" s="405">
        <f t="shared" si="40"/>
        <v>969222604.88</v>
      </c>
      <c r="BG303" s="405">
        <f t="shared" si="40"/>
        <v>28294920.16</v>
      </c>
      <c r="BH303" s="405">
        <f t="shared" si="40"/>
        <v>1497712</v>
      </c>
      <c r="BI303" s="405">
        <f t="shared" si="40"/>
        <v>97590578.00999999</v>
      </c>
      <c r="BJ303" s="405">
        <f t="shared" si="40"/>
        <v>101362884.15000001</v>
      </c>
      <c r="BK303" s="405">
        <f t="shared" si="40"/>
        <v>43579527.590000004</v>
      </c>
      <c r="BL303" s="405">
        <f t="shared" si="40"/>
        <v>272279419.31999999</v>
      </c>
      <c r="BM303" s="405">
        <f t="shared" si="40"/>
        <v>138535788.93000001</v>
      </c>
      <c r="BN303" s="405">
        <f t="shared" si="40"/>
        <v>1311297</v>
      </c>
      <c r="BO303" s="405">
        <f t="shared" si="40"/>
        <v>227173320.78999999</v>
      </c>
      <c r="BP303" s="405">
        <f t="shared" si="40"/>
        <v>116614651.34</v>
      </c>
      <c r="BQ303" s="405">
        <f t="shared" si="40"/>
        <v>73155968.739999995</v>
      </c>
      <c r="BR303" s="405">
        <f>BR297-BR299-BR300-BR301</f>
        <v>74136968.900000006</v>
      </c>
      <c r="BS303" s="405">
        <f>BS297-BS299-BS300-BS301</f>
        <v>30216838.48</v>
      </c>
    </row>
    <row r="305" spans="5:8" x14ac:dyDescent="0.25">
      <c r="H305" s="406"/>
    </row>
    <row r="306" spans="5:8" x14ac:dyDescent="0.25">
      <c r="E306" s="405"/>
      <c r="H306" s="407"/>
    </row>
  </sheetData>
  <sheetProtection password="CEAA" sheet="1" objects="1" scenarios="1"/>
  <conditionalFormatting sqref="E7:CB7 E80:CB81">
    <cfRule type="cellIs" dxfId="3" priority="4" stopIfTrue="1" operator="equal">
      <formula>0</formula>
    </cfRule>
  </conditionalFormatting>
  <conditionalFormatting sqref="E107:CB107 E158:CB158">
    <cfRule type="cellIs" dxfId="2" priority="3" stopIfTrue="1" operator="lessThan">
      <formula>0</formula>
    </cfRule>
  </conditionalFormatting>
  <conditionalFormatting sqref="E159:CB159">
    <cfRule type="cellIs" dxfId="1" priority="2" stopIfTrue="1" operator="greaterThan">
      <formula>0</formula>
    </cfRule>
  </conditionalFormatting>
  <conditionalFormatting sqref="E178:CB181">
    <cfRule type="cellIs" dxfId="0" priority="1" stopIfTrue="1" operator="lessThan">
      <formula>1</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384"/>
  <sheetViews>
    <sheetView zoomScaleNormal="100" workbookViewId="0">
      <pane ySplit="5" topLeftCell="A6" activePane="bottomLeft" state="frozen"/>
      <selection activeCell="K179" sqref="K179"/>
      <selection pane="bottomLeft" activeCell="D2" sqref="D2"/>
    </sheetView>
  </sheetViews>
  <sheetFormatPr defaultRowHeight="15" x14ac:dyDescent="0.25"/>
  <cols>
    <col min="1" max="1" width="8.5703125" style="22" customWidth="1"/>
    <col min="2" max="2" width="16.28515625" style="19" customWidth="1"/>
    <col min="3" max="3" width="17.42578125" style="19" customWidth="1"/>
    <col min="4" max="4" width="46.28515625" style="1" customWidth="1"/>
    <col min="5" max="5" width="17.140625" style="1" customWidth="1"/>
    <col min="6" max="6" width="21.5703125" style="1" customWidth="1"/>
    <col min="7" max="7" width="26.7109375" style="8" customWidth="1"/>
    <col min="8" max="8" width="17.140625" style="3" customWidth="1"/>
    <col min="9" max="9" width="24" style="1" customWidth="1"/>
    <col min="10" max="10" width="13.5703125" style="412" customWidth="1"/>
    <col min="11" max="11" width="11.7109375" style="412" customWidth="1"/>
    <col min="12" max="12" width="15.7109375" style="412" hidden="1" customWidth="1"/>
    <col min="13" max="13" width="11" style="412" hidden="1" customWidth="1"/>
    <col min="14" max="14" width="3.28515625" hidden="1" customWidth="1"/>
    <col min="15" max="15" width="2.140625" style="412" hidden="1" customWidth="1"/>
    <col min="16" max="1881" width="9.140625" style="412"/>
    <col min="1882" max="16384" width="9.140625" style="1"/>
  </cols>
  <sheetData>
    <row r="1" spans="1:1881" ht="29.25" thickBot="1" x14ac:dyDescent="0.5">
      <c r="B1" s="29" t="s">
        <v>902</v>
      </c>
      <c r="C1" s="29"/>
      <c r="E1" s="33" t="s">
        <v>41</v>
      </c>
      <c r="F1" s="16">
        <v>2020</v>
      </c>
      <c r="G1" s="465" t="s">
        <v>133</v>
      </c>
      <c r="H1" s="466"/>
      <c r="I1" s="467"/>
      <c r="J1" s="385" t="s">
        <v>1256</v>
      </c>
      <c r="L1" s="633"/>
      <c r="M1" s="633" t="s">
        <v>58</v>
      </c>
      <c r="N1" s="656"/>
      <c r="O1" s="412">
        <v>1</v>
      </c>
    </row>
    <row r="2" spans="1:1881" ht="44.25" customHeight="1" thickBot="1" x14ac:dyDescent="0.4">
      <c r="B2" s="958" t="s">
        <v>592</v>
      </c>
      <c r="C2" s="959"/>
      <c r="D2" s="246"/>
      <c r="E2" s="956" t="s">
        <v>628</v>
      </c>
      <c r="F2" s="956"/>
      <c r="G2" s="957"/>
      <c r="H2" s="12"/>
      <c r="L2" s="633"/>
      <c r="M2" s="633" t="s">
        <v>59</v>
      </c>
      <c r="N2" s="656">
        <v>50</v>
      </c>
      <c r="O2" s="412">
        <v>2</v>
      </c>
    </row>
    <row r="3" spans="1:1881" ht="19.5" thickBot="1" x14ac:dyDescent="0.35">
      <c r="B3" s="20" t="s">
        <v>0</v>
      </c>
      <c r="C3" s="122"/>
      <c r="D3" s="187" t="e">
        <f>VLOOKUP(D2,'Unit Names(H)'!A1:B150,2,FALSE)</f>
        <v>#N/A</v>
      </c>
      <c r="E3" s="121"/>
      <c r="F3" s="54"/>
      <c r="G3" s="10"/>
      <c r="H3" s="12"/>
      <c r="L3" s="633"/>
      <c r="M3" s="633"/>
      <c r="N3" s="656">
        <v>51</v>
      </c>
      <c r="O3" s="633">
        <v>3</v>
      </c>
    </row>
    <row r="4" spans="1:1881" ht="19.5" thickBot="1" x14ac:dyDescent="0.35">
      <c r="B4" s="28" t="s">
        <v>52</v>
      </c>
      <c r="C4" s="123"/>
      <c r="D4" s="27"/>
      <c r="E4" s="27"/>
      <c r="F4" s="39"/>
      <c r="G4" s="11"/>
      <c r="H4" s="12"/>
      <c r="I4" s="14"/>
      <c r="L4" s="633"/>
      <c r="M4" s="633" t="s">
        <v>703</v>
      </c>
      <c r="N4" s="656">
        <v>52</v>
      </c>
      <c r="O4" s="633">
        <v>4</v>
      </c>
    </row>
    <row r="5" spans="1:1881" ht="37.5" customHeight="1" x14ac:dyDescent="0.35">
      <c r="A5" s="23" t="s">
        <v>892</v>
      </c>
      <c r="B5" s="18" t="s">
        <v>118</v>
      </c>
      <c r="C5" s="18" t="s">
        <v>135</v>
      </c>
      <c r="D5" s="5" t="s">
        <v>1</v>
      </c>
      <c r="E5" s="47">
        <v>2019</v>
      </c>
      <c r="F5" s="118">
        <v>2020</v>
      </c>
      <c r="G5" s="570" t="s">
        <v>12</v>
      </c>
      <c r="H5" s="252" t="s">
        <v>636</v>
      </c>
      <c r="I5" s="253" t="s">
        <v>15</v>
      </c>
      <c r="L5" s="633"/>
      <c r="M5" s="633" t="s">
        <v>1096</v>
      </c>
      <c r="N5" s="656"/>
    </row>
    <row r="6" spans="1:1881" ht="22.5" customHeight="1" x14ac:dyDescent="0.25">
      <c r="A6" s="24"/>
      <c r="B6" s="132" t="s">
        <v>134</v>
      </c>
      <c r="C6" s="126"/>
      <c r="D6" s="127"/>
      <c r="E6" s="125"/>
      <c r="F6" s="128"/>
      <c r="G6" s="571"/>
      <c r="H6" s="13"/>
      <c r="L6" s="633"/>
      <c r="M6" s="633" t="s">
        <v>961</v>
      </c>
      <c r="N6" s="656"/>
    </row>
    <row r="7" spans="1:1881" s="4" customFormat="1" ht="63.75" customHeight="1" thickBot="1" x14ac:dyDescent="0.3">
      <c r="A7" s="189">
        <v>333</v>
      </c>
      <c r="B7" s="151" t="s">
        <v>74</v>
      </c>
      <c r="C7" s="183" t="s">
        <v>136</v>
      </c>
      <c r="D7" s="166" t="s">
        <v>597</v>
      </c>
      <c r="E7" s="32" t="e">
        <f>HLOOKUP($D$2,'2019 Data(H)'!$C$1:$CG$300,99,FALSE)</f>
        <v>#N/A</v>
      </c>
      <c r="F7" s="647"/>
      <c r="G7" s="413">
        <f>IF(F7&lt;0,"Note: Number is normally positive.",)</f>
        <v>0</v>
      </c>
      <c r="H7" s="17"/>
      <c r="I7" s="298"/>
      <c r="J7" s="368"/>
      <c r="K7" s="412"/>
      <c r="L7" s="864" t="s">
        <v>1105</v>
      </c>
      <c r="M7" s="633" t="s">
        <v>1097</v>
      </c>
      <c r="N7" s="656"/>
      <c r="O7" s="412"/>
      <c r="P7" s="412"/>
      <c r="Q7" s="412"/>
      <c r="R7" s="412"/>
      <c r="S7" s="412"/>
      <c r="T7" s="412"/>
      <c r="U7" s="412"/>
      <c r="V7" s="412"/>
      <c r="W7" s="412"/>
      <c r="X7" s="412"/>
      <c r="Y7" s="412"/>
      <c r="Z7" s="412"/>
      <c r="AA7" s="412"/>
      <c r="AB7" s="412"/>
      <c r="AC7" s="412"/>
      <c r="AD7" s="412"/>
      <c r="AE7" s="412"/>
      <c r="AF7" s="412"/>
      <c r="AG7" s="412"/>
      <c r="AH7" s="412"/>
      <c r="AI7" s="412"/>
      <c r="AJ7" s="412"/>
      <c r="AK7" s="412"/>
      <c r="AL7" s="412"/>
      <c r="AM7" s="412"/>
      <c r="AN7" s="412"/>
      <c r="AO7" s="412"/>
      <c r="AP7" s="412"/>
      <c r="AQ7" s="412"/>
      <c r="AR7" s="412"/>
      <c r="AS7" s="412"/>
      <c r="AT7" s="412"/>
      <c r="AU7" s="412"/>
      <c r="AV7" s="412"/>
      <c r="AW7" s="412"/>
      <c r="AX7" s="412"/>
      <c r="AY7" s="412"/>
      <c r="AZ7" s="412"/>
      <c r="BA7" s="412"/>
      <c r="BB7" s="412"/>
      <c r="BC7" s="412"/>
      <c r="BD7" s="412"/>
      <c r="BE7" s="412"/>
      <c r="BF7" s="412"/>
      <c r="BG7" s="412"/>
      <c r="BH7" s="412"/>
      <c r="BI7" s="412"/>
      <c r="BJ7" s="412"/>
      <c r="BK7" s="412"/>
      <c r="BL7" s="412"/>
      <c r="BM7" s="412"/>
      <c r="BN7" s="412"/>
      <c r="BO7" s="412"/>
      <c r="BP7" s="412"/>
      <c r="BQ7" s="412"/>
      <c r="BR7" s="412"/>
      <c r="BS7" s="412"/>
      <c r="BT7" s="412"/>
      <c r="BU7" s="412"/>
      <c r="BV7" s="412"/>
      <c r="BW7" s="412"/>
      <c r="BX7" s="412"/>
      <c r="BY7" s="412"/>
      <c r="BZ7" s="412"/>
      <c r="CA7" s="412"/>
      <c r="CB7" s="412"/>
      <c r="CC7" s="412"/>
      <c r="CD7" s="412"/>
      <c r="CE7" s="412"/>
      <c r="CF7" s="412"/>
      <c r="CG7" s="412"/>
      <c r="CH7" s="412"/>
      <c r="CI7" s="412"/>
      <c r="CJ7" s="412"/>
      <c r="CK7" s="412"/>
      <c r="CL7" s="412"/>
      <c r="CM7" s="412"/>
      <c r="CN7" s="412"/>
      <c r="CO7" s="412"/>
      <c r="CP7" s="412"/>
      <c r="CQ7" s="412"/>
      <c r="CR7" s="412"/>
      <c r="CS7" s="412"/>
      <c r="CT7" s="412"/>
      <c r="CU7" s="412"/>
      <c r="CV7" s="412"/>
      <c r="CW7" s="412"/>
      <c r="CX7" s="412"/>
      <c r="CY7" s="412"/>
      <c r="CZ7" s="412"/>
      <c r="DA7" s="412"/>
      <c r="DB7" s="412"/>
      <c r="DC7" s="412"/>
      <c r="DD7" s="412"/>
      <c r="DE7" s="412"/>
      <c r="DF7" s="412"/>
      <c r="DG7" s="412"/>
      <c r="DH7" s="412"/>
      <c r="DI7" s="412"/>
      <c r="DJ7" s="412"/>
      <c r="DK7" s="412"/>
      <c r="DL7" s="412"/>
      <c r="DM7" s="412"/>
      <c r="DN7" s="412"/>
      <c r="DO7" s="412"/>
      <c r="DP7" s="412"/>
      <c r="DQ7" s="412"/>
      <c r="DR7" s="412"/>
      <c r="DS7" s="412"/>
      <c r="DT7" s="412"/>
      <c r="DU7" s="412"/>
      <c r="DV7" s="412"/>
      <c r="DW7" s="412"/>
      <c r="DX7" s="412"/>
      <c r="DY7" s="412"/>
      <c r="DZ7" s="412"/>
      <c r="EA7" s="412"/>
      <c r="EB7" s="412"/>
      <c r="EC7" s="412"/>
      <c r="ED7" s="412"/>
      <c r="EE7" s="412"/>
      <c r="EF7" s="412"/>
      <c r="EG7" s="412"/>
      <c r="EH7" s="412"/>
      <c r="EI7" s="412"/>
      <c r="EJ7" s="412"/>
      <c r="EK7" s="412"/>
      <c r="EL7" s="412"/>
      <c r="EM7" s="412"/>
      <c r="EN7" s="412"/>
      <c r="EO7" s="412"/>
      <c r="EP7" s="412"/>
      <c r="EQ7" s="412"/>
      <c r="ER7" s="412"/>
      <c r="ES7" s="412"/>
      <c r="ET7" s="412"/>
      <c r="EU7" s="412"/>
      <c r="EV7" s="412"/>
      <c r="EW7" s="412"/>
      <c r="EX7" s="412"/>
      <c r="EY7" s="412"/>
      <c r="EZ7" s="412"/>
      <c r="FA7" s="412"/>
      <c r="FB7" s="412"/>
      <c r="FC7" s="412"/>
      <c r="FD7" s="412"/>
      <c r="FE7" s="412"/>
      <c r="FF7" s="412"/>
      <c r="FG7" s="412"/>
      <c r="FH7" s="412"/>
      <c r="FI7" s="412"/>
      <c r="FJ7" s="412"/>
      <c r="FK7" s="412"/>
      <c r="FL7" s="412"/>
      <c r="FM7" s="412"/>
      <c r="FN7" s="412"/>
      <c r="FO7" s="412"/>
      <c r="FP7" s="412"/>
      <c r="FQ7" s="412"/>
      <c r="FR7" s="412"/>
      <c r="FS7" s="412"/>
      <c r="FT7" s="412"/>
      <c r="FU7" s="412"/>
      <c r="FV7" s="412"/>
      <c r="FW7" s="412"/>
      <c r="FX7" s="412"/>
      <c r="FY7" s="412"/>
      <c r="FZ7" s="412"/>
      <c r="GA7" s="412"/>
      <c r="GB7" s="412"/>
      <c r="GC7" s="412"/>
      <c r="GD7" s="412"/>
      <c r="GE7" s="412"/>
      <c r="GF7" s="412"/>
      <c r="GG7" s="412"/>
      <c r="GH7" s="412"/>
      <c r="GI7" s="412"/>
      <c r="GJ7" s="412"/>
      <c r="GK7" s="412"/>
      <c r="GL7" s="412"/>
      <c r="GM7" s="412"/>
      <c r="GN7" s="412"/>
      <c r="GO7" s="412"/>
      <c r="GP7" s="412"/>
      <c r="GQ7" s="412"/>
      <c r="GR7" s="412"/>
      <c r="GS7" s="412"/>
      <c r="GT7" s="412"/>
      <c r="GU7" s="412"/>
      <c r="GV7" s="412"/>
      <c r="GW7" s="412"/>
      <c r="GX7" s="412"/>
      <c r="GY7" s="412"/>
      <c r="GZ7" s="412"/>
      <c r="HA7" s="412"/>
      <c r="HB7" s="412"/>
      <c r="HC7" s="412"/>
      <c r="HD7" s="412"/>
      <c r="HE7" s="412"/>
      <c r="HF7" s="412"/>
      <c r="HG7" s="412"/>
      <c r="HH7" s="412"/>
      <c r="HI7" s="412"/>
      <c r="HJ7" s="412"/>
      <c r="HK7" s="412"/>
      <c r="HL7" s="412"/>
      <c r="HM7" s="412"/>
      <c r="HN7" s="412"/>
      <c r="HO7" s="412"/>
      <c r="HP7" s="412"/>
      <c r="HQ7" s="412"/>
      <c r="HR7" s="412"/>
      <c r="HS7" s="412"/>
      <c r="HT7" s="412"/>
      <c r="HU7" s="412"/>
      <c r="HV7" s="412"/>
      <c r="HW7" s="412"/>
      <c r="HX7" s="412"/>
      <c r="HY7" s="412"/>
      <c r="HZ7" s="412"/>
      <c r="IA7" s="412"/>
      <c r="IB7" s="412"/>
      <c r="IC7" s="412"/>
      <c r="ID7" s="412"/>
      <c r="IE7" s="412"/>
      <c r="IF7" s="412"/>
      <c r="IG7" s="412"/>
      <c r="IH7" s="412"/>
      <c r="II7" s="412"/>
      <c r="IJ7" s="412"/>
      <c r="IK7" s="412"/>
      <c r="IL7" s="412"/>
      <c r="IM7" s="412"/>
      <c r="IN7" s="412"/>
      <c r="IO7" s="412"/>
      <c r="IP7" s="412"/>
      <c r="IQ7" s="412"/>
      <c r="IR7" s="412"/>
      <c r="IS7" s="412"/>
      <c r="IT7" s="412"/>
      <c r="IU7" s="412"/>
      <c r="IV7" s="412"/>
      <c r="IW7" s="412"/>
      <c r="IX7" s="412"/>
      <c r="IY7" s="412"/>
      <c r="IZ7" s="412"/>
      <c r="JA7" s="412"/>
      <c r="JB7" s="412"/>
      <c r="JC7" s="412"/>
      <c r="JD7" s="412"/>
      <c r="JE7" s="412"/>
      <c r="JF7" s="412"/>
      <c r="JG7" s="412"/>
      <c r="JH7" s="412"/>
      <c r="JI7" s="412"/>
      <c r="JJ7" s="412"/>
      <c r="JK7" s="412"/>
      <c r="JL7" s="412"/>
      <c r="JM7" s="412"/>
      <c r="JN7" s="412"/>
      <c r="JO7" s="412"/>
      <c r="JP7" s="412"/>
      <c r="JQ7" s="412"/>
      <c r="JR7" s="412"/>
      <c r="JS7" s="412"/>
      <c r="JT7" s="412"/>
      <c r="JU7" s="412"/>
      <c r="JV7" s="412"/>
      <c r="JW7" s="412"/>
      <c r="JX7" s="412"/>
      <c r="JY7" s="412"/>
      <c r="JZ7" s="412"/>
      <c r="KA7" s="412"/>
      <c r="KB7" s="412"/>
      <c r="KC7" s="412"/>
      <c r="KD7" s="412"/>
      <c r="KE7" s="412"/>
      <c r="KF7" s="412"/>
      <c r="KG7" s="412"/>
      <c r="KH7" s="412"/>
      <c r="KI7" s="412"/>
      <c r="KJ7" s="412"/>
      <c r="KK7" s="412"/>
      <c r="KL7" s="412"/>
      <c r="KM7" s="412"/>
      <c r="KN7" s="412"/>
      <c r="KO7" s="412"/>
      <c r="KP7" s="412"/>
      <c r="KQ7" s="412"/>
      <c r="KR7" s="412"/>
      <c r="KS7" s="412"/>
      <c r="KT7" s="412"/>
      <c r="KU7" s="412"/>
      <c r="KV7" s="412"/>
      <c r="KW7" s="412"/>
      <c r="KX7" s="412"/>
      <c r="KY7" s="412"/>
      <c r="KZ7" s="412"/>
      <c r="LA7" s="412"/>
      <c r="LB7" s="412"/>
      <c r="LC7" s="412"/>
      <c r="LD7" s="412"/>
      <c r="LE7" s="412"/>
      <c r="LF7" s="412"/>
      <c r="LG7" s="412"/>
      <c r="LH7" s="412"/>
      <c r="LI7" s="412"/>
      <c r="LJ7" s="412"/>
      <c r="LK7" s="412"/>
      <c r="LL7" s="412"/>
      <c r="LM7" s="412"/>
      <c r="LN7" s="412"/>
      <c r="LO7" s="412"/>
      <c r="LP7" s="412"/>
      <c r="LQ7" s="412"/>
      <c r="LR7" s="412"/>
      <c r="LS7" s="412"/>
      <c r="LT7" s="412"/>
      <c r="LU7" s="412"/>
      <c r="LV7" s="412"/>
      <c r="LW7" s="412"/>
      <c r="LX7" s="412"/>
      <c r="LY7" s="412"/>
      <c r="LZ7" s="412"/>
      <c r="MA7" s="412"/>
      <c r="MB7" s="412"/>
      <c r="MC7" s="412"/>
      <c r="MD7" s="412"/>
      <c r="ME7" s="412"/>
      <c r="MF7" s="412"/>
      <c r="MG7" s="412"/>
      <c r="MH7" s="412"/>
      <c r="MI7" s="412"/>
      <c r="MJ7" s="412"/>
      <c r="MK7" s="412"/>
      <c r="ML7" s="412"/>
      <c r="MM7" s="412"/>
      <c r="MN7" s="412"/>
      <c r="MO7" s="412"/>
      <c r="MP7" s="412"/>
      <c r="MQ7" s="412"/>
      <c r="MR7" s="412"/>
      <c r="MS7" s="412"/>
      <c r="MT7" s="412"/>
      <c r="MU7" s="412"/>
      <c r="MV7" s="412"/>
      <c r="MW7" s="412"/>
      <c r="MX7" s="412"/>
      <c r="MY7" s="412"/>
      <c r="MZ7" s="412"/>
      <c r="NA7" s="412"/>
      <c r="NB7" s="412"/>
      <c r="NC7" s="412"/>
      <c r="ND7" s="412"/>
      <c r="NE7" s="412"/>
      <c r="NF7" s="412"/>
      <c r="NG7" s="412"/>
      <c r="NH7" s="412"/>
      <c r="NI7" s="412"/>
      <c r="NJ7" s="412"/>
      <c r="NK7" s="412"/>
      <c r="NL7" s="412"/>
      <c r="NM7" s="412"/>
      <c r="NN7" s="412"/>
      <c r="NO7" s="412"/>
      <c r="NP7" s="412"/>
      <c r="NQ7" s="412"/>
      <c r="NR7" s="412"/>
      <c r="NS7" s="412"/>
      <c r="NT7" s="412"/>
      <c r="NU7" s="412"/>
      <c r="NV7" s="412"/>
      <c r="NW7" s="412"/>
      <c r="NX7" s="412"/>
      <c r="NY7" s="412"/>
      <c r="NZ7" s="412"/>
      <c r="OA7" s="412"/>
      <c r="OB7" s="412"/>
      <c r="OC7" s="412"/>
      <c r="OD7" s="412"/>
      <c r="OE7" s="412"/>
      <c r="OF7" s="412"/>
      <c r="OG7" s="412"/>
      <c r="OH7" s="412"/>
      <c r="OI7" s="412"/>
      <c r="OJ7" s="412"/>
      <c r="OK7" s="412"/>
      <c r="OL7" s="412"/>
      <c r="OM7" s="412"/>
      <c r="ON7" s="412"/>
      <c r="OO7" s="412"/>
      <c r="OP7" s="412"/>
      <c r="OQ7" s="412"/>
      <c r="OR7" s="412"/>
      <c r="OS7" s="412"/>
      <c r="OT7" s="412"/>
      <c r="OU7" s="412"/>
      <c r="OV7" s="412"/>
      <c r="OW7" s="412"/>
      <c r="OX7" s="412"/>
      <c r="OY7" s="412"/>
      <c r="OZ7" s="412"/>
      <c r="PA7" s="412"/>
      <c r="PB7" s="412"/>
      <c r="PC7" s="412"/>
      <c r="PD7" s="412"/>
      <c r="PE7" s="412"/>
      <c r="PF7" s="412"/>
      <c r="PG7" s="412"/>
      <c r="PH7" s="412"/>
      <c r="PI7" s="412"/>
      <c r="PJ7" s="412"/>
      <c r="PK7" s="412"/>
      <c r="PL7" s="412"/>
      <c r="PM7" s="412"/>
      <c r="PN7" s="412"/>
      <c r="PO7" s="412"/>
      <c r="PP7" s="412"/>
      <c r="PQ7" s="412"/>
      <c r="PR7" s="412"/>
      <c r="PS7" s="412"/>
      <c r="PT7" s="412"/>
      <c r="PU7" s="412"/>
      <c r="PV7" s="412"/>
      <c r="PW7" s="412"/>
      <c r="PX7" s="412"/>
      <c r="PY7" s="412"/>
      <c r="PZ7" s="412"/>
      <c r="QA7" s="412"/>
      <c r="QB7" s="412"/>
      <c r="QC7" s="412"/>
      <c r="QD7" s="412"/>
      <c r="QE7" s="412"/>
      <c r="QF7" s="412"/>
      <c r="QG7" s="412"/>
      <c r="QH7" s="412"/>
      <c r="QI7" s="412"/>
      <c r="QJ7" s="412"/>
      <c r="QK7" s="412"/>
      <c r="QL7" s="412"/>
      <c r="QM7" s="412"/>
      <c r="QN7" s="412"/>
      <c r="QO7" s="412"/>
      <c r="QP7" s="412"/>
      <c r="QQ7" s="412"/>
      <c r="QR7" s="412"/>
      <c r="QS7" s="412"/>
      <c r="QT7" s="412"/>
      <c r="QU7" s="412"/>
      <c r="QV7" s="412"/>
      <c r="QW7" s="412"/>
      <c r="QX7" s="412"/>
      <c r="QY7" s="412"/>
      <c r="QZ7" s="412"/>
      <c r="RA7" s="412"/>
      <c r="RB7" s="412"/>
      <c r="RC7" s="412"/>
      <c r="RD7" s="412"/>
      <c r="RE7" s="412"/>
      <c r="RF7" s="412"/>
      <c r="RG7" s="412"/>
      <c r="RH7" s="412"/>
      <c r="RI7" s="412"/>
      <c r="RJ7" s="412"/>
      <c r="RK7" s="412"/>
      <c r="RL7" s="412"/>
      <c r="RM7" s="412"/>
      <c r="RN7" s="412"/>
      <c r="RO7" s="412"/>
      <c r="RP7" s="412"/>
      <c r="RQ7" s="412"/>
      <c r="RR7" s="412"/>
      <c r="RS7" s="412"/>
      <c r="RT7" s="412"/>
      <c r="RU7" s="412"/>
      <c r="RV7" s="412"/>
      <c r="RW7" s="412"/>
      <c r="RX7" s="412"/>
      <c r="RY7" s="412"/>
      <c r="RZ7" s="412"/>
      <c r="SA7" s="412"/>
      <c r="SB7" s="412"/>
      <c r="SC7" s="412"/>
      <c r="SD7" s="412"/>
      <c r="SE7" s="412"/>
      <c r="SF7" s="412"/>
      <c r="SG7" s="412"/>
      <c r="SH7" s="412"/>
      <c r="SI7" s="412"/>
      <c r="SJ7" s="412"/>
      <c r="SK7" s="412"/>
      <c r="SL7" s="412"/>
      <c r="SM7" s="412"/>
      <c r="SN7" s="412"/>
      <c r="SO7" s="412"/>
      <c r="SP7" s="412"/>
      <c r="SQ7" s="412"/>
      <c r="SR7" s="412"/>
      <c r="SS7" s="412"/>
      <c r="ST7" s="412"/>
      <c r="SU7" s="412"/>
      <c r="SV7" s="412"/>
      <c r="SW7" s="412"/>
      <c r="SX7" s="412"/>
      <c r="SY7" s="412"/>
      <c r="SZ7" s="412"/>
      <c r="TA7" s="412"/>
      <c r="TB7" s="412"/>
      <c r="TC7" s="412"/>
      <c r="TD7" s="412"/>
      <c r="TE7" s="412"/>
      <c r="TF7" s="412"/>
      <c r="TG7" s="412"/>
      <c r="TH7" s="412"/>
      <c r="TI7" s="412"/>
      <c r="TJ7" s="412"/>
      <c r="TK7" s="412"/>
      <c r="TL7" s="412"/>
      <c r="TM7" s="412"/>
      <c r="TN7" s="412"/>
      <c r="TO7" s="412"/>
      <c r="TP7" s="412"/>
      <c r="TQ7" s="412"/>
      <c r="TR7" s="412"/>
      <c r="TS7" s="412"/>
      <c r="TT7" s="412"/>
      <c r="TU7" s="412"/>
      <c r="TV7" s="412"/>
      <c r="TW7" s="412"/>
      <c r="TX7" s="412"/>
      <c r="TY7" s="412"/>
      <c r="TZ7" s="412"/>
      <c r="UA7" s="412"/>
      <c r="UB7" s="412"/>
      <c r="UC7" s="412"/>
      <c r="UD7" s="412"/>
      <c r="UE7" s="412"/>
      <c r="UF7" s="412"/>
      <c r="UG7" s="412"/>
      <c r="UH7" s="412"/>
      <c r="UI7" s="412"/>
      <c r="UJ7" s="412"/>
      <c r="UK7" s="412"/>
      <c r="UL7" s="412"/>
      <c r="UM7" s="412"/>
      <c r="UN7" s="412"/>
      <c r="UO7" s="412"/>
      <c r="UP7" s="412"/>
      <c r="UQ7" s="412"/>
      <c r="UR7" s="412"/>
      <c r="US7" s="412"/>
      <c r="UT7" s="412"/>
      <c r="UU7" s="412"/>
      <c r="UV7" s="412"/>
      <c r="UW7" s="412"/>
      <c r="UX7" s="412"/>
      <c r="UY7" s="412"/>
      <c r="UZ7" s="412"/>
      <c r="VA7" s="412"/>
      <c r="VB7" s="412"/>
      <c r="VC7" s="412"/>
      <c r="VD7" s="412"/>
      <c r="VE7" s="412"/>
      <c r="VF7" s="412"/>
      <c r="VG7" s="412"/>
      <c r="VH7" s="412"/>
      <c r="VI7" s="412"/>
      <c r="VJ7" s="412"/>
      <c r="VK7" s="412"/>
      <c r="VL7" s="412"/>
      <c r="VM7" s="412"/>
      <c r="VN7" s="412"/>
      <c r="VO7" s="412"/>
      <c r="VP7" s="412"/>
      <c r="VQ7" s="412"/>
      <c r="VR7" s="412"/>
      <c r="VS7" s="412"/>
      <c r="VT7" s="412"/>
      <c r="VU7" s="412"/>
      <c r="VV7" s="412"/>
      <c r="VW7" s="412"/>
      <c r="VX7" s="412"/>
      <c r="VY7" s="412"/>
      <c r="VZ7" s="412"/>
      <c r="WA7" s="412"/>
      <c r="WB7" s="412"/>
      <c r="WC7" s="412"/>
      <c r="WD7" s="412"/>
      <c r="WE7" s="412"/>
      <c r="WF7" s="412"/>
      <c r="WG7" s="412"/>
      <c r="WH7" s="412"/>
      <c r="WI7" s="412"/>
      <c r="WJ7" s="412"/>
      <c r="WK7" s="412"/>
      <c r="WL7" s="412"/>
      <c r="WM7" s="412"/>
      <c r="WN7" s="412"/>
      <c r="WO7" s="412"/>
      <c r="WP7" s="412"/>
      <c r="WQ7" s="412"/>
      <c r="WR7" s="412"/>
      <c r="WS7" s="412"/>
      <c r="WT7" s="412"/>
      <c r="WU7" s="412"/>
      <c r="WV7" s="412"/>
      <c r="WW7" s="412"/>
      <c r="WX7" s="412"/>
      <c r="WY7" s="412"/>
      <c r="WZ7" s="412"/>
      <c r="XA7" s="412"/>
      <c r="XB7" s="412"/>
      <c r="XC7" s="412"/>
      <c r="XD7" s="412"/>
      <c r="XE7" s="412"/>
      <c r="XF7" s="412"/>
      <c r="XG7" s="412"/>
      <c r="XH7" s="412"/>
      <c r="XI7" s="412"/>
      <c r="XJ7" s="412"/>
      <c r="XK7" s="412"/>
      <c r="XL7" s="412"/>
      <c r="XM7" s="412"/>
      <c r="XN7" s="412"/>
      <c r="XO7" s="412"/>
      <c r="XP7" s="412"/>
      <c r="XQ7" s="412"/>
      <c r="XR7" s="412"/>
      <c r="XS7" s="412"/>
      <c r="XT7" s="412"/>
      <c r="XU7" s="412"/>
      <c r="XV7" s="412"/>
      <c r="XW7" s="412"/>
      <c r="XX7" s="412"/>
      <c r="XY7" s="412"/>
      <c r="XZ7" s="412"/>
      <c r="YA7" s="412"/>
      <c r="YB7" s="412"/>
      <c r="YC7" s="412"/>
      <c r="YD7" s="412"/>
      <c r="YE7" s="412"/>
      <c r="YF7" s="412"/>
      <c r="YG7" s="412"/>
      <c r="YH7" s="412"/>
      <c r="YI7" s="412"/>
      <c r="YJ7" s="412"/>
      <c r="YK7" s="412"/>
      <c r="YL7" s="412"/>
      <c r="YM7" s="412"/>
      <c r="YN7" s="412"/>
      <c r="YO7" s="412"/>
      <c r="YP7" s="412"/>
      <c r="YQ7" s="412"/>
      <c r="YR7" s="412"/>
      <c r="YS7" s="412"/>
      <c r="YT7" s="412"/>
      <c r="YU7" s="412"/>
      <c r="YV7" s="412"/>
      <c r="YW7" s="412"/>
      <c r="YX7" s="412"/>
      <c r="YY7" s="412"/>
      <c r="YZ7" s="412"/>
      <c r="ZA7" s="412"/>
      <c r="ZB7" s="412"/>
      <c r="ZC7" s="412"/>
      <c r="ZD7" s="412"/>
      <c r="ZE7" s="412"/>
      <c r="ZF7" s="412"/>
      <c r="ZG7" s="412"/>
      <c r="ZH7" s="412"/>
      <c r="ZI7" s="412"/>
      <c r="ZJ7" s="412"/>
      <c r="ZK7" s="412"/>
      <c r="ZL7" s="412"/>
      <c r="ZM7" s="412"/>
      <c r="ZN7" s="412"/>
      <c r="ZO7" s="412"/>
      <c r="ZP7" s="412"/>
      <c r="ZQ7" s="412"/>
      <c r="ZR7" s="412"/>
      <c r="ZS7" s="412"/>
      <c r="ZT7" s="412"/>
      <c r="ZU7" s="412"/>
      <c r="ZV7" s="412"/>
      <c r="ZW7" s="412"/>
      <c r="ZX7" s="412"/>
      <c r="ZY7" s="412"/>
      <c r="ZZ7" s="412"/>
      <c r="AAA7" s="412"/>
      <c r="AAB7" s="412"/>
      <c r="AAC7" s="412"/>
      <c r="AAD7" s="412"/>
      <c r="AAE7" s="412"/>
      <c r="AAF7" s="412"/>
      <c r="AAG7" s="412"/>
      <c r="AAH7" s="412"/>
      <c r="AAI7" s="412"/>
      <c r="AAJ7" s="412"/>
      <c r="AAK7" s="412"/>
      <c r="AAL7" s="412"/>
      <c r="AAM7" s="412"/>
      <c r="AAN7" s="412"/>
      <c r="AAO7" s="412"/>
      <c r="AAP7" s="412"/>
      <c r="AAQ7" s="412"/>
      <c r="AAR7" s="412"/>
      <c r="AAS7" s="412"/>
      <c r="AAT7" s="412"/>
      <c r="AAU7" s="412"/>
      <c r="AAV7" s="412"/>
      <c r="AAW7" s="412"/>
      <c r="AAX7" s="412"/>
      <c r="AAY7" s="412"/>
      <c r="AAZ7" s="412"/>
      <c r="ABA7" s="412"/>
      <c r="ABB7" s="412"/>
      <c r="ABC7" s="412"/>
      <c r="ABD7" s="412"/>
      <c r="ABE7" s="412"/>
      <c r="ABF7" s="412"/>
      <c r="ABG7" s="412"/>
      <c r="ABH7" s="412"/>
      <c r="ABI7" s="412"/>
      <c r="ABJ7" s="412"/>
      <c r="ABK7" s="412"/>
      <c r="ABL7" s="412"/>
      <c r="ABM7" s="412"/>
      <c r="ABN7" s="412"/>
      <c r="ABO7" s="412"/>
      <c r="ABP7" s="412"/>
      <c r="ABQ7" s="412"/>
      <c r="ABR7" s="412"/>
      <c r="ABS7" s="412"/>
      <c r="ABT7" s="412"/>
      <c r="ABU7" s="412"/>
      <c r="ABV7" s="412"/>
      <c r="ABW7" s="412"/>
      <c r="ABX7" s="412"/>
      <c r="ABY7" s="412"/>
      <c r="ABZ7" s="412"/>
      <c r="ACA7" s="412"/>
      <c r="ACB7" s="412"/>
      <c r="ACC7" s="412"/>
      <c r="ACD7" s="412"/>
      <c r="ACE7" s="412"/>
      <c r="ACF7" s="412"/>
      <c r="ACG7" s="412"/>
      <c r="ACH7" s="412"/>
      <c r="ACI7" s="412"/>
      <c r="ACJ7" s="412"/>
      <c r="ACK7" s="412"/>
      <c r="ACL7" s="412"/>
      <c r="ACM7" s="412"/>
      <c r="ACN7" s="412"/>
      <c r="ACO7" s="412"/>
      <c r="ACP7" s="412"/>
      <c r="ACQ7" s="412"/>
      <c r="ACR7" s="412"/>
      <c r="ACS7" s="412"/>
      <c r="ACT7" s="412"/>
      <c r="ACU7" s="412"/>
      <c r="ACV7" s="412"/>
      <c r="ACW7" s="412"/>
      <c r="ACX7" s="412"/>
      <c r="ACY7" s="412"/>
      <c r="ACZ7" s="412"/>
      <c r="ADA7" s="412"/>
      <c r="ADB7" s="412"/>
      <c r="ADC7" s="412"/>
      <c r="ADD7" s="412"/>
      <c r="ADE7" s="412"/>
      <c r="ADF7" s="412"/>
      <c r="ADG7" s="412"/>
      <c r="ADH7" s="412"/>
      <c r="ADI7" s="412"/>
      <c r="ADJ7" s="412"/>
      <c r="ADK7" s="412"/>
      <c r="ADL7" s="412"/>
      <c r="ADM7" s="412"/>
      <c r="ADN7" s="412"/>
      <c r="ADO7" s="412"/>
      <c r="ADP7" s="412"/>
      <c r="ADQ7" s="412"/>
      <c r="ADR7" s="412"/>
      <c r="ADS7" s="412"/>
      <c r="ADT7" s="412"/>
      <c r="ADU7" s="412"/>
      <c r="ADV7" s="412"/>
      <c r="ADW7" s="412"/>
      <c r="ADX7" s="412"/>
      <c r="ADY7" s="412"/>
      <c r="ADZ7" s="412"/>
      <c r="AEA7" s="412"/>
      <c r="AEB7" s="412"/>
      <c r="AEC7" s="412"/>
      <c r="AED7" s="412"/>
      <c r="AEE7" s="412"/>
      <c r="AEF7" s="412"/>
      <c r="AEG7" s="412"/>
      <c r="AEH7" s="412"/>
      <c r="AEI7" s="412"/>
      <c r="AEJ7" s="412"/>
      <c r="AEK7" s="412"/>
      <c r="AEL7" s="412"/>
      <c r="AEM7" s="412"/>
      <c r="AEN7" s="412"/>
      <c r="AEO7" s="412"/>
      <c r="AEP7" s="412"/>
      <c r="AEQ7" s="412"/>
      <c r="AER7" s="412"/>
      <c r="AES7" s="412"/>
      <c r="AET7" s="412"/>
      <c r="AEU7" s="412"/>
      <c r="AEV7" s="412"/>
      <c r="AEW7" s="412"/>
      <c r="AEX7" s="412"/>
      <c r="AEY7" s="412"/>
      <c r="AEZ7" s="412"/>
      <c r="AFA7" s="412"/>
      <c r="AFB7" s="412"/>
      <c r="AFC7" s="412"/>
      <c r="AFD7" s="412"/>
      <c r="AFE7" s="412"/>
      <c r="AFF7" s="412"/>
      <c r="AFG7" s="412"/>
      <c r="AFH7" s="412"/>
      <c r="AFI7" s="412"/>
      <c r="AFJ7" s="412"/>
      <c r="AFK7" s="412"/>
      <c r="AFL7" s="412"/>
      <c r="AFM7" s="412"/>
      <c r="AFN7" s="412"/>
      <c r="AFO7" s="412"/>
      <c r="AFP7" s="412"/>
      <c r="AFQ7" s="412"/>
      <c r="AFR7" s="412"/>
      <c r="AFS7" s="412"/>
      <c r="AFT7" s="412"/>
      <c r="AFU7" s="412"/>
      <c r="AFV7" s="412"/>
      <c r="AFW7" s="412"/>
      <c r="AFX7" s="412"/>
      <c r="AFY7" s="412"/>
      <c r="AFZ7" s="412"/>
      <c r="AGA7" s="412"/>
      <c r="AGB7" s="412"/>
      <c r="AGC7" s="412"/>
      <c r="AGD7" s="412"/>
      <c r="AGE7" s="412"/>
      <c r="AGF7" s="412"/>
      <c r="AGG7" s="412"/>
      <c r="AGH7" s="412"/>
      <c r="AGI7" s="412"/>
      <c r="AGJ7" s="412"/>
      <c r="AGK7" s="412"/>
      <c r="AGL7" s="412"/>
      <c r="AGM7" s="412"/>
      <c r="AGN7" s="412"/>
      <c r="AGO7" s="412"/>
      <c r="AGP7" s="412"/>
      <c r="AGQ7" s="412"/>
      <c r="AGR7" s="412"/>
      <c r="AGS7" s="412"/>
      <c r="AGT7" s="412"/>
      <c r="AGU7" s="412"/>
      <c r="AGV7" s="412"/>
      <c r="AGW7" s="412"/>
      <c r="AGX7" s="412"/>
      <c r="AGY7" s="412"/>
      <c r="AGZ7" s="412"/>
      <c r="AHA7" s="412"/>
      <c r="AHB7" s="412"/>
      <c r="AHC7" s="412"/>
      <c r="AHD7" s="412"/>
      <c r="AHE7" s="412"/>
      <c r="AHF7" s="412"/>
      <c r="AHG7" s="412"/>
      <c r="AHH7" s="412"/>
      <c r="AHI7" s="412"/>
      <c r="AHJ7" s="412"/>
      <c r="AHK7" s="412"/>
      <c r="AHL7" s="412"/>
      <c r="AHM7" s="412"/>
      <c r="AHN7" s="412"/>
      <c r="AHO7" s="412"/>
      <c r="AHP7" s="412"/>
      <c r="AHQ7" s="412"/>
      <c r="AHR7" s="412"/>
      <c r="AHS7" s="412"/>
      <c r="AHT7" s="412"/>
      <c r="AHU7" s="412"/>
      <c r="AHV7" s="412"/>
      <c r="AHW7" s="412"/>
      <c r="AHX7" s="412"/>
      <c r="AHY7" s="412"/>
      <c r="AHZ7" s="412"/>
      <c r="AIA7" s="412"/>
      <c r="AIB7" s="412"/>
      <c r="AIC7" s="412"/>
      <c r="AID7" s="412"/>
      <c r="AIE7" s="412"/>
      <c r="AIF7" s="412"/>
      <c r="AIG7" s="412"/>
      <c r="AIH7" s="412"/>
      <c r="AII7" s="412"/>
      <c r="AIJ7" s="412"/>
      <c r="AIK7" s="412"/>
      <c r="AIL7" s="412"/>
      <c r="AIM7" s="412"/>
      <c r="AIN7" s="412"/>
      <c r="AIO7" s="412"/>
      <c r="AIP7" s="412"/>
      <c r="AIQ7" s="412"/>
      <c r="AIR7" s="412"/>
      <c r="AIS7" s="412"/>
      <c r="AIT7" s="412"/>
      <c r="AIU7" s="412"/>
      <c r="AIV7" s="412"/>
      <c r="AIW7" s="412"/>
      <c r="AIX7" s="412"/>
      <c r="AIY7" s="412"/>
      <c r="AIZ7" s="412"/>
      <c r="AJA7" s="412"/>
      <c r="AJB7" s="412"/>
      <c r="AJC7" s="412"/>
      <c r="AJD7" s="412"/>
      <c r="AJE7" s="412"/>
      <c r="AJF7" s="412"/>
      <c r="AJG7" s="412"/>
      <c r="AJH7" s="412"/>
      <c r="AJI7" s="412"/>
      <c r="AJJ7" s="412"/>
      <c r="AJK7" s="412"/>
      <c r="AJL7" s="412"/>
      <c r="AJM7" s="412"/>
      <c r="AJN7" s="412"/>
      <c r="AJO7" s="412"/>
      <c r="AJP7" s="412"/>
      <c r="AJQ7" s="412"/>
      <c r="AJR7" s="412"/>
      <c r="AJS7" s="412"/>
      <c r="AJT7" s="412"/>
      <c r="AJU7" s="412"/>
      <c r="AJV7" s="412"/>
      <c r="AJW7" s="412"/>
      <c r="AJX7" s="412"/>
      <c r="AJY7" s="412"/>
      <c r="AJZ7" s="412"/>
      <c r="AKA7" s="412"/>
      <c r="AKB7" s="412"/>
      <c r="AKC7" s="412"/>
      <c r="AKD7" s="412"/>
      <c r="AKE7" s="412"/>
      <c r="AKF7" s="412"/>
      <c r="AKG7" s="412"/>
      <c r="AKH7" s="412"/>
      <c r="AKI7" s="412"/>
      <c r="AKJ7" s="412"/>
      <c r="AKK7" s="412"/>
      <c r="AKL7" s="412"/>
      <c r="AKM7" s="412"/>
      <c r="AKN7" s="412"/>
      <c r="AKO7" s="412"/>
      <c r="AKP7" s="412"/>
      <c r="AKQ7" s="412"/>
      <c r="AKR7" s="412"/>
      <c r="AKS7" s="412"/>
      <c r="AKT7" s="412"/>
      <c r="AKU7" s="412"/>
      <c r="AKV7" s="412"/>
      <c r="AKW7" s="412"/>
      <c r="AKX7" s="412"/>
      <c r="AKY7" s="412"/>
      <c r="AKZ7" s="412"/>
      <c r="ALA7" s="412"/>
      <c r="ALB7" s="412"/>
      <c r="ALC7" s="412"/>
      <c r="ALD7" s="412"/>
      <c r="ALE7" s="412"/>
      <c r="ALF7" s="412"/>
      <c r="ALG7" s="412"/>
      <c r="ALH7" s="412"/>
      <c r="ALI7" s="412"/>
      <c r="ALJ7" s="412"/>
      <c r="ALK7" s="412"/>
      <c r="ALL7" s="412"/>
      <c r="ALM7" s="412"/>
      <c r="ALN7" s="412"/>
      <c r="ALO7" s="412"/>
      <c r="ALP7" s="412"/>
      <c r="ALQ7" s="412"/>
      <c r="ALR7" s="412"/>
      <c r="ALS7" s="412"/>
      <c r="ALT7" s="412"/>
      <c r="ALU7" s="412"/>
      <c r="ALV7" s="412"/>
      <c r="ALW7" s="412"/>
      <c r="ALX7" s="412"/>
      <c r="ALY7" s="412"/>
      <c r="ALZ7" s="412"/>
      <c r="AMA7" s="412"/>
      <c r="AMB7" s="412"/>
      <c r="AMC7" s="412"/>
      <c r="AMD7" s="412"/>
      <c r="AME7" s="412"/>
      <c r="AMF7" s="412"/>
      <c r="AMG7" s="412"/>
      <c r="AMH7" s="412"/>
      <c r="AMI7" s="412"/>
      <c r="AMJ7" s="412"/>
      <c r="AMK7" s="412"/>
      <c r="AML7" s="412"/>
      <c r="AMM7" s="412"/>
      <c r="AMN7" s="412"/>
      <c r="AMO7" s="412"/>
      <c r="AMP7" s="412"/>
      <c r="AMQ7" s="412"/>
      <c r="AMR7" s="412"/>
      <c r="AMS7" s="412"/>
      <c r="AMT7" s="412"/>
      <c r="AMU7" s="412"/>
      <c r="AMV7" s="412"/>
      <c r="AMW7" s="412"/>
      <c r="AMX7" s="412"/>
      <c r="AMY7" s="412"/>
      <c r="AMZ7" s="412"/>
      <c r="ANA7" s="412"/>
      <c r="ANB7" s="412"/>
      <c r="ANC7" s="412"/>
      <c r="AND7" s="412"/>
      <c r="ANE7" s="412"/>
      <c r="ANF7" s="412"/>
      <c r="ANG7" s="412"/>
      <c r="ANH7" s="412"/>
      <c r="ANI7" s="412"/>
      <c r="ANJ7" s="412"/>
      <c r="ANK7" s="412"/>
      <c r="ANL7" s="412"/>
      <c r="ANM7" s="412"/>
      <c r="ANN7" s="412"/>
      <c r="ANO7" s="412"/>
      <c r="ANP7" s="412"/>
      <c r="ANQ7" s="412"/>
      <c r="ANR7" s="412"/>
      <c r="ANS7" s="412"/>
      <c r="ANT7" s="412"/>
      <c r="ANU7" s="412"/>
      <c r="ANV7" s="412"/>
      <c r="ANW7" s="412"/>
      <c r="ANX7" s="412"/>
      <c r="ANY7" s="412"/>
      <c r="ANZ7" s="412"/>
      <c r="AOA7" s="412"/>
      <c r="AOB7" s="412"/>
      <c r="AOC7" s="412"/>
      <c r="AOD7" s="412"/>
      <c r="AOE7" s="412"/>
      <c r="AOF7" s="412"/>
      <c r="AOG7" s="412"/>
      <c r="AOH7" s="412"/>
      <c r="AOI7" s="412"/>
      <c r="AOJ7" s="412"/>
      <c r="AOK7" s="412"/>
      <c r="AOL7" s="412"/>
      <c r="AOM7" s="412"/>
      <c r="AON7" s="412"/>
      <c r="AOO7" s="412"/>
      <c r="AOP7" s="412"/>
      <c r="AOQ7" s="412"/>
      <c r="AOR7" s="412"/>
      <c r="AOS7" s="412"/>
      <c r="AOT7" s="412"/>
      <c r="AOU7" s="412"/>
      <c r="AOV7" s="412"/>
      <c r="AOW7" s="412"/>
      <c r="AOX7" s="412"/>
      <c r="AOY7" s="412"/>
      <c r="AOZ7" s="412"/>
      <c r="APA7" s="412"/>
      <c r="APB7" s="412"/>
      <c r="APC7" s="412"/>
      <c r="APD7" s="412"/>
      <c r="APE7" s="412"/>
      <c r="APF7" s="412"/>
      <c r="APG7" s="412"/>
      <c r="APH7" s="412"/>
      <c r="API7" s="412"/>
      <c r="APJ7" s="412"/>
      <c r="APK7" s="412"/>
      <c r="APL7" s="412"/>
      <c r="APM7" s="412"/>
      <c r="APN7" s="412"/>
      <c r="APO7" s="412"/>
      <c r="APP7" s="412"/>
      <c r="APQ7" s="412"/>
      <c r="APR7" s="412"/>
      <c r="APS7" s="412"/>
      <c r="APT7" s="412"/>
      <c r="APU7" s="412"/>
      <c r="APV7" s="412"/>
      <c r="APW7" s="412"/>
      <c r="APX7" s="412"/>
      <c r="APY7" s="412"/>
      <c r="APZ7" s="412"/>
      <c r="AQA7" s="412"/>
      <c r="AQB7" s="412"/>
      <c r="AQC7" s="412"/>
      <c r="AQD7" s="412"/>
      <c r="AQE7" s="412"/>
      <c r="AQF7" s="412"/>
      <c r="AQG7" s="412"/>
      <c r="AQH7" s="412"/>
      <c r="AQI7" s="412"/>
      <c r="AQJ7" s="412"/>
      <c r="AQK7" s="412"/>
      <c r="AQL7" s="412"/>
      <c r="AQM7" s="412"/>
      <c r="AQN7" s="412"/>
      <c r="AQO7" s="412"/>
      <c r="AQP7" s="412"/>
      <c r="AQQ7" s="412"/>
      <c r="AQR7" s="412"/>
      <c r="AQS7" s="412"/>
      <c r="AQT7" s="412"/>
      <c r="AQU7" s="412"/>
      <c r="AQV7" s="412"/>
      <c r="AQW7" s="412"/>
      <c r="AQX7" s="412"/>
      <c r="AQY7" s="412"/>
      <c r="AQZ7" s="412"/>
      <c r="ARA7" s="412"/>
      <c r="ARB7" s="412"/>
      <c r="ARC7" s="412"/>
      <c r="ARD7" s="412"/>
      <c r="ARE7" s="412"/>
      <c r="ARF7" s="412"/>
      <c r="ARG7" s="412"/>
      <c r="ARH7" s="412"/>
      <c r="ARI7" s="412"/>
      <c r="ARJ7" s="412"/>
      <c r="ARK7" s="412"/>
      <c r="ARL7" s="412"/>
      <c r="ARM7" s="412"/>
      <c r="ARN7" s="412"/>
      <c r="ARO7" s="412"/>
      <c r="ARP7" s="412"/>
      <c r="ARQ7" s="412"/>
      <c r="ARR7" s="412"/>
      <c r="ARS7" s="412"/>
      <c r="ART7" s="412"/>
      <c r="ARU7" s="412"/>
      <c r="ARV7" s="412"/>
      <c r="ARW7" s="412"/>
      <c r="ARX7" s="412"/>
      <c r="ARY7" s="412"/>
      <c r="ARZ7" s="412"/>
      <c r="ASA7" s="412"/>
      <c r="ASB7" s="412"/>
      <c r="ASC7" s="412"/>
      <c r="ASD7" s="412"/>
      <c r="ASE7" s="412"/>
      <c r="ASF7" s="412"/>
      <c r="ASG7" s="412"/>
      <c r="ASH7" s="412"/>
      <c r="ASI7" s="412"/>
      <c r="ASJ7" s="412"/>
      <c r="ASK7" s="412"/>
      <c r="ASL7" s="412"/>
      <c r="ASM7" s="412"/>
      <c r="ASN7" s="412"/>
      <c r="ASO7" s="412"/>
      <c r="ASP7" s="412"/>
      <c r="ASQ7" s="412"/>
      <c r="ASR7" s="412"/>
      <c r="ASS7" s="412"/>
      <c r="AST7" s="412"/>
      <c r="ASU7" s="412"/>
      <c r="ASV7" s="412"/>
      <c r="ASW7" s="412"/>
      <c r="ASX7" s="412"/>
      <c r="ASY7" s="412"/>
      <c r="ASZ7" s="412"/>
      <c r="ATA7" s="412"/>
      <c r="ATB7" s="412"/>
      <c r="ATC7" s="412"/>
      <c r="ATD7" s="412"/>
      <c r="ATE7" s="412"/>
      <c r="ATF7" s="412"/>
      <c r="ATG7" s="412"/>
      <c r="ATH7" s="412"/>
      <c r="ATI7" s="412"/>
      <c r="ATJ7" s="412"/>
      <c r="ATK7" s="412"/>
      <c r="ATL7" s="412"/>
      <c r="ATM7" s="412"/>
      <c r="ATN7" s="412"/>
      <c r="ATO7" s="412"/>
      <c r="ATP7" s="412"/>
      <c r="ATQ7" s="412"/>
      <c r="ATR7" s="412"/>
      <c r="ATS7" s="412"/>
      <c r="ATT7" s="412"/>
      <c r="ATU7" s="412"/>
      <c r="ATV7" s="412"/>
      <c r="ATW7" s="412"/>
      <c r="ATX7" s="412"/>
      <c r="ATY7" s="412"/>
      <c r="ATZ7" s="412"/>
      <c r="AUA7" s="412"/>
      <c r="AUB7" s="412"/>
      <c r="AUC7" s="412"/>
      <c r="AUD7" s="412"/>
      <c r="AUE7" s="412"/>
      <c r="AUF7" s="412"/>
      <c r="AUG7" s="412"/>
      <c r="AUH7" s="412"/>
      <c r="AUI7" s="412"/>
      <c r="AUJ7" s="412"/>
      <c r="AUK7" s="412"/>
      <c r="AUL7" s="412"/>
      <c r="AUM7" s="412"/>
      <c r="AUN7" s="412"/>
      <c r="AUO7" s="412"/>
      <c r="AUP7" s="412"/>
      <c r="AUQ7" s="412"/>
      <c r="AUR7" s="412"/>
      <c r="AUS7" s="412"/>
      <c r="AUT7" s="412"/>
      <c r="AUU7" s="412"/>
      <c r="AUV7" s="412"/>
      <c r="AUW7" s="412"/>
      <c r="AUX7" s="412"/>
      <c r="AUY7" s="412"/>
      <c r="AUZ7" s="412"/>
      <c r="AVA7" s="412"/>
      <c r="AVB7" s="412"/>
      <c r="AVC7" s="412"/>
      <c r="AVD7" s="412"/>
      <c r="AVE7" s="412"/>
      <c r="AVF7" s="412"/>
      <c r="AVG7" s="412"/>
      <c r="AVH7" s="412"/>
      <c r="AVI7" s="412"/>
      <c r="AVJ7" s="412"/>
      <c r="AVK7" s="412"/>
      <c r="AVL7" s="412"/>
      <c r="AVM7" s="412"/>
      <c r="AVN7" s="412"/>
      <c r="AVO7" s="412"/>
      <c r="AVP7" s="412"/>
      <c r="AVQ7" s="412"/>
      <c r="AVR7" s="412"/>
      <c r="AVS7" s="412"/>
      <c r="AVT7" s="412"/>
      <c r="AVU7" s="412"/>
      <c r="AVV7" s="412"/>
      <c r="AVW7" s="412"/>
      <c r="AVX7" s="412"/>
      <c r="AVY7" s="412"/>
      <c r="AVZ7" s="412"/>
      <c r="AWA7" s="412"/>
      <c r="AWB7" s="412"/>
      <c r="AWC7" s="412"/>
      <c r="AWD7" s="412"/>
      <c r="AWE7" s="412"/>
      <c r="AWF7" s="412"/>
      <c r="AWG7" s="412"/>
      <c r="AWH7" s="412"/>
      <c r="AWI7" s="412"/>
      <c r="AWJ7" s="412"/>
      <c r="AWK7" s="412"/>
      <c r="AWL7" s="412"/>
      <c r="AWM7" s="412"/>
      <c r="AWN7" s="412"/>
      <c r="AWO7" s="412"/>
      <c r="AWP7" s="412"/>
      <c r="AWQ7" s="412"/>
      <c r="AWR7" s="412"/>
      <c r="AWS7" s="412"/>
      <c r="AWT7" s="412"/>
      <c r="AWU7" s="412"/>
      <c r="AWV7" s="412"/>
      <c r="AWW7" s="412"/>
      <c r="AWX7" s="412"/>
      <c r="AWY7" s="412"/>
      <c r="AWZ7" s="412"/>
      <c r="AXA7" s="412"/>
      <c r="AXB7" s="412"/>
      <c r="AXC7" s="412"/>
      <c r="AXD7" s="412"/>
      <c r="AXE7" s="412"/>
      <c r="AXF7" s="412"/>
      <c r="AXG7" s="412"/>
      <c r="AXH7" s="412"/>
      <c r="AXI7" s="412"/>
      <c r="AXJ7" s="412"/>
      <c r="AXK7" s="412"/>
      <c r="AXL7" s="412"/>
      <c r="AXM7" s="412"/>
      <c r="AXN7" s="412"/>
      <c r="AXO7" s="412"/>
      <c r="AXP7" s="412"/>
      <c r="AXQ7" s="412"/>
      <c r="AXR7" s="412"/>
      <c r="AXS7" s="412"/>
      <c r="AXT7" s="412"/>
      <c r="AXU7" s="412"/>
      <c r="AXV7" s="412"/>
      <c r="AXW7" s="412"/>
      <c r="AXX7" s="412"/>
      <c r="AXY7" s="412"/>
      <c r="AXZ7" s="412"/>
      <c r="AYA7" s="412"/>
      <c r="AYB7" s="412"/>
      <c r="AYC7" s="412"/>
      <c r="AYD7" s="412"/>
      <c r="AYE7" s="412"/>
      <c r="AYF7" s="412"/>
      <c r="AYG7" s="412"/>
      <c r="AYH7" s="412"/>
      <c r="AYI7" s="412"/>
      <c r="AYJ7" s="412"/>
      <c r="AYK7" s="412"/>
      <c r="AYL7" s="412"/>
      <c r="AYM7" s="412"/>
      <c r="AYN7" s="412"/>
      <c r="AYO7" s="412"/>
      <c r="AYP7" s="412"/>
      <c r="AYQ7" s="412"/>
      <c r="AYR7" s="412"/>
      <c r="AYS7" s="412"/>
      <c r="AYT7" s="412"/>
      <c r="AYU7" s="412"/>
      <c r="AYV7" s="412"/>
      <c r="AYW7" s="412"/>
      <c r="AYX7" s="412"/>
      <c r="AYY7" s="412"/>
      <c r="AYZ7" s="412"/>
      <c r="AZA7" s="412"/>
      <c r="AZB7" s="412"/>
      <c r="AZC7" s="412"/>
      <c r="AZD7" s="412"/>
      <c r="AZE7" s="412"/>
      <c r="AZF7" s="412"/>
      <c r="AZG7" s="412"/>
      <c r="AZH7" s="412"/>
      <c r="AZI7" s="412"/>
      <c r="AZJ7" s="412"/>
      <c r="AZK7" s="412"/>
      <c r="AZL7" s="412"/>
      <c r="AZM7" s="412"/>
      <c r="AZN7" s="412"/>
      <c r="AZO7" s="412"/>
      <c r="AZP7" s="412"/>
      <c r="AZQ7" s="412"/>
      <c r="AZR7" s="412"/>
      <c r="AZS7" s="412"/>
      <c r="AZT7" s="412"/>
      <c r="AZU7" s="412"/>
      <c r="AZV7" s="412"/>
      <c r="AZW7" s="412"/>
      <c r="AZX7" s="412"/>
      <c r="AZY7" s="412"/>
      <c r="AZZ7" s="412"/>
      <c r="BAA7" s="412"/>
      <c r="BAB7" s="412"/>
      <c r="BAC7" s="412"/>
      <c r="BAD7" s="412"/>
      <c r="BAE7" s="412"/>
      <c r="BAF7" s="412"/>
      <c r="BAG7" s="412"/>
      <c r="BAH7" s="412"/>
      <c r="BAI7" s="412"/>
      <c r="BAJ7" s="412"/>
      <c r="BAK7" s="412"/>
      <c r="BAL7" s="412"/>
      <c r="BAM7" s="412"/>
      <c r="BAN7" s="412"/>
      <c r="BAO7" s="412"/>
      <c r="BAP7" s="412"/>
      <c r="BAQ7" s="412"/>
      <c r="BAR7" s="412"/>
      <c r="BAS7" s="412"/>
      <c r="BAT7" s="412"/>
      <c r="BAU7" s="412"/>
      <c r="BAV7" s="412"/>
      <c r="BAW7" s="412"/>
      <c r="BAX7" s="412"/>
      <c r="BAY7" s="412"/>
      <c r="BAZ7" s="412"/>
      <c r="BBA7" s="412"/>
      <c r="BBB7" s="412"/>
      <c r="BBC7" s="412"/>
      <c r="BBD7" s="412"/>
      <c r="BBE7" s="412"/>
      <c r="BBF7" s="412"/>
      <c r="BBG7" s="412"/>
      <c r="BBH7" s="412"/>
      <c r="BBI7" s="412"/>
      <c r="BBJ7" s="412"/>
      <c r="BBK7" s="412"/>
      <c r="BBL7" s="412"/>
      <c r="BBM7" s="412"/>
      <c r="BBN7" s="412"/>
      <c r="BBO7" s="412"/>
      <c r="BBP7" s="412"/>
      <c r="BBQ7" s="412"/>
      <c r="BBR7" s="412"/>
      <c r="BBS7" s="412"/>
      <c r="BBT7" s="412"/>
      <c r="BBU7" s="412"/>
      <c r="BBV7" s="412"/>
      <c r="BBW7" s="412"/>
      <c r="BBX7" s="412"/>
      <c r="BBY7" s="412"/>
      <c r="BBZ7" s="412"/>
      <c r="BCA7" s="412"/>
      <c r="BCB7" s="412"/>
      <c r="BCC7" s="412"/>
      <c r="BCD7" s="412"/>
      <c r="BCE7" s="412"/>
      <c r="BCF7" s="412"/>
      <c r="BCG7" s="412"/>
      <c r="BCH7" s="412"/>
      <c r="BCI7" s="412"/>
      <c r="BCJ7" s="412"/>
      <c r="BCK7" s="412"/>
      <c r="BCL7" s="412"/>
      <c r="BCM7" s="412"/>
      <c r="BCN7" s="412"/>
      <c r="BCO7" s="412"/>
      <c r="BCP7" s="412"/>
      <c r="BCQ7" s="412"/>
      <c r="BCR7" s="412"/>
      <c r="BCS7" s="412"/>
      <c r="BCT7" s="412"/>
      <c r="BCU7" s="412"/>
      <c r="BCV7" s="412"/>
      <c r="BCW7" s="412"/>
      <c r="BCX7" s="412"/>
      <c r="BCY7" s="412"/>
      <c r="BCZ7" s="412"/>
      <c r="BDA7" s="412"/>
      <c r="BDB7" s="412"/>
      <c r="BDC7" s="412"/>
      <c r="BDD7" s="412"/>
      <c r="BDE7" s="412"/>
      <c r="BDF7" s="412"/>
      <c r="BDG7" s="412"/>
      <c r="BDH7" s="412"/>
      <c r="BDI7" s="412"/>
      <c r="BDJ7" s="412"/>
      <c r="BDK7" s="412"/>
      <c r="BDL7" s="412"/>
      <c r="BDM7" s="412"/>
      <c r="BDN7" s="412"/>
      <c r="BDO7" s="412"/>
      <c r="BDP7" s="412"/>
      <c r="BDQ7" s="412"/>
      <c r="BDR7" s="412"/>
      <c r="BDS7" s="412"/>
      <c r="BDT7" s="412"/>
      <c r="BDU7" s="412"/>
      <c r="BDV7" s="412"/>
      <c r="BDW7" s="412"/>
      <c r="BDX7" s="412"/>
      <c r="BDY7" s="412"/>
      <c r="BDZ7" s="412"/>
      <c r="BEA7" s="412"/>
      <c r="BEB7" s="412"/>
      <c r="BEC7" s="412"/>
      <c r="BED7" s="412"/>
      <c r="BEE7" s="412"/>
      <c r="BEF7" s="412"/>
      <c r="BEG7" s="412"/>
      <c r="BEH7" s="412"/>
      <c r="BEI7" s="412"/>
      <c r="BEJ7" s="412"/>
      <c r="BEK7" s="412"/>
      <c r="BEL7" s="412"/>
      <c r="BEM7" s="412"/>
      <c r="BEN7" s="412"/>
      <c r="BEO7" s="412"/>
      <c r="BEP7" s="412"/>
      <c r="BEQ7" s="412"/>
      <c r="BER7" s="412"/>
      <c r="BES7" s="412"/>
      <c r="BET7" s="412"/>
      <c r="BEU7" s="412"/>
      <c r="BEV7" s="412"/>
      <c r="BEW7" s="412"/>
      <c r="BEX7" s="412"/>
      <c r="BEY7" s="412"/>
      <c r="BEZ7" s="412"/>
      <c r="BFA7" s="412"/>
      <c r="BFB7" s="412"/>
      <c r="BFC7" s="412"/>
      <c r="BFD7" s="412"/>
      <c r="BFE7" s="412"/>
      <c r="BFF7" s="412"/>
      <c r="BFG7" s="412"/>
      <c r="BFH7" s="412"/>
      <c r="BFI7" s="412"/>
      <c r="BFJ7" s="412"/>
      <c r="BFK7" s="412"/>
      <c r="BFL7" s="412"/>
      <c r="BFM7" s="412"/>
      <c r="BFN7" s="412"/>
      <c r="BFO7" s="412"/>
      <c r="BFP7" s="412"/>
      <c r="BFQ7" s="412"/>
      <c r="BFR7" s="412"/>
      <c r="BFS7" s="412"/>
      <c r="BFT7" s="412"/>
      <c r="BFU7" s="412"/>
      <c r="BFV7" s="412"/>
      <c r="BFW7" s="412"/>
      <c r="BFX7" s="412"/>
      <c r="BFY7" s="412"/>
      <c r="BFZ7" s="412"/>
      <c r="BGA7" s="412"/>
      <c r="BGB7" s="412"/>
      <c r="BGC7" s="412"/>
      <c r="BGD7" s="412"/>
      <c r="BGE7" s="412"/>
      <c r="BGF7" s="412"/>
      <c r="BGG7" s="412"/>
      <c r="BGH7" s="412"/>
      <c r="BGI7" s="412"/>
      <c r="BGJ7" s="412"/>
      <c r="BGK7" s="412"/>
      <c r="BGL7" s="412"/>
      <c r="BGM7" s="412"/>
      <c r="BGN7" s="412"/>
      <c r="BGO7" s="412"/>
      <c r="BGP7" s="412"/>
      <c r="BGQ7" s="412"/>
      <c r="BGR7" s="412"/>
      <c r="BGS7" s="412"/>
      <c r="BGT7" s="412"/>
      <c r="BGU7" s="412"/>
      <c r="BGV7" s="412"/>
      <c r="BGW7" s="412"/>
      <c r="BGX7" s="412"/>
      <c r="BGY7" s="412"/>
      <c r="BGZ7" s="412"/>
      <c r="BHA7" s="412"/>
      <c r="BHB7" s="412"/>
      <c r="BHC7" s="412"/>
      <c r="BHD7" s="412"/>
      <c r="BHE7" s="412"/>
      <c r="BHF7" s="412"/>
      <c r="BHG7" s="412"/>
      <c r="BHH7" s="412"/>
      <c r="BHI7" s="412"/>
      <c r="BHJ7" s="412"/>
      <c r="BHK7" s="412"/>
      <c r="BHL7" s="412"/>
      <c r="BHM7" s="412"/>
      <c r="BHN7" s="412"/>
      <c r="BHO7" s="412"/>
      <c r="BHP7" s="412"/>
      <c r="BHQ7" s="412"/>
      <c r="BHR7" s="412"/>
      <c r="BHS7" s="412"/>
      <c r="BHT7" s="412"/>
      <c r="BHU7" s="412"/>
      <c r="BHV7" s="412"/>
      <c r="BHW7" s="412"/>
      <c r="BHX7" s="412"/>
      <c r="BHY7" s="412"/>
      <c r="BHZ7" s="412"/>
      <c r="BIA7" s="412"/>
      <c r="BIB7" s="412"/>
      <c r="BIC7" s="412"/>
      <c r="BID7" s="412"/>
      <c r="BIE7" s="412"/>
      <c r="BIF7" s="412"/>
      <c r="BIG7" s="412"/>
      <c r="BIH7" s="412"/>
      <c r="BII7" s="412"/>
      <c r="BIJ7" s="412"/>
      <c r="BIK7" s="412"/>
      <c r="BIL7" s="412"/>
      <c r="BIM7" s="412"/>
      <c r="BIN7" s="412"/>
      <c r="BIO7" s="412"/>
      <c r="BIP7" s="412"/>
      <c r="BIQ7" s="412"/>
      <c r="BIR7" s="412"/>
      <c r="BIS7" s="412"/>
      <c r="BIT7" s="412"/>
      <c r="BIU7" s="412"/>
      <c r="BIV7" s="412"/>
      <c r="BIW7" s="412"/>
      <c r="BIX7" s="412"/>
      <c r="BIY7" s="412"/>
      <c r="BIZ7" s="412"/>
      <c r="BJA7" s="412"/>
      <c r="BJB7" s="412"/>
      <c r="BJC7" s="412"/>
      <c r="BJD7" s="412"/>
      <c r="BJE7" s="412"/>
      <c r="BJF7" s="412"/>
      <c r="BJG7" s="412"/>
      <c r="BJH7" s="412"/>
      <c r="BJI7" s="412"/>
      <c r="BJJ7" s="412"/>
      <c r="BJK7" s="412"/>
      <c r="BJL7" s="412"/>
      <c r="BJM7" s="412"/>
      <c r="BJN7" s="412"/>
      <c r="BJO7" s="412"/>
      <c r="BJP7" s="412"/>
      <c r="BJQ7" s="412"/>
      <c r="BJR7" s="412"/>
      <c r="BJS7" s="412"/>
      <c r="BJT7" s="412"/>
      <c r="BJU7" s="412"/>
      <c r="BJV7" s="412"/>
      <c r="BJW7" s="412"/>
      <c r="BJX7" s="412"/>
      <c r="BJY7" s="412"/>
      <c r="BJZ7" s="412"/>
      <c r="BKA7" s="412"/>
      <c r="BKB7" s="412"/>
      <c r="BKC7" s="412"/>
      <c r="BKD7" s="412"/>
      <c r="BKE7" s="412"/>
      <c r="BKF7" s="412"/>
      <c r="BKG7" s="412"/>
      <c r="BKH7" s="412"/>
      <c r="BKI7" s="412"/>
      <c r="BKJ7" s="412"/>
      <c r="BKK7" s="412"/>
      <c r="BKL7" s="412"/>
      <c r="BKM7" s="412"/>
      <c r="BKN7" s="412"/>
      <c r="BKO7" s="412"/>
      <c r="BKP7" s="412"/>
      <c r="BKQ7" s="412"/>
      <c r="BKR7" s="412"/>
      <c r="BKS7" s="412"/>
      <c r="BKT7" s="412"/>
      <c r="BKU7" s="412"/>
      <c r="BKV7" s="412"/>
      <c r="BKW7" s="412"/>
      <c r="BKX7" s="412"/>
      <c r="BKY7" s="412"/>
      <c r="BKZ7" s="412"/>
      <c r="BLA7" s="412"/>
      <c r="BLB7" s="412"/>
      <c r="BLC7" s="412"/>
      <c r="BLD7" s="412"/>
      <c r="BLE7" s="412"/>
      <c r="BLF7" s="412"/>
      <c r="BLG7" s="412"/>
      <c r="BLH7" s="412"/>
      <c r="BLI7" s="412"/>
      <c r="BLJ7" s="412"/>
      <c r="BLK7" s="412"/>
      <c r="BLL7" s="412"/>
      <c r="BLM7" s="412"/>
      <c r="BLN7" s="412"/>
      <c r="BLO7" s="412"/>
      <c r="BLP7" s="412"/>
      <c r="BLQ7" s="412"/>
      <c r="BLR7" s="412"/>
      <c r="BLS7" s="412"/>
      <c r="BLT7" s="412"/>
      <c r="BLU7" s="412"/>
      <c r="BLV7" s="412"/>
      <c r="BLW7" s="412"/>
      <c r="BLX7" s="412"/>
      <c r="BLY7" s="412"/>
      <c r="BLZ7" s="412"/>
      <c r="BMA7" s="412"/>
      <c r="BMB7" s="412"/>
      <c r="BMC7" s="412"/>
      <c r="BMD7" s="412"/>
      <c r="BME7" s="412"/>
      <c r="BMF7" s="412"/>
      <c r="BMG7" s="412"/>
      <c r="BMH7" s="412"/>
      <c r="BMI7" s="412"/>
      <c r="BMJ7" s="412"/>
      <c r="BMK7" s="412"/>
      <c r="BML7" s="412"/>
      <c r="BMM7" s="412"/>
      <c r="BMN7" s="412"/>
      <c r="BMO7" s="412"/>
      <c r="BMP7" s="412"/>
      <c r="BMQ7" s="412"/>
      <c r="BMR7" s="412"/>
      <c r="BMS7" s="412"/>
      <c r="BMT7" s="412"/>
      <c r="BMU7" s="412"/>
      <c r="BMV7" s="412"/>
      <c r="BMW7" s="412"/>
      <c r="BMX7" s="412"/>
      <c r="BMY7" s="412"/>
      <c r="BMZ7" s="412"/>
      <c r="BNA7" s="412"/>
      <c r="BNB7" s="412"/>
      <c r="BNC7" s="412"/>
      <c r="BND7" s="412"/>
      <c r="BNE7" s="412"/>
      <c r="BNF7" s="412"/>
      <c r="BNG7" s="412"/>
      <c r="BNH7" s="412"/>
      <c r="BNI7" s="412"/>
      <c r="BNJ7" s="412"/>
      <c r="BNK7" s="412"/>
      <c r="BNL7" s="412"/>
      <c r="BNM7" s="412"/>
      <c r="BNN7" s="412"/>
      <c r="BNO7" s="412"/>
      <c r="BNP7" s="412"/>
      <c r="BNQ7" s="412"/>
      <c r="BNR7" s="412"/>
      <c r="BNS7" s="412"/>
      <c r="BNT7" s="412"/>
      <c r="BNU7" s="412"/>
      <c r="BNV7" s="412"/>
      <c r="BNW7" s="412"/>
      <c r="BNX7" s="412"/>
      <c r="BNY7" s="412"/>
      <c r="BNZ7" s="412"/>
      <c r="BOA7" s="412"/>
      <c r="BOB7" s="412"/>
      <c r="BOC7" s="412"/>
      <c r="BOD7" s="412"/>
      <c r="BOE7" s="412"/>
      <c r="BOF7" s="412"/>
      <c r="BOG7" s="412"/>
      <c r="BOH7" s="412"/>
      <c r="BOI7" s="412"/>
      <c r="BOJ7" s="412"/>
      <c r="BOK7" s="412"/>
      <c r="BOL7" s="412"/>
      <c r="BOM7" s="412"/>
      <c r="BON7" s="412"/>
      <c r="BOO7" s="412"/>
      <c r="BOP7" s="412"/>
      <c r="BOQ7" s="412"/>
      <c r="BOR7" s="412"/>
      <c r="BOS7" s="412"/>
      <c r="BOT7" s="412"/>
      <c r="BOU7" s="412"/>
      <c r="BOV7" s="412"/>
      <c r="BOW7" s="412"/>
      <c r="BOX7" s="412"/>
      <c r="BOY7" s="412"/>
      <c r="BOZ7" s="412"/>
      <c r="BPA7" s="412"/>
      <c r="BPB7" s="412"/>
      <c r="BPC7" s="412"/>
      <c r="BPD7" s="412"/>
      <c r="BPE7" s="412"/>
      <c r="BPF7" s="412"/>
      <c r="BPG7" s="412"/>
      <c r="BPH7" s="412"/>
      <c r="BPI7" s="412"/>
      <c r="BPJ7" s="412"/>
      <c r="BPK7" s="412"/>
      <c r="BPL7" s="412"/>
      <c r="BPM7" s="412"/>
      <c r="BPN7" s="412"/>
      <c r="BPO7" s="412"/>
      <c r="BPP7" s="412"/>
      <c r="BPQ7" s="412"/>
      <c r="BPR7" s="412"/>
      <c r="BPS7" s="412"/>
      <c r="BPT7" s="412"/>
      <c r="BPU7" s="412"/>
      <c r="BPV7" s="412"/>
      <c r="BPW7" s="412"/>
      <c r="BPX7" s="412"/>
      <c r="BPY7" s="412"/>
      <c r="BPZ7" s="412"/>
      <c r="BQA7" s="412"/>
      <c r="BQB7" s="412"/>
      <c r="BQC7" s="412"/>
      <c r="BQD7" s="412"/>
      <c r="BQE7" s="412"/>
      <c r="BQF7" s="412"/>
      <c r="BQG7" s="412"/>
      <c r="BQH7" s="412"/>
      <c r="BQI7" s="412"/>
      <c r="BQJ7" s="412"/>
      <c r="BQK7" s="412"/>
      <c r="BQL7" s="412"/>
      <c r="BQM7" s="412"/>
      <c r="BQN7" s="412"/>
      <c r="BQO7" s="412"/>
      <c r="BQP7" s="412"/>
      <c r="BQQ7" s="412"/>
      <c r="BQR7" s="412"/>
      <c r="BQS7" s="412"/>
      <c r="BQT7" s="412"/>
      <c r="BQU7" s="412"/>
      <c r="BQV7" s="412"/>
      <c r="BQW7" s="412"/>
      <c r="BQX7" s="412"/>
      <c r="BQY7" s="412"/>
      <c r="BQZ7" s="412"/>
      <c r="BRA7" s="412"/>
      <c r="BRB7" s="412"/>
      <c r="BRC7" s="412"/>
      <c r="BRD7" s="412"/>
      <c r="BRE7" s="412"/>
      <c r="BRF7" s="412"/>
      <c r="BRG7" s="412"/>
      <c r="BRH7" s="412"/>
      <c r="BRI7" s="412"/>
      <c r="BRJ7" s="412"/>
      <c r="BRK7" s="412"/>
      <c r="BRL7" s="412"/>
      <c r="BRM7" s="412"/>
      <c r="BRN7" s="412"/>
      <c r="BRO7" s="412"/>
      <c r="BRP7" s="412"/>
      <c r="BRQ7" s="412"/>
      <c r="BRR7" s="412"/>
      <c r="BRS7" s="412"/>
      <c r="BRT7" s="412"/>
      <c r="BRU7" s="412"/>
      <c r="BRV7" s="412"/>
      <c r="BRW7" s="412"/>
      <c r="BRX7" s="412"/>
      <c r="BRY7" s="412"/>
      <c r="BRZ7" s="412"/>
      <c r="BSA7" s="412"/>
      <c r="BSB7" s="412"/>
      <c r="BSC7" s="412"/>
      <c r="BSD7" s="412"/>
      <c r="BSE7" s="412"/>
      <c r="BSF7" s="412"/>
      <c r="BSG7" s="412"/>
      <c r="BSH7" s="412"/>
      <c r="BSI7" s="412"/>
      <c r="BSJ7" s="412"/>
      <c r="BSK7" s="412"/>
      <c r="BSL7" s="412"/>
      <c r="BSM7" s="412"/>
      <c r="BSN7" s="412"/>
      <c r="BSO7" s="412"/>
      <c r="BSP7" s="412"/>
      <c r="BSQ7" s="412"/>
      <c r="BSR7" s="412"/>
      <c r="BSS7" s="412"/>
      <c r="BST7" s="412"/>
      <c r="BSU7" s="412"/>
      <c r="BSV7" s="412"/>
      <c r="BSW7" s="412"/>
      <c r="BSX7" s="412"/>
      <c r="BSY7" s="412"/>
      <c r="BSZ7" s="412"/>
      <c r="BTA7" s="412"/>
      <c r="BTB7" s="412"/>
      <c r="BTC7" s="412"/>
      <c r="BTD7" s="412"/>
      <c r="BTE7" s="412"/>
      <c r="BTF7" s="412"/>
      <c r="BTG7" s="412"/>
      <c r="BTH7" s="412"/>
      <c r="BTI7" s="412"/>
    </row>
    <row r="8" spans="1:1881" s="4" customFormat="1" ht="51" customHeight="1" thickBot="1" x14ac:dyDescent="0.3">
      <c r="A8" s="189">
        <v>500</v>
      </c>
      <c r="B8" s="151" t="s">
        <v>62</v>
      </c>
      <c r="C8" s="183" t="s">
        <v>136</v>
      </c>
      <c r="D8" s="166" t="s">
        <v>137</v>
      </c>
      <c r="E8" s="32" t="e">
        <f>HLOOKUP($D$2,'2019 Data(H)'!$C$1:$CG$300,150,FALSE)</f>
        <v>#N/A</v>
      </c>
      <c r="F8" s="647"/>
      <c r="G8" s="413">
        <f>IF(F8&lt;0,"Note: Number is normally positive.",)</f>
        <v>0</v>
      </c>
      <c r="H8" s="17"/>
      <c r="I8" s="150"/>
      <c r="J8" s="368"/>
      <c r="K8" s="412"/>
      <c r="L8" s="865" t="s">
        <v>1106</v>
      </c>
      <c r="M8" s="633" t="s">
        <v>1098</v>
      </c>
      <c r="N8" s="656"/>
      <c r="O8" s="412"/>
      <c r="P8" s="412"/>
      <c r="Q8" s="412"/>
      <c r="R8" s="412"/>
      <c r="S8" s="412"/>
      <c r="T8" s="412"/>
      <c r="U8" s="412"/>
      <c r="V8" s="412"/>
      <c r="W8" s="412"/>
      <c r="X8" s="412"/>
      <c r="Y8" s="412"/>
      <c r="Z8" s="412"/>
      <c r="AA8" s="412"/>
      <c r="AB8" s="412"/>
      <c r="AC8" s="412"/>
      <c r="AD8" s="412"/>
      <c r="AE8" s="412"/>
      <c r="AF8" s="412"/>
      <c r="AG8" s="412"/>
      <c r="AH8" s="412"/>
      <c r="AI8" s="412"/>
      <c r="AJ8" s="412"/>
      <c r="AK8" s="412"/>
      <c r="AL8" s="412"/>
      <c r="AM8" s="412"/>
      <c r="AN8" s="412"/>
      <c r="AO8" s="412"/>
      <c r="AP8" s="412"/>
      <c r="AQ8" s="412"/>
      <c r="AR8" s="412"/>
      <c r="AS8" s="412"/>
      <c r="AT8" s="412"/>
      <c r="AU8" s="412"/>
      <c r="AV8" s="412"/>
      <c r="AW8" s="412"/>
      <c r="AX8" s="412"/>
      <c r="AY8" s="412"/>
      <c r="AZ8" s="412"/>
      <c r="BA8" s="412"/>
      <c r="BB8" s="412"/>
      <c r="BC8" s="412"/>
      <c r="BD8" s="412"/>
      <c r="BE8" s="412"/>
      <c r="BF8" s="412"/>
      <c r="BG8" s="412"/>
      <c r="BH8" s="412"/>
      <c r="BI8" s="412"/>
      <c r="BJ8" s="412"/>
      <c r="BK8" s="412"/>
      <c r="BL8" s="412"/>
      <c r="BM8" s="412"/>
      <c r="BN8" s="412"/>
      <c r="BO8" s="412"/>
      <c r="BP8" s="412"/>
      <c r="BQ8" s="412"/>
      <c r="BR8" s="412"/>
      <c r="BS8" s="412"/>
      <c r="BT8" s="412"/>
      <c r="BU8" s="412"/>
      <c r="BV8" s="412"/>
      <c r="BW8" s="412"/>
      <c r="BX8" s="412"/>
      <c r="BY8" s="412"/>
      <c r="BZ8" s="412"/>
      <c r="CA8" s="412"/>
      <c r="CB8" s="412"/>
      <c r="CC8" s="412"/>
      <c r="CD8" s="412"/>
      <c r="CE8" s="412"/>
      <c r="CF8" s="412"/>
      <c r="CG8" s="412"/>
      <c r="CH8" s="412"/>
      <c r="CI8" s="412"/>
      <c r="CJ8" s="412"/>
      <c r="CK8" s="412"/>
      <c r="CL8" s="412"/>
      <c r="CM8" s="412"/>
      <c r="CN8" s="412"/>
      <c r="CO8" s="412"/>
      <c r="CP8" s="412"/>
      <c r="CQ8" s="412"/>
      <c r="CR8" s="412"/>
      <c r="CS8" s="412"/>
      <c r="CT8" s="412"/>
      <c r="CU8" s="412"/>
      <c r="CV8" s="412"/>
      <c r="CW8" s="412"/>
      <c r="CX8" s="412"/>
      <c r="CY8" s="412"/>
      <c r="CZ8" s="412"/>
      <c r="DA8" s="412"/>
      <c r="DB8" s="412"/>
      <c r="DC8" s="412"/>
      <c r="DD8" s="412"/>
      <c r="DE8" s="412"/>
      <c r="DF8" s="412"/>
      <c r="DG8" s="412"/>
      <c r="DH8" s="412"/>
      <c r="DI8" s="412"/>
      <c r="DJ8" s="412"/>
      <c r="DK8" s="412"/>
      <c r="DL8" s="412"/>
      <c r="DM8" s="412"/>
      <c r="DN8" s="412"/>
      <c r="DO8" s="412"/>
      <c r="DP8" s="412"/>
      <c r="DQ8" s="412"/>
      <c r="DR8" s="412"/>
      <c r="DS8" s="412"/>
      <c r="DT8" s="412"/>
      <c r="DU8" s="412"/>
      <c r="DV8" s="412"/>
      <c r="DW8" s="412"/>
      <c r="DX8" s="412"/>
      <c r="DY8" s="412"/>
      <c r="DZ8" s="412"/>
      <c r="EA8" s="412"/>
      <c r="EB8" s="412"/>
      <c r="EC8" s="412"/>
      <c r="ED8" s="412"/>
      <c r="EE8" s="412"/>
      <c r="EF8" s="412"/>
      <c r="EG8" s="412"/>
      <c r="EH8" s="412"/>
      <c r="EI8" s="412"/>
      <c r="EJ8" s="412"/>
      <c r="EK8" s="412"/>
      <c r="EL8" s="412"/>
      <c r="EM8" s="412"/>
      <c r="EN8" s="412"/>
      <c r="EO8" s="412"/>
      <c r="EP8" s="412"/>
      <c r="EQ8" s="412"/>
      <c r="ER8" s="412"/>
      <c r="ES8" s="412"/>
      <c r="ET8" s="412"/>
      <c r="EU8" s="412"/>
      <c r="EV8" s="412"/>
      <c r="EW8" s="412"/>
      <c r="EX8" s="412"/>
      <c r="EY8" s="412"/>
      <c r="EZ8" s="412"/>
      <c r="FA8" s="412"/>
      <c r="FB8" s="412"/>
      <c r="FC8" s="412"/>
      <c r="FD8" s="412"/>
      <c r="FE8" s="412"/>
      <c r="FF8" s="412"/>
      <c r="FG8" s="412"/>
      <c r="FH8" s="412"/>
      <c r="FI8" s="412"/>
      <c r="FJ8" s="412"/>
      <c r="FK8" s="412"/>
      <c r="FL8" s="412"/>
      <c r="FM8" s="412"/>
      <c r="FN8" s="412"/>
      <c r="FO8" s="412"/>
      <c r="FP8" s="412"/>
      <c r="FQ8" s="412"/>
      <c r="FR8" s="412"/>
      <c r="FS8" s="412"/>
      <c r="FT8" s="412"/>
      <c r="FU8" s="412"/>
      <c r="FV8" s="412"/>
      <c r="FW8" s="412"/>
      <c r="FX8" s="412"/>
      <c r="FY8" s="412"/>
      <c r="FZ8" s="412"/>
      <c r="GA8" s="412"/>
      <c r="GB8" s="412"/>
      <c r="GC8" s="412"/>
      <c r="GD8" s="412"/>
      <c r="GE8" s="412"/>
      <c r="GF8" s="412"/>
      <c r="GG8" s="412"/>
      <c r="GH8" s="412"/>
      <c r="GI8" s="412"/>
      <c r="GJ8" s="412"/>
      <c r="GK8" s="412"/>
      <c r="GL8" s="412"/>
      <c r="GM8" s="412"/>
      <c r="GN8" s="412"/>
      <c r="GO8" s="412"/>
      <c r="GP8" s="412"/>
      <c r="GQ8" s="412"/>
      <c r="GR8" s="412"/>
      <c r="GS8" s="412"/>
      <c r="GT8" s="412"/>
      <c r="GU8" s="412"/>
      <c r="GV8" s="412"/>
      <c r="GW8" s="412"/>
      <c r="GX8" s="412"/>
      <c r="GY8" s="412"/>
      <c r="GZ8" s="412"/>
      <c r="HA8" s="412"/>
      <c r="HB8" s="412"/>
      <c r="HC8" s="412"/>
      <c r="HD8" s="412"/>
      <c r="HE8" s="412"/>
      <c r="HF8" s="412"/>
      <c r="HG8" s="412"/>
      <c r="HH8" s="412"/>
      <c r="HI8" s="412"/>
      <c r="HJ8" s="412"/>
      <c r="HK8" s="412"/>
      <c r="HL8" s="412"/>
      <c r="HM8" s="412"/>
      <c r="HN8" s="412"/>
      <c r="HO8" s="412"/>
      <c r="HP8" s="412"/>
      <c r="HQ8" s="412"/>
      <c r="HR8" s="412"/>
      <c r="HS8" s="412"/>
      <c r="HT8" s="412"/>
      <c r="HU8" s="412"/>
      <c r="HV8" s="412"/>
      <c r="HW8" s="412"/>
      <c r="HX8" s="412"/>
      <c r="HY8" s="412"/>
      <c r="HZ8" s="412"/>
      <c r="IA8" s="412"/>
      <c r="IB8" s="412"/>
      <c r="IC8" s="412"/>
      <c r="ID8" s="412"/>
      <c r="IE8" s="412"/>
      <c r="IF8" s="412"/>
      <c r="IG8" s="412"/>
      <c r="IH8" s="412"/>
      <c r="II8" s="412"/>
      <c r="IJ8" s="412"/>
      <c r="IK8" s="412"/>
      <c r="IL8" s="412"/>
      <c r="IM8" s="412"/>
      <c r="IN8" s="412"/>
      <c r="IO8" s="412"/>
      <c r="IP8" s="412"/>
      <c r="IQ8" s="412"/>
      <c r="IR8" s="412"/>
      <c r="IS8" s="412"/>
      <c r="IT8" s="412"/>
      <c r="IU8" s="412"/>
      <c r="IV8" s="412"/>
      <c r="IW8" s="412"/>
      <c r="IX8" s="412"/>
      <c r="IY8" s="412"/>
      <c r="IZ8" s="412"/>
      <c r="JA8" s="412"/>
      <c r="JB8" s="412"/>
      <c r="JC8" s="412"/>
      <c r="JD8" s="412"/>
      <c r="JE8" s="412"/>
      <c r="JF8" s="412"/>
      <c r="JG8" s="412"/>
      <c r="JH8" s="412"/>
      <c r="JI8" s="412"/>
      <c r="JJ8" s="412"/>
      <c r="JK8" s="412"/>
      <c r="JL8" s="412"/>
      <c r="JM8" s="412"/>
      <c r="JN8" s="412"/>
      <c r="JO8" s="412"/>
      <c r="JP8" s="412"/>
      <c r="JQ8" s="412"/>
      <c r="JR8" s="412"/>
      <c r="JS8" s="412"/>
      <c r="JT8" s="412"/>
      <c r="JU8" s="412"/>
      <c r="JV8" s="412"/>
      <c r="JW8" s="412"/>
      <c r="JX8" s="412"/>
      <c r="JY8" s="412"/>
      <c r="JZ8" s="412"/>
      <c r="KA8" s="412"/>
      <c r="KB8" s="412"/>
      <c r="KC8" s="412"/>
      <c r="KD8" s="412"/>
      <c r="KE8" s="412"/>
      <c r="KF8" s="412"/>
      <c r="KG8" s="412"/>
      <c r="KH8" s="412"/>
      <c r="KI8" s="412"/>
      <c r="KJ8" s="412"/>
      <c r="KK8" s="412"/>
      <c r="KL8" s="412"/>
      <c r="KM8" s="412"/>
      <c r="KN8" s="412"/>
      <c r="KO8" s="412"/>
      <c r="KP8" s="412"/>
      <c r="KQ8" s="412"/>
      <c r="KR8" s="412"/>
      <c r="KS8" s="412"/>
      <c r="KT8" s="412"/>
      <c r="KU8" s="412"/>
      <c r="KV8" s="412"/>
      <c r="KW8" s="412"/>
      <c r="KX8" s="412"/>
      <c r="KY8" s="412"/>
      <c r="KZ8" s="412"/>
      <c r="LA8" s="412"/>
      <c r="LB8" s="412"/>
      <c r="LC8" s="412"/>
      <c r="LD8" s="412"/>
      <c r="LE8" s="412"/>
      <c r="LF8" s="412"/>
      <c r="LG8" s="412"/>
      <c r="LH8" s="412"/>
      <c r="LI8" s="412"/>
      <c r="LJ8" s="412"/>
      <c r="LK8" s="412"/>
      <c r="LL8" s="412"/>
      <c r="LM8" s="412"/>
      <c r="LN8" s="412"/>
      <c r="LO8" s="412"/>
      <c r="LP8" s="412"/>
      <c r="LQ8" s="412"/>
      <c r="LR8" s="412"/>
      <c r="LS8" s="412"/>
      <c r="LT8" s="412"/>
      <c r="LU8" s="412"/>
      <c r="LV8" s="412"/>
      <c r="LW8" s="412"/>
      <c r="LX8" s="412"/>
      <c r="LY8" s="412"/>
      <c r="LZ8" s="412"/>
      <c r="MA8" s="412"/>
      <c r="MB8" s="412"/>
      <c r="MC8" s="412"/>
      <c r="MD8" s="412"/>
      <c r="ME8" s="412"/>
      <c r="MF8" s="412"/>
      <c r="MG8" s="412"/>
      <c r="MH8" s="412"/>
      <c r="MI8" s="412"/>
      <c r="MJ8" s="412"/>
      <c r="MK8" s="412"/>
      <c r="ML8" s="412"/>
      <c r="MM8" s="412"/>
      <c r="MN8" s="412"/>
      <c r="MO8" s="412"/>
      <c r="MP8" s="412"/>
      <c r="MQ8" s="412"/>
      <c r="MR8" s="412"/>
      <c r="MS8" s="412"/>
      <c r="MT8" s="412"/>
      <c r="MU8" s="412"/>
      <c r="MV8" s="412"/>
      <c r="MW8" s="412"/>
      <c r="MX8" s="412"/>
      <c r="MY8" s="412"/>
      <c r="MZ8" s="412"/>
      <c r="NA8" s="412"/>
      <c r="NB8" s="412"/>
      <c r="NC8" s="412"/>
      <c r="ND8" s="412"/>
      <c r="NE8" s="412"/>
      <c r="NF8" s="412"/>
      <c r="NG8" s="412"/>
      <c r="NH8" s="412"/>
      <c r="NI8" s="412"/>
      <c r="NJ8" s="412"/>
      <c r="NK8" s="412"/>
      <c r="NL8" s="412"/>
      <c r="NM8" s="412"/>
      <c r="NN8" s="412"/>
      <c r="NO8" s="412"/>
      <c r="NP8" s="412"/>
      <c r="NQ8" s="412"/>
      <c r="NR8" s="412"/>
      <c r="NS8" s="412"/>
      <c r="NT8" s="412"/>
      <c r="NU8" s="412"/>
      <c r="NV8" s="412"/>
      <c r="NW8" s="412"/>
      <c r="NX8" s="412"/>
      <c r="NY8" s="412"/>
      <c r="NZ8" s="412"/>
      <c r="OA8" s="412"/>
      <c r="OB8" s="412"/>
      <c r="OC8" s="412"/>
      <c r="OD8" s="412"/>
      <c r="OE8" s="412"/>
      <c r="OF8" s="412"/>
      <c r="OG8" s="412"/>
      <c r="OH8" s="412"/>
      <c r="OI8" s="412"/>
      <c r="OJ8" s="412"/>
      <c r="OK8" s="412"/>
      <c r="OL8" s="412"/>
      <c r="OM8" s="412"/>
      <c r="ON8" s="412"/>
      <c r="OO8" s="412"/>
      <c r="OP8" s="412"/>
      <c r="OQ8" s="412"/>
      <c r="OR8" s="412"/>
      <c r="OS8" s="412"/>
      <c r="OT8" s="412"/>
      <c r="OU8" s="412"/>
      <c r="OV8" s="412"/>
      <c r="OW8" s="412"/>
      <c r="OX8" s="412"/>
      <c r="OY8" s="412"/>
      <c r="OZ8" s="412"/>
      <c r="PA8" s="412"/>
      <c r="PB8" s="412"/>
      <c r="PC8" s="412"/>
      <c r="PD8" s="412"/>
      <c r="PE8" s="412"/>
      <c r="PF8" s="412"/>
      <c r="PG8" s="412"/>
      <c r="PH8" s="412"/>
      <c r="PI8" s="412"/>
      <c r="PJ8" s="412"/>
      <c r="PK8" s="412"/>
      <c r="PL8" s="412"/>
      <c r="PM8" s="412"/>
      <c r="PN8" s="412"/>
      <c r="PO8" s="412"/>
      <c r="PP8" s="412"/>
      <c r="PQ8" s="412"/>
      <c r="PR8" s="412"/>
      <c r="PS8" s="412"/>
      <c r="PT8" s="412"/>
      <c r="PU8" s="412"/>
      <c r="PV8" s="412"/>
      <c r="PW8" s="412"/>
      <c r="PX8" s="412"/>
      <c r="PY8" s="412"/>
      <c r="PZ8" s="412"/>
      <c r="QA8" s="412"/>
      <c r="QB8" s="412"/>
      <c r="QC8" s="412"/>
      <c r="QD8" s="412"/>
      <c r="QE8" s="412"/>
      <c r="QF8" s="412"/>
      <c r="QG8" s="412"/>
      <c r="QH8" s="412"/>
      <c r="QI8" s="412"/>
      <c r="QJ8" s="412"/>
      <c r="QK8" s="412"/>
      <c r="QL8" s="412"/>
      <c r="QM8" s="412"/>
      <c r="QN8" s="412"/>
      <c r="QO8" s="412"/>
      <c r="QP8" s="412"/>
      <c r="QQ8" s="412"/>
      <c r="QR8" s="412"/>
      <c r="QS8" s="412"/>
      <c r="QT8" s="412"/>
      <c r="QU8" s="412"/>
      <c r="QV8" s="412"/>
      <c r="QW8" s="412"/>
      <c r="QX8" s="412"/>
      <c r="QY8" s="412"/>
      <c r="QZ8" s="412"/>
      <c r="RA8" s="412"/>
      <c r="RB8" s="412"/>
      <c r="RC8" s="412"/>
      <c r="RD8" s="412"/>
      <c r="RE8" s="412"/>
      <c r="RF8" s="412"/>
      <c r="RG8" s="412"/>
      <c r="RH8" s="412"/>
      <c r="RI8" s="412"/>
      <c r="RJ8" s="412"/>
      <c r="RK8" s="412"/>
      <c r="RL8" s="412"/>
      <c r="RM8" s="412"/>
      <c r="RN8" s="412"/>
      <c r="RO8" s="412"/>
      <c r="RP8" s="412"/>
      <c r="RQ8" s="412"/>
      <c r="RR8" s="412"/>
      <c r="RS8" s="412"/>
      <c r="RT8" s="412"/>
      <c r="RU8" s="412"/>
      <c r="RV8" s="412"/>
      <c r="RW8" s="412"/>
      <c r="RX8" s="412"/>
      <c r="RY8" s="412"/>
      <c r="RZ8" s="412"/>
      <c r="SA8" s="412"/>
      <c r="SB8" s="412"/>
      <c r="SC8" s="412"/>
      <c r="SD8" s="412"/>
      <c r="SE8" s="412"/>
      <c r="SF8" s="412"/>
      <c r="SG8" s="412"/>
      <c r="SH8" s="412"/>
      <c r="SI8" s="412"/>
      <c r="SJ8" s="412"/>
      <c r="SK8" s="412"/>
      <c r="SL8" s="412"/>
      <c r="SM8" s="412"/>
      <c r="SN8" s="412"/>
      <c r="SO8" s="412"/>
      <c r="SP8" s="412"/>
      <c r="SQ8" s="412"/>
      <c r="SR8" s="412"/>
      <c r="SS8" s="412"/>
      <c r="ST8" s="412"/>
      <c r="SU8" s="412"/>
      <c r="SV8" s="412"/>
      <c r="SW8" s="412"/>
      <c r="SX8" s="412"/>
      <c r="SY8" s="412"/>
      <c r="SZ8" s="412"/>
      <c r="TA8" s="412"/>
      <c r="TB8" s="412"/>
      <c r="TC8" s="412"/>
      <c r="TD8" s="412"/>
      <c r="TE8" s="412"/>
      <c r="TF8" s="412"/>
      <c r="TG8" s="412"/>
      <c r="TH8" s="412"/>
      <c r="TI8" s="412"/>
      <c r="TJ8" s="412"/>
      <c r="TK8" s="412"/>
      <c r="TL8" s="412"/>
      <c r="TM8" s="412"/>
      <c r="TN8" s="412"/>
      <c r="TO8" s="412"/>
      <c r="TP8" s="412"/>
      <c r="TQ8" s="412"/>
      <c r="TR8" s="412"/>
      <c r="TS8" s="412"/>
      <c r="TT8" s="412"/>
      <c r="TU8" s="412"/>
      <c r="TV8" s="412"/>
      <c r="TW8" s="412"/>
      <c r="TX8" s="412"/>
      <c r="TY8" s="412"/>
      <c r="TZ8" s="412"/>
      <c r="UA8" s="412"/>
      <c r="UB8" s="412"/>
      <c r="UC8" s="412"/>
      <c r="UD8" s="412"/>
      <c r="UE8" s="412"/>
      <c r="UF8" s="412"/>
      <c r="UG8" s="412"/>
      <c r="UH8" s="412"/>
      <c r="UI8" s="412"/>
      <c r="UJ8" s="412"/>
      <c r="UK8" s="412"/>
      <c r="UL8" s="412"/>
      <c r="UM8" s="412"/>
      <c r="UN8" s="412"/>
      <c r="UO8" s="412"/>
      <c r="UP8" s="412"/>
      <c r="UQ8" s="412"/>
      <c r="UR8" s="412"/>
      <c r="US8" s="412"/>
      <c r="UT8" s="412"/>
      <c r="UU8" s="412"/>
      <c r="UV8" s="412"/>
      <c r="UW8" s="412"/>
      <c r="UX8" s="412"/>
      <c r="UY8" s="412"/>
      <c r="UZ8" s="412"/>
      <c r="VA8" s="412"/>
      <c r="VB8" s="412"/>
      <c r="VC8" s="412"/>
      <c r="VD8" s="412"/>
      <c r="VE8" s="412"/>
      <c r="VF8" s="412"/>
      <c r="VG8" s="412"/>
      <c r="VH8" s="412"/>
      <c r="VI8" s="412"/>
      <c r="VJ8" s="412"/>
      <c r="VK8" s="412"/>
      <c r="VL8" s="412"/>
      <c r="VM8" s="412"/>
      <c r="VN8" s="412"/>
      <c r="VO8" s="412"/>
      <c r="VP8" s="412"/>
      <c r="VQ8" s="412"/>
      <c r="VR8" s="412"/>
      <c r="VS8" s="412"/>
      <c r="VT8" s="412"/>
      <c r="VU8" s="412"/>
      <c r="VV8" s="412"/>
      <c r="VW8" s="412"/>
      <c r="VX8" s="412"/>
      <c r="VY8" s="412"/>
      <c r="VZ8" s="412"/>
      <c r="WA8" s="412"/>
      <c r="WB8" s="412"/>
      <c r="WC8" s="412"/>
      <c r="WD8" s="412"/>
      <c r="WE8" s="412"/>
      <c r="WF8" s="412"/>
      <c r="WG8" s="412"/>
      <c r="WH8" s="412"/>
      <c r="WI8" s="412"/>
      <c r="WJ8" s="412"/>
      <c r="WK8" s="412"/>
      <c r="WL8" s="412"/>
      <c r="WM8" s="412"/>
      <c r="WN8" s="412"/>
      <c r="WO8" s="412"/>
      <c r="WP8" s="412"/>
      <c r="WQ8" s="412"/>
      <c r="WR8" s="412"/>
      <c r="WS8" s="412"/>
      <c r="WT8" s="412"/>
      <c r="WU8" s="412"/>
      <c r="WV8" s="412"/>
      <c r="WW8" s="412"/>
      <c r="WX8" s="412"/>
      <c r="WY8" s="412"/>
      <c r="WZ8" s="412"/>
      <c r="XA8" s="412"/>
      <c r="XB8" s="412"/>
      <c r="XC8" s="412"/>
      <c r="XD8" s="412"/>
      <c r="XE8" s="412"/>
      <c r="XF8" s="412"/>
      <c r="XG8" s="412"/>
      <c r="XH8" s="412"/>
      <c r="XI8" s="412"/>
      <c r="XJ8" s="412"/>
      <c r="XK8" s="412"/>
      <c r="XL8" s="412"/>
      <c r="XM8" s="412"/>
      <c r="XN8" s="412"/>
      <c r="XO8" s="412"/>
      <c r="XP8" s="412"/>
      <c r="XQ8" s="412"/>
      <c r="XR8" s="412"/>
      <c r="XS8" s="412"/>
      <c r="XT8" s="412"/>
      <c r="XU8" s="412"/>
      <c r="XV8" s="412"/>
      <c r="XW8" s="412"/>
      <c r="XX8" s="412"/>
      <c r="XY8" s="412"/>
      <c r="XZ8" s="412"/>
      <c r="YA8" s="412"/>
      <c r="YB8" s="412"/>
      <c r="YC8" s="412"/>
      <c r="YD8" s="412"/>
      <c r="YE8" s="412"/>
      <c r="YF8" s="412"/>
      <c r="YG8" s="412"/>
      <c r="YH8" s="412"/>
      <c r="YI8" s="412"/>
      <c r="YJ8" s="412"/>
      <c r="YK8" s="412"/>
      <c r="YL8" s="412"/>
      <c r="YM8" s="412"/>
      <c r="YN8" s="412"/>
      <c r="YO8" s="412"/>
      <c r="YP8" s="412"/>
      <c r="YQ8" s="412"/>
      <c r="YR8" s="412"/>
      <c r="YS8" s="412"/>
      <c r="YT8" s="412"/>
      <c r="YU8" s="412"/>
      <c r="YV8" s="412"/>
      <c r="YW8" s="412"/>
      <c r="YX8" s="412"/>
      <c r="YY8" s="412"/>
      <c r="YZ8" s="412"/>
      <c r="ZA8" s="412"/>
      <c r="ZB8" s="412"/>
      <c r="ZC8" s="412"/>
      <c r="ZD8" s="412"/>
      <c r="ZE8" s="412"/>
      <c r="ZF8" s="412"/>
      <c r="ZG8" s="412"/>
      <c r="ZH8" s="412"/>
      <c r="ZI8" s="412"/>
      <c r="ZJ8" s="412"/>
      <c r="ZK8" s="412"/>
      <c r="ZL8" s="412"/>
      <c r="ZM8" s="412"/>
      <c r="ZN8" s="412"/>
      <c r="ZO8" s="412"/>
      <c r="ZP8" s="412"/>
      <c r="ZQ8" s="412"/>
      <c r="ZR8" s="412"/>
      <c r="ZS8" s="412"/>
      <c r="ZT8" s="412"/>
      <c r="ZU8" s="412"/>
      <c r="ZV8" s="412"/>
      <c r="ZW8" s="412"/>
      <c r="ZX8" s="412"/>
      <c r="ZY8" s="412"/>
      <c r="ZZ8" s="412"/>
      <c r="AAA8" s="412"/>
      <c r="AAB8" s="412"/>
      <c r="AAC8" s="412"/>
      <c r="AAD8" s="412"/>
      <c r="AAE8" s="412"/>
      <c r="AAF8" s="412"/>
      <c r="AAG8" s="412"/>
      <c r="AAH8" s="412"/>
      <c r="AAI8" s="412"/>
      <c r="AAJ8" s="412"/>
      <c r="AAK8" s="412"/>
      <c r="AAL8" s="412"/>
      <c r="AAM8" s="412"/>
      <c r="AAN8" s="412"/>
      <c r="AAO8" s="412"/>
      <c r="AAP8" s="412"/>
      <c r="AAQ8" s="412"/>
      <c r="AAR8" s="412"/>
      <c r="AAS8" s="412"/>
      <c r="AAT8" s="412"/>
      <c r="AAU8" s="412"/>
      <c r="AAV8" s="412"/>
      <c r="AAW8" s="412"/>
      <c r="AAX8" s="412"/>
      <c r="AAY8" s="412"/>
      <c r="AAZ8" s="412"/>
      <c r="ABA8" s="412"/>
      <c r="ABB8" s="412"/>
      <c r="ABC8" s="412"/>
      <c r="ABD8" s="412"/>
      <c r="ABE8" s="412"/>
      <c r="ABF8" s="412"/>
      <c r="ABG8" s="412"/>
      <c r="ABH8" s="412"/>
      <c r="ABI8" s="412"/>
      <c r="ABJ8" s="412"/>
      <c r="ABK8" s="412"/>
      <c r="ABL8" s="412"/>
      <c r="ABM8" s="412"/>
      <c r="ABN8" s="412"/>
      <c r="ABO8" s="412"/>
      <c r="ABP8" s="412"/>
      <c r="ABQ8" s="412"/>
      <c r="ABR8" s="412"/>
      <c r="ABS8" s="412"/>
      <c r="ABT8" s="412"/>
      <c r="ABU8" s="412"/>
      <c r="ABV8" s="412"/>
      <c r="ABW8" s="412"/>
      <c r="ABX8" s="412"/>
      <c r="ABY8" s="412"/>
      <c r="ABZ8" s="412"/>
      <c r="ACA8" s="412"/>
      <c r="ACB8" s="412"/>
      <c r="ACC8" s="412"/>
      <c r="ACD8" s="412"/>
      <c r="ACE8" s="412"/>
      <c r="ACF8" s="412"/>
      <c r="ACG8" s="412"/>
      <c r="ACH8" s="412"/>
      <c r="ACI8" s="412"/>
      <c r="ACJ8" s="412"/>
      <c r="ACK8" s="412"/>
      <c r="ACL8" s="412"/>
      <c r="ACM8" s="412"/>
      <c r="ACN8" s="412"/>
      <c r="ACO8" s="412"/>
      <c r="ACP8" s="412"/>
      <c r="ACQ8" s="412"/>
      <c r="ACR8" s="412"/>
      <c r="ACS8" s="412"/>
      <c r="ACT8" s="412"/>
      <c r="ACU8" s="412"/>
      <c r="ACV8" s="412"/>
      <c r="ACW8" s="412"/>
      <c r="ACX8" s="412"/>
      <c r="ACY8" s="412"/>
      <c r="ACZ8" s="412"/>
      <c r="ADA8" s="412"/>
      <c r="ADB8" s="412"/>
      <c r="ADC8" s="412"/>
      <c r="ADD8" s="412"/>
      <c r="ADE8" s="412"/>
      <c r="ADF8" s="412"/>
      <c r="ADG8" s="412"/>
      <c r="ADH8" s="412"/>
      <c r="ADI8" s="412"/>
      <c r="ADJ8" s="412"/>
      <c r="ADK8" s="412"/>
      <c r="ADL8" s="412"/>
      <c r="ADM8" s="412"/>
      <c r="ADN8" s="412"/>
      <c r="ADO8" s="412"/>
      <c r="ADP8" s="412"/>
      <c r="ADQ8" s="412"/>
      <c r="ADR8" s="412"/>
      <c r="ADS8" s="412"/>
      <c r="ADT8" s="412"/>
      <c r="ADU8" s="412"/>
      <c r="ADV8" s="412"/>
      <c r="ADW8" s="412"/>
      <c r="ADX8" s="412"/>
      <c r="ADY8" s="412"/>
      <c r="ADZ8" s="412"/>
      <c r="AEA8" s="412"/>
      <c r="AEB8" s="412"/>
      <c r="AEC8" s="412"/>
      <c r="AED8" s="412"/>
      <c r="AEE8" s="412"/>
      <c r="AEF8" s="412"/>
      <c r="AEG8" s="412"/>
      <c r="AEH8" s="412"/>
      <c r="AEI8" s="412"/>
      <c r="AEJ8" s="412"/>
      <c r="AEK8" s="412"/>
      <c r="AEL8" s="412"/>
      <c r="AEM8" s="412"/>
      <c r="AEN8" s="412"/>
      <c r="AEO8" s="412"/>
      <c r="AEP8" s="412"/>
      <c r="AEQ8" s="412"/>
      <c r="AER8" s="412"/>
      <c r="AES8" s="412"/>
      <c r="AET8" s="412"/>
      <c r="AEU8" s="412"/>
      <c r="AEV8" s="412"/>
      <c r="AEW8" s="412"/>
      <c r="AEX8" s="412"/>
      <c r="AEY8" s="412"/>
      <c r="AEZ8" s="412"/>
      <c r="AFA8" s="412"/>
      <c r="AFB8" s="412"/>
      <c r="AFC8" s="412"/>
      <c r="AFD8" s="412"/>
      <c r="AFE8" s="412"/>
      <c r="AFF8" s="412"/>
      <c r="AFG8" s="412"/>
      <c r="AFH8" s="412"/>
      <c r="AFI8" s="412"/>
      <c r="AFJ8" s="412"/>
      <c r="AFK8" s="412"/>
      <c r="AFL8" s="412"/>
      <c r="AFM8" s="412"/>
      <c r="AFN8" s="412"/>
      <c r="AFO8" s="412"/>
      <c r="AFP8" s="412"/>
      <c r="AFQ8" s="412"/>
      <c r="AFR8" s="412"/>
      <c r="AFS8" s="412"/>
      <c r="AFT8" s="412"/>
      <c r="AFU8" s="412"/>
      <c r="AFV8" s="412"/>
      <c r="AFW8" s="412"/>
      <c r="AFX8" s="412"/>
      <c r="AFY8" s="412"/>
      <c r="AFZ8" s="412"/>
      <c r="AGA8" s="412"/>
      <c r="AGB8" s="412"/>
      <c r="AGC8" s="412"/>
      <c r="AGD8" s="412"/>
      <c r="AGE8" s="412"/>
      <c r="AGF8" s="412"/>
      <c r="AGG8" s="412"/>
      <c r="AGH8" s="412"/>
      <c r="AGI8" s="412"/>
      <c r="AGJ8" s="412"/>
      <c r="AGK8" s="412"/>
      <c r="AGL8" s="412"/>
      <c r="AGM8" s="412"/>
      <c r="AGN8" s="412"/>
      <c r="AGO8" s="412"/>
      <c r="AGP8" s="412"/>
      <c r="AGQ8" s="412"/>
      <c r="AGR8" s="412"/>
      <c r="AGS8" s="412"/>
      <c r="AGT8" s="412"/>
      <c r="AGU8" s="412"/>
      <c r="AGV8" s="412"/>
      <c r="AGW8" s="412"/>
      <c r="AGX8" s="412"/>
      <c r="AGY8" s="412"/>
      <c r="AGZ8" s="412"/>
      <c r="AHA8" s="412"/>
      <c r="AHB8" s="412"/>
      <c r="AHC8" s="412"/>
      <c r="AHD8" s="412"/>
      <c r="AHE8" s="412"/>
      <c r="AHF8" s="412"/>
      <c r="AHG8" s="412"/>
      <c r="AHH8" s="412"/>
      <c r="AHI8" s="412"/>
      <c r="AHJ8" s="412"/>
      <c r="AHK8" s="412"/>
      <c r="AHL8" s="412"/>
      <c r="AHM8" s="412"/>
      <c r="AHN8" s="412"/>
      <c r="AHO8" s="412"/>
      <c r="AHP8" s="412"/>
      <c r="AHQ8" s="412"/>
      <c r="AHR8" s="412"/>
      <c r="AHS8" s="412"/>
      <c r="AHT8" s="412"/>
      <c r="AHU8" s="412"/>
      <c r="AHV8" s="412"/>
      <c r="AHW8" s="412"/>
      <c r="AHX8" s="412"/>
      <c r="AHY8" s="412"/>
      <c r="AHZ8" s="412"/>
      <c r="AIA8" s="412"/>
      <c r="AIB8" s="412"/>
      <c r="AIC8" s="412"/>
      <c r="AID8" s="412"/>
      <c r="AIE8" s="412"/>
      <c r="AIF8" s="412"/>
      <c r="AIG8" s="412"/>
      <c r="AIH8" s="412"/>
      <c r="AII8" s="412"/>
      <c r="AIJ8" s="412"/>
      <c r="AIK8" s="412"/>
      <c r="AIL8" s="412"/>
      <c r="AIM8" s="412"/>
      <c r="AIN8" s="412"/>
      <c r="AIO8" s="412"/>
      <c r="AIP8" s="412"/>
      <c r="AIQ8" s="412"/>
      <c r="AIR8" s="412"/>
      <c r="AIS8" s="412"/>
      <c r="AIT8" s="412"/>
      <c r="AIU8" s="412"/>
      <c r="AIV8" s="412"/>
      <c r="AIW8" s="412"/>
      <c r="AIX8" s="412"/>
      <c r="AIY8" s="412"/>
      <c r="AIZ8" s="412"/>
      <c r="AJA8" s="412"/>
      <c r="AJB8" s="412"/>
      <c r="AJC8" s="412"/>
      <c r="AJD8" s="412"/>
      <c r="AJE8" s="412"/>
      <c r="AJF8" s="412"/>
      <c r="AJG8" s="412"/>
      <c r="AJH8" s="412"/>
      <c r="AJI8" s="412"/>
      <c r="AJJ8" s="412"/>
      <c r="AJK8" s="412"/>
      <c r="AJL8" s="412"/>
      <c r="AJM8" s="412"/>
      <c r="AJN8" s="412"/>
      <c r="AJO8" s="412"/>
      <c r="AJP8" s="412"/>
      <c r="AJQ8" s="412"/>
      <c r="AJR8" s="412"/>
      <c r="AJS8" s="412"/>
      <c r="AJT8" s="412"/>
      <c r="AJU8" s="412"/>
      <c r="AJV8" s="412"/>
      <c r="AJW8" s="412"/>
      <c r="AJX8" s="412"/>
      <c r="AJY8" s="412"/>
      <c r="AJZ8" s="412"/>
      <c r="AKA8" s="412"/>
      <c r="AKB8" s="412"/>
      <c r="AKC8" s="412"/>
      <c r="AKD8" s="412"/>
      <c r="AKE8" s="412"/>
      <c r="AKF8" s="412"/>
      <c r="AKG8" s="412"/>
      <c r="AKH8" s="412"/>
      <c r="AKI8" s="412"/>
      <c r="AKJ8" s="412"/>
      <c r="AKK8" s="412"/>
      <c r="AKL8" s="412"/>
      <c r="AKM8" s="412"/>
      <c r="AKN8" s="412"/>
      <c r="AKO8" s="412"/>
      <c r="AKP8" s="412"/>
      <c r="AKQ8" s="412"/>
      <c r="AKR8" s="412"/>
      <c r="AKS8" s="412"/>
      <c r="AKT8" s="412"/>
      <c r="AKU8" s="412"/>
      <c r="AKV8" s="412"/>
      <c r="AKW8" s="412"/>
      <c r="AKX8" s="412"/>
      <c r="AKY8" s="412"/>
      <c r="AKZ8" s="412"/>
      <c r="ALA8" s="412"/>
      <c r="ALB8" s="412"/>
      <c r="ALC8" s="412"/>
      <c r="ALD8" s="412"/>
      <c r="ALE8" s="412"/>
      <c r="ALF8" s="412"/>
      <c r="ALG8" s="412"/>
      <c r="ALH8" s="412"/>
      <c r="ALI8" s="412"/>
      <c r="ALJ8" s="412"/>
      <c r="ALK8" s="412"/>
      <c r="ALL8" s="412"/>
      <c r="ALM8" s="412"/>
      <c r="ALN8" s="412"/>
      <c r="ALO8" s="412"/>
      <c r="ALP8" s="412"/>
      <c r="ALQ8" s="412"/>
      <c r="ALR8" s="412"/>
      <c r="ALS8" s="412"/>
      <c r="ALT8" s="412"/>
      <c r="ALU8" s="412"/>
      <c r="ALV8" s="412"/>
      <c r="ALW8" s="412"/>
      <c r="ALX8" s="412"/>
      <c r="ALY8" s="412"/>
      <c r="ALZ8" s="412"/>
      <c r="AMA8" s="412"/>
      <c r="AMB8" s="412"/>
      <c r="AMC8" s="412"/>
      <c r="AMD8" s="412"/>
      <c r="AME8" s="412"/>
      <c r="AMF8" s="412"/>
      <c r="AMG8" s="412"/>
      <c r="AMH8" s="412"/>
      <c r="AMI8" s="412"/>
      <c r="AMJ8" s="412"/>
      <c r="AMK8" s="412"/>
      <c r="AML8" s="412"/>
      <c r="AMM8" s="412"/>
      <c r="AMN8" s="412"/>
      <c r="AMO8" s="412"/>
      <c r="AMP8" s="412"/>
      <c r="AMQ8" s="412"/>
      <c r="AMR8" s="412"/>
      <c r="AMS8" s="412"/>
      <c r="AMT8" s="412"/>
      <c r="AMU8" s="412"/>
      <c r="AMV8" s="412"/>
      <c r="AMW8" s="412"/>
      <c r="AMX8" s="412"/>
      <c r="AMY8" s="412"/>
      <c r="AMZ8" s="412"/>
      <c r="ANA8" s="412"/>
      <c r="ANB8" s="412"/>
      <c r="ANC8" s="412"/>
      <c r="AND8" s="412"/>
      <c r="ANE8" s="412"/>
      <c r="ANF8" s="412"/>
      <c r="ANG8" s="412"/>
      <c r="ANH8" s="412"/>
      <c r="ANI8" s="412"/>
      <c r="ANJ8" s="412"/>
      <c r="ANK8" s="412"/>
      <c r="ANL8" s="412"/>
      <c r="ANM8" s="412"/>
      <c r="ANN8" s="412"/>
      <c r="ANO8" s="412"/>
      <c r="ANP8" s="412"/>
      <c r="ANQ8" s="412"/>
      <c r="ANR8" s="412"/>
      <c r="ANS8" s="412"/>
      <c r="ANT8" s="412"/>
      <c r="ANU8" s="412"/>
      <c r="ANV8" s="412"/>
      <c r="ANW8" s="412"/>
      <c r="ANX8" s="412"/>
      <c r="ANY8" s="412"/>
      <c r="ANZ8" s="412"/>
      <c r="AOA8" s="412"/>
      <c r="AOB8" s="412"/>
      <c r="AOC8" s="412"/>
      <c r="AOD8" s="412"/>
      <c r="AOE8" s="412"/>
      <c r="AOF8" s="412"/>
      <c r="AOG8" s="412"/>
      <c r="AOH8" s="412"/>
      <c r="AOI8" s="412"/>
      <c r="AOJ8" s="412"/>
      <c r="AOK8" s="412"/>
      <c r="AOL8" s="412"/>
      <c r="AOM8" s="412"/>
      <c r="AON8" s="412"/>
      <c r="AOO8" s="412"/>
      <c r="AOP8" s="412"/>
      <c r="AOQ8" s="412"/>
      <c r="AOR8" s="412"/>
      <c r="AOS8" s="412"/>
      <c r="AOT8" s="412"/>
      <c r="AOU8" s="412"/>
      <c r="AOV8" s="412"/>
      <c r="AOW8" s="412"/>
      <c r="AOX8" s="412"/>
      <c r="AOY8" s="412"/>
      <c r="AOZ8" s="412"/>
      <c r="APA8" s="412"/>
      <c r="APB8" s="412"/>
      <c r="APC8" s="412"/>
      <c r="APD8" s="412"/>
      <c r="APE8" s="412"/>
      <c r="APF8" s="412"/>
      <c r="APG8" s="412"/>
      <c r="APH8" s="412"/>
      <c r="API8" s="412"/>
      <c r="APJ8" s="412"/>
      <c r="APK8" s="412"/>
      <c r="APL8" s="412"/>
      <c r="APM8" s="412"/>
      <c r="APN8" s="412"/>
      <c r="APO8" s="412"/>
      <c r="APP8" s="412"/>
      <c r="APQ8" s="412"/>
      <c r="APR8" s="412"/>
      <c r="APS8" s="412"/>
      <c r="APT8" s="412"/>
      <c r="APU8" s="412"/>
      <c r="APV8" s="412"/>
      <c r="APW8" s="412"/>
      <c r="APX8" s="412"/>
      <c r="APY8" s="412"/>
      <c r="APZ8" s="412"/>
      <c r="AQA8" s="412"/>
      <c r="AQB8" s="412"/>
      <c r="AQC8" s="412"/>
      <c r="AQD8" s="412"/>
      <c r="AQE8" s="412"/>
      <c r="AQF8" s="412"/>
      <c r="AQG8" s="412"/>
      <c r="AQH8" s="412"/>
      <c r="AQI8" s="412"/>
      <c r="AQJ8" s="412"/>
      <c r="AQK8" s="412"/>
      <c r="AQL8" s="412"/>
      <c r="AQM8" s="412"/>
      <c r="AQN8" s="412"/>
      <c r="AQO8" s="412"/>
      <c r="AQP8" s="412"/>
      <c r="AQQ8" s="412"/>
      <c r="AQR8" s="412"/>
      <c r="AQS8" s="412"/>
      <c r="AQT8" s="412"/>
      <c r="AQU8" s="412"/>
      <c r="AQV8" s="412"/>
      <c r="AQW8" s="412"/>
      <c r="AQX8" s="412"/>
      <c r="AQY8" s="412"/>
      <c r="AQZ8" s="412"/>
      <c r="ARA8" s="412"/>
      <c r="ARB8" s="412"/>
      <c r="ARC8" s="412"/>
      <c r="ARD8" s="412"/>
      <c r="ARE8" s="412"/>
      <c r="ARF8" s="412"/>
      <c r="ARG8" s="412"/>
      <c r="ARH8" s="412"/>
      <c r="ARI8" s="412"/>
      <c r="ARJ8" s="412"/>
      <c r="ARK8" s="412"/>
      <c r="ARL8" s="412"/>
      <c r="ARM8" s="412"/>
      <c r="ARN8" s="412"/>
      <c r="ARO8" s="412"/>
      <c r="ARP8" s="412"/>
      <c r="ARQ8" s="412"/>
      <c r="ARR8" s="412"/>
      <c r="ARS8" s="412"/>
      <c r="ART8" s="412"/>
      <c r="ARU8" s="412"/>
      <c r="ARV8" s="412"/>
      <c r="ARW8" s="412"/>
      <c r="ARX8" s="412"/>
      <c r="ARY8" s="412"/>
      <c r="ARZ8" s="412"/>
      <c r="ASA8" s="412"/>
      <c r="ASB8" s="412"/>
      <c r="ASC8" s="412"/>
      <c r="ASD8" s="412"/>
      <c r="ASE8" s="412"/>
      <c r="ASF8" s="412"/>
      <c r="ASG8" s="412"/>
      <c r="ASH8" s="412"/>
      <c r="ASI8" s="412"/>
      <c r="ASJ8" s="412"/>
      <c r="ASK8" s="412"/>
      <c r="ASL8" s="412"/>
      <c r="ASM8" s="412"/>
      <c r="ASN8" s="412"/>
      <c r="ASO8" s="412"/>
      <c r="ASP8" s="412"/>
      <c r="ASQ8" s="412"/>
      <c r="ASR8" s="412"/>
      <c r="ASS8" s="412"/>
      <c r="AST8" s="412"/>
      <c r="ASU8" s="412"/>
      <c r="ASV8" s="412"/>
      <c r="ASW8" s="412"/>
      <c r="ASX8" s="412"/>
      <c r="ASY8" s="412"/>
      <c r="ASZ8" s="412"/>
      <c r="ATA8" s="412"/>
      <c r="ATB8" s="412"/>
      <c r="ATC8" s="412"/>
      <c r="ATD8" s="412"/>
      <c r="ATE8" s="412"/>
      <c r="ATF8" s="412"/>
      <c r="ATG8" s="412"/>
      <c r="ATH8" s="412"/>
      <c r="ATI8" s="412"/>
      <c r="ATJ8" s="412"/>
      <c r="ATK8" s="412"/>
      <c r="ATL8" s="412"/>
      <c r="ATM8" s="412"/>
      <c r="ATN8" s="412"/>
      <c r="ATO8" s="412"/>
      <c r="ATP8" s="412"/>
      <c r="ATQ8" s="412"/>
      <c r="ATR8" s="412"/>
      <c r="ATS8" s="412"/>
      <c r="ATT8" s="412"/>
      <c r="ATU8" s="412"/>
      <c r="ATV8" s="412"/>
      <c r="ATW8" s="412"/>
      <c r="ATX8" s="412"/>
      <c r="ATY8" s="412"/>
      <c r="ATZ8" s="412"/>
      <c r="AUA8" s="412"/>
      <c r="AUB8" s="412"/>
      <c r="AUC8" s="412"/>
      <c r="AUD8" s="412"/>
      <c r="AUE8" s="412"/>
      <c r="AUF8" s="412"/>
      <c r="AUG8" s="412"/>
      <c r="AUH8" s="412"/>
      <c r="AUI8" s="412"/>
      <c r="AUJ8" s="412"/>
      <c r="AUK8" s="412"/>
      <c r="AUL8" s="412"/>
      <c r="AUM8" s="412"/>
      <c r="AUN8" s="412"/>
      <c r="AUO8" s="412"/>
      <c r="AUP8" s="412"/>
      <c r="AUQ8" s="412"/>
      <c r="AUR8" s="412"/>
      <c r="AUS8" s="412"/>
      <c r="AUT8" s="412"/>
      <c r="AUU8" s="412"/>
      <c r="AUV8" s="412"/>
      <c r="AUW8" s="412"/>
      <c r="AUX8" s="412"/>
      <c r="AUY8" s="412"/>
      <c r="AUZ8" s="412"/>
      <c r="AVA8" s="412"/>
      <c r="AVB8" s="412"/>
      <c r="AVC8" s="412"/>
      <c r="AVD8" s="412"/>
      <c r="AVE8" s="412"/>
      <c r="AVF8" s="412"/>
      <c r="AVG8" s="412"/>
      <c r="AVH8" s="412"/>
      <c r="AVI8" s="412"/>
      <c r="AVJ8" s="412"/>
      <c r="AVK8" s="412"/>
      <c r="AVL8" s="412"/>
      <c r="AVM8" s="412"/>
      <c r="AVN8" s="412"/>
      <c r="AVO8" s="412"/>
      <c r="AVP8" s="412"/>
      <c r="AVQ8" s="412"/>
      <c r="AVR8" s="412"/>
      <c r="AVS8" s="412"/>
      <c r="AVT8" s="412"/>
      <c r="AVU8" s="412"/>
      <c r="AVV8" s="412"/>
      <c r="AVW8" s="412"/>
      <c r="AVX8" s="412"/>
      <c r="AVY8" s="412"/>
      <c r="AVZ8" s="412"/>
      <c r="AWA8" s="412"/>
      <c r="AWB8" s="412"/>
      <c r="AWC8" s="412"/>
      <c r="AWD8" s="412"/>
      <c r="AWE8" s="412"/>
      <c r="AWF8" s="412"/>
      <c r="AWG8" s="412"/>
      <c r="AWH8" s="412"/>
      <c r="AWI8" s="412"/>
      <c r="AWJ8" s="412"/>
      <c r="AWK8" s="412"/>
      <c r="AWL8" s="412"/>
      <c r="AWM8" s="412"/>
      <c r="AWN8" s="412"/>
      <c r="AWO8" s="412"/>
      <c r="AWP8" s="412"/>
      <c r="AWQ8" s="412"/>
      <c r="AWR8" s="412"/>
      <c r="AWS8" s="412"/>
      <c r="AWT8" s="412"/>
      <c r="AWU8" s="412"/>
      <c r="AWV8" s="412"/>
      <c r="AWW8" s="412"/>
      <c r="AWX8" s="412"/>
      <c r="AWY8" s="412"/>
      <c r="AWZ8" s="412"/>
      <c r="AXA8" s="412"/>
      <c r="AXB8" s="412"/>
      <c r="AXC8" s="412"/>
      <c r="AXD8" s="412"/>
      <c r="AXE8" s="412"/>
      <c r="AXF8" s="412"/>
      <c r="AXG8" s="412"/>
      <c r="AXH8" s="412"/>
      <c r="AXI8" s="412"/>
      <c r="AXJ8" s="412"/>
      <c r="AXK8" s="412"/>
      <c r="AXL8" s="412"/>
      <c r="AXM8" s="412"/>
      <c r="AXN8" s="412"/>
      <c r="AXO8" s="412"/>
      <c r="AXP8" s="412"/>
      <c r="AXQ8" s="412"/>
      <c r="AXR8" s="412"/>
      <c r="AXS8" s="412"/>
      <c r="AXT8" s="412"/>
      <c r="AXU8" s="412"/>
      <c r="AXV8" s="412"/>
      <c r="AXW8" s="412"/>
      <c r="AXX8" s="412"/>
      <c r="AXY8" s="412"/>
      <c r="AXZ8" s="412"/>
      <c r="AYA8" s="412"/>
      <c r="AYB8" s="412"/>
      <c r="AYC8" s="412"/>
      <c r="AYD8" s="412"/>
      <c r="AYE8" s="412"/>
      <c r="AYF8" s="412"/>
      <c r="AYG8" s="412"/>
      <c r="AYH8" s="412"/>
      <c r="AYI8" s="412"/>
      <c r="AYJ8" s="412"/>
      <c r="AYK8" s="412"/>
      <c r="AYL8" s="412"/>
      <c r="AYM8" s="412"/>
      <c r="AYN8" s="412"/>
      <c r="AYO8" s="412"/>
      <c r="AYP8" s="412"/>
      <c r="AYQ8" s="412"/>
      <c r="AYR8" s="412"/>
      <c r="AYS8" s="412"/>
      <c r="AYT8" s="412"/>
      <c r="AYU8" s="412"/>
      <c r="AYV8" s="412"/>
      <c r="AYW8" s="412"/>
      <c r="AYX8" s="412"/>
      <c r="AYY8" s="412"/>
      <c r="AYZ8" s="412"/>
      <c r="AZA8" s="412"/>
      <c r="AZB8" s="412"/>
      <c r="AZC8" s="412"/>
      <c r="AZD8" s="412"/>
      <c r="AZE8" s="412"/>
      <c r="AZF8" s="412"/>
      <c r="AZG8" s="412"/>
      <c r="AZH8" s="412"/>
      <c r="AZI8" s="412"/>
      <c r="AZJ8" s="412"/>
      <c r="AZK8" s="412"/>
      <c r="AZL8" s="412"/>
      <c r="AZM8" s="412"/>
      <c r="AZN8" s="412"/>
      <c r="AZO8" s="412"/>
      <c r="AZP8" s="412"/>
      <c r="AZQ8" s="412"/>
      <c r="AZR8" s="412"/>
      <c r="AZS8" s="412"/>
      <c r="AZT8" s="412"/>
      <c r="AZU8" s="412"/>
      <c r="AZV8" s="412"/>
      <c r="AZW8" s="412"/>
      <c r="AZX8" s="412"/>
      <c r="AZY8" s="412"/>
      <c r="AZZ8" s="412"/>
      <c r="BAA8" s="412"/>
      <c r="BAB8" s="412"/>
      <c r="BAC8" s="412"/>
      <c r="BAD8" s="412"/>
      <c r="BAE8" s="412"/>
      <c r="BAF8" s="412"/>
      <c r="BAG8" s="412"/>
      <c r="BAH8" s="412"/>
      <c r="BAI8" s="412"/>
      <c r="BAJ8" s="412"/>
      <c r="BAK8" s="412"/>
      <c r="BAL8" s="412"/>
      <c r="BAM8" s="412"/>
      <c r="BAN8" s="412"/>
      <c r="BAO8" s="412"/>
      <c r="BAP8" s="412"/>
      <c r="BAQ8" s="412"/>
      <c r="BAR8" s="412"/>
      <c r="BAS8" s="412"/>
      <c r="BAT8" s="412"/>
      <c r="BAU8" s="412"/>
      <c r="BAV8" s="412"/>
      <c r="BAW8" s="412"/>
      <c r="BAX8" s="412"/>
      <c r="BAY8" s="412"/>
      <c r="BAZ8" s="412"/>
      <c r="BBA8" s="412"/>
      <c r="BBB8" s="412"/>
      <c r="BBC8" s="412"/>
      <c r="BBD8" s="412"/>
      <c r="BBE8" s="412"/>
      <c r="BBF8" s="412"/>
      <c r="BBG8" s="412"/>
      <c r="BBH8" s="412"/>
      <c r="BBI8" s="412"/>
      <c r="BBJ8" s="412"/>
      <c r="BBK8" s="412"/>
      <c r="BBL8" s="412"/>
      <c r="BBM8" s="412"/>
      <c r="BBN8" s="412"/>
      <c r="BBO8" s="412"/>
      <c r="BBP8" s="412"/>
      <c r="BBQ8" s="412"/>
      <c r="BBR8" s="412"/>
      <c r="BBS8" s="412"/>
      <c r="BBT8" s="412"/>
      <c r="BBU8" s="412"/>
      <c r="BBV8" s="412"/>
      <c r="BBW8" s="412"/>
      <c r="BBX8" s="412"/>
      <c r="BBY8" s="412"/>
      <c r="BBZ8" s="412"/>
      <c r="BCA8" s="412"/>
      <c r="BCB8" s="412"/>
      <c r="BCC8" s="412"/>
      <c r="BCD8" s="412"/>
      <c r="BCE8" s="412"/>
      <c r="BCF8" s="412"/>
      <c r="BCG8" s="412"/>
      <c r="BCH8" s="412"/>
      <c r="BCI8" s="412"/>
      <c r="BCJ8" s="412"/>
      <c r="BCK8" s="412"/>
      <c r="BCL8" s="412"/>
      <c r="BCM8" s="412"/>
      <c r="BCN8" s="412"/>
      <c r="BCO8" s="412"/>
      <c r="BCP8" s="412"/>
      <c r="BCQ8" s="412"/>
      <c r="BCR8" s="412"/>
      <c r="BCS8" s="412"/>
      <c r="BCT8" s="412"/>
      <c r="BCU8" s="412"/>
      <c r="BCV8" s="412"/>
      <c r="BCW8" s="412"/>
      <c r="BCX8" s="412"/>
      <c r="BCY8" s="412"/>
      <c r="BCZ8" s="412"/>
      <c r="BDA8" s="412"/>
      <c r="BDB8" s="412"/>
      <c r="BDC8" s="412"/>
      <c r="BDD8" s="412"/>
      <c r="BDE8" s="412"/>
      <c r="BDF8" s="412"/>
      <c r="BDG8" s="412"/>
      <c r="BDH8" s="412"/>
      <c r="BDI8" s="412"/>
      <c r="BDJ8" s="412"/>
      <c r="BDK8" s="412"/>
      <c r="BDL8" s="412"/>
      <c r="BDM8" s="412"/>
      <c r="BDN8" s="412"/>
      <c r="BDO8" s="412"/>
      <c r="BDP8" s="412"/>
      <c r="BDQ8" s="412"/>
      <c r="BDR8" s="412"/>
      <c r="BDS8" s="412"/>
      <c r="BDT8" s="412"/>
      <c r="BDU8" s="412"/>
      <c r="BDV8" s="412"/>
      <c r="BDW8" s="412"/>
      <c r="BDX8" s="412"/>
      <c r="BDY8" s="412"/>
      <c r="BDZ8" s="412"/>
      <c r="BEA8" s="412"/>
      <c r="BEB8" s="412"/>
      <c r="BEC8" s="412"/>
      <c r="BED8" s="412"/>
      <c r="BEE8" s="412"/>
      <c r="BEF8" s="412"/>
      <c r="BEG8" s="412"/>
      <c r="BEH8" s="412"/>
      <c r="BEI8" s="412"/>
      <c r="BEJ8" s="412"/>
      <c r="BEK8" s="412"/>
      <c r="BEL8" s="412"/>
      <c r="BEM8" s="412"/>
      <c r="BEN8" s="412"/>
      <c r="BEO8" s="412"/>
      <c r="BEP8" s="412"/>
      <c r="BEQ8" s="412"/>
      <c r="BER8" s="412"/>
      <c r="BES8" s="412"/>
      <c r="BET8" s="412"/>
      <c r="BEU8" s="412"/>
      <c r="BEV8" s="412"/>
      <c r="BEW8" s="412"/>
      <c r="BEX8" s="412"/>
      <c r="BEY8" s="412"/>
      <c r="BEZ8" s="412"/>
      <c r="BFA8" s="412"/>
      <c r="BFB8" s="412"/>
      <c r="BFC8" s="412"/>
      <c r="BFD8" s="412"/>
      <c r="BFE8" s="412"/>
      <c r="BFF8" s="412"/>
      <c r="BFG8" s="412"/>
      <c r="BFH8" s="412"/>
      <c r="BFI8" s="412"/>
      <c r="BFJ8" s="412"/>
      <c r="BFK8" s="412"/>
      <c r="BFL8" s="412"/>
      <c r="BFM8" s="412"/>
      <c r="BFN8" s="412"/>
      <c r="BFO8" s="412"/>
      <c r="BFP8" s="412"/>
      <c r="BFQ8" s="412"/>
      <c r="BFR8" s="412"/>
      <c r="BFS8" s="412"/>
      <c r="BFT8" s="412"/>
      <c r="BFU8" s="412"/>
      <c r="BFV8" s="412"/>
      <c r="BFW8" s="412"/>
      <c r="BFX8" s="412"/>
      <c r="BFY8" s="412"/>
      <c r="BFZ8" s="412"/>
      <c r="BGA8" s="412"/>
      <c r="BGB8" s="412"/>
      <c r="BGC8" s="412"/>
      <c r="BGD8" s="412"/>
      <c r="BGE8" s="412"/>
      <c r="BGF8" s="412"/>
      <c r="BGG8" s="412"/>
      <c r="BGH8" s="412"/>
      <c r="BGI8" s="412"/>
      <c r="BGJ8" s="412"/>
      <c r="BGK8" s="412"/>
      <c r="BGL8" s="412"/>
      <c r="BGM8" s="412"/>
      <c r="BGN8" s="412"/>
      <c r="BGO8" s="412"/>
      <c r="BGP8" s="412"/>
      <c r="BGQ8" s="412"/>
      <c r="BGR8" s="412"/>
      <c r="BGS8" s="412"/>
      <c r="BGT8" s="412"/>
      <c r="BGU8" s="412"/>
      <c r="BGV8" s="412"/>
      <c r="BGW8" s="412"/>
      <c r="BGX8" s="412"/>
      <c r="BGY8" s="412"/>
      <c r="BGZ8" s="412"/>
      <c r="BHA8" s="412"/>
      <c r="BHB8" s="412"/>
      <c r="BHC8" s="412"/>
      <c r="BHD8" s="412"/>
      <c r="BHE8" s="412"/>
      <c r="BHF8" s="412"/>
      <c r="BHG8" s="412"/>
      <c r="BHH8" s="412"/>
      <c r="BHI8" s="412"/>
      <c r="BHJ8" s="412"/>
      <c r="BHK8" s="412"/>
      <c r="BHL8" s="412"/>
      <c r="BHM8" s="412"/>
      <c r="BHN8" s="412"/>
      <c r="BHO8" s="412"/>
      <c r="BHP8" s="412"/>
      <c r="BHQ8" s="412"/>
      <c r="BHR8" s="412"/>
      <c r="BHS8" s="412"/>
      <c r="BHT8" s="412"/>
      <c r="BHU8" s="412"/>
      <c r="BHV8" s="412"/>
      <c r="BHW8" s="412"/>
      <c r="BHX8" s="412"/>
      <c r="BHY8" s="412"/>
      <c r="BHZ8" s="412"/>
      <c r="BIA8" s="412"/>
      <c r="BIB8" s="412"/>
      <c r="BIC8" s="412"/>
      <c r="BID8" s="412"/>
      <c r="BIE8" s="412"/>
      <c r="BIF8" s="412"/>
      <c r="BIG8" s="412"/>
      <c r="BIH8" s="412"/>
      <c r="BII8" s="412"/>
      <c r="BIJ8" s="412"/>
      <c r="BIK8" s="412"/>
      <c r="BIL8" s="412"/>
      <c r="BIM8" s="412"/>
      <c r="BIN8" s="412"/>
      <c r="BIO8" s="412"/>
      <c r="BIP8" s="412"/>
      <c r="BIQ8" s="412"/>
      <c r="BIR8" s="412"/>
      <c r="BIS8" s="412"/>
      <c r="BIT8" s="412"/>
      <c r="BIU8" s="412"/>
      <c r="BIV8" s="412"/>
      <c r="BIW8" s="412"/>
      <c r="BIX8" s="412"/>
      <c r="BIY8" s="412"/>
      <c r="BIZ8" s="412"/>
      <c r="BJA8" s="412"/>
      <c r="BJB8" s="412"/>
      <c r="BJC8" s="412"/>
      <c r="BJD8" s="412"/>
      <c r="BJE8" s="412"/>
      <c r="BJF8" s="412"/>
      <c r="BJG8" s="412"/>
      <c r="BJH8" s="412"/>
      <c r="BJI8" s="412"/>
      <c r="BJJ8" s="412"/>
      <c r="BJK8" s="412"/>
      <c r="BJL8" s="412"/>
      <c r="BJM8" s="412"/>
      <c r="BJN8" s="412"/>
      <c r="BJO8" s="412"/>
      <c r="BJP8" s="412"/>
      <c r="BJQ8" s="412"/>
      <c r="BJR8" s="412"/>
      <c r="BJS8" s="412"/>
      <c r="BJT8" s="412"/>
      <c r="BJU8" s="412"/>
      <c r="BJV8" s="412"/>
      <c r="BJW8" s="412"/>
      <c r="BJX8" s="412"/>
      <c r="BJY8" s="412"/>
      <c r="BJZ8" s="412"/>
      <c r="BKA8" s="412"/>
      <c r="BKB8" s="412"/>
      <c r="BKC8" s="412"/>
      <c r="BKD8" s="412"/>
      <c r="BKE8" s="412"/>
      <c r="BKF8" s="412"/>
      <c r="BKG8" s="412"/>
      <c r="BKH8" s="412"/>
      <c r="BKI8" s="412"/>
      <c r="BKJ8" s="412"/>
      <c r="BKK8" s="412"/>
      <c r="BKL8" s="412"/>
      <c r="BKM8" s="412"/>
      <c r="BKN8" s="412"/>
      <c r="BKO8" s="412"/>
      <c r="BKP8" s="412"/>
      <c r="BKQ8" s="412"/>
      <c r="BKR8" s="412"/>
      <c r="BKS8" s="412"/>
      <c r="BKT8" s="412"/>
      <c r="BKU8" s="412"/>
      <c r="BKV8" s="412"/>
      <c r="BKW8" s="412"/>
      <c r="BKX8" s="412"/>
      <c r="BKY8" s="412"/>
      <c r="BKZ8" s="412"/>
      <c r="BLA8" s="412"/>
      <c r="BLB8" s="412"/>
      <c r="BLC8" s="412"/>
      <c r="BLD8" s="412"/>
      <c r="BLE8" s="412"/>
      <c r="BLF8" s="412"/>
      <c r="BLG8" s="412"/>
      <c r="BLH8" s="412"/>
      <c r="BLI8" s="412"/>
      <c r="BLJ8" s="412"/>
      <c r="BLK8" s="412"/>
      <c r="BLL8" s="412"/>
      <c r="BLM8" s="412"/>
      <c r="BLN8" s="412"/>
      <c r="BLO8" s="412"/>
      <c r="BLP8" s="412"/>
      <c r="BLQ8" s="412"/>
      <c r="BLR8" s="412"/>
      <c r="BLS8" s="412"/>
      <c r="BLT8" s="412"/>
      <c r="BLU8" s="412"/>
      <c r="BLV8" s="412"/>
      <c r="BLW8" s="412"/>
      <c r="BLX8" s="412"/>
      <c r="BLY8" s="412"/>
      <c r="BLZ8" s="412"/>
      <c r="BMA8" s="412"/>
      <c r="BMB8" s="412"/>
      <c r="BMC8" s="412"/>
      <c r="BMD8" s="412"/>
      <c r="BME8" s="412"/>
      <c r="BMF8" s="412"/>
      <c r="BMG8" s="412"/>
      <c r="BMH8" s="412"/>
      <c r="BMI8" s="412"/>
      <c r="BMJ8" s="412"/>
      <c r="BMK8" s="412"/>
      <c r="BML8" s="412"/>
      <c r="BMM8" s="412"/>
      <c r="BMN8" s="412"/>
      <c r="BMO8" s="412"/>
      <c r="BMP8" s="412"/>
      <c r="BMQ8" s="412"/>
      <c r="BMR8" s="412"/>
      <c r="BMS8" s="412"/>
      <c r="BMT8" s="412"/>
      <c r="BMU8" s="412"/>
      <c r="BMV8" s="412"/>
      <c r="BMW8" s="412"/>
      <c r="BMX8" s="412"/>
      <c r="BMY8" s="412"/>
      <c r="BMZ8" s="412"/>
      <c r="BNA8" s="412"/>
      <c r="BNB8" s="412"/>
      <c r="BNC8" s="412"/>
      <c r="BND8" s="412"/>
      <c r="BNE8" s="412"/>
      <c r="BNF8" s="412"/>
      <c r="BNG8" s="412"/>
      <c r="BNH8" s="412"/>
      <c r="BNI8" s="412"/>
      <c r="BNJ8" s="412"/>
      <c r="BNK8" s="412"/>
      <c r="BNL8" s="412"/>
      <c r="BNM8" s="412"/>
      <c r="BNN8" s="412"/>
      <c r="BNO8" s="412"/>
      <c r="BNP8" s="412"/>
      <c r="BNQ8" s="412"/>
      <c r="BNR8" s="412"/>
      <c r="BNS8" s="412"/>
      <c r="BNT8" s="412"/>
      <c r="BNU8" s="412"/>
      <c r="BNV8" s="412"/>
      <c r="BNW8" s="412"/>
      <c r="BNX8" s="412"/>
      <c r="BNY8" s="412"/>
      <c r="BNZ8" s="412"/>
      <c r="BOA8" s="412"/>
      <c r="BOB8" s="412"/>
      <c r="BOC8" s="412"/>
      <c r="BOD8" s="412"/>
      <c r="BOE8" s="412"/>
      <c r="BOF8" s="412"/>
      <c r="BOG8" s="412"/>
      <c r="BOH8" s="412"/>
      <c r="BOI8" s="412"/>
      <c r="BOJ8" s="412"/>
      <c r="BOK8" s="412"/>
      <c r="BOL8" s="412"/>
      <c r="BOM8" s="412"/>
      <c r="BON8" s="412"/>
      <c r="BOO8" s="412"/>
      <c r="BOP8" s="412"/>
      <c r="BOQ8" s="412"/>
      <c r="BOR8" s="412"/>
      <c r="BOS8" s="412"/>
      <c r="BOT8" s="412"/>
      <c r="BOU8" s="412"/>
      <c r="BOV8" s="412"/>
      <c r="BOW8" s="412"/>
      <c r="BOX8" s="412"/>
      <c r="BOY8" s="412"/>
      <c r="BOZ8" s="412"/>
      <c r="BPA8" s="412"/>
      <c r="BPB8" s="412"/>
      <c r="BPC8" s="412"/>
      <c r="BPD8" s="412"/>
      <c r="BPE8" s="412"/>
      <c r="BPF8" s="412"/>
      <c r="BPG8" s="412"/>
      <c r="BPH8" s="412"/>
      <c r="BPI8" s="412"/>
      <c r="BPJ8" s="412"/>
      <c r="BPK8" s="412"/>
      <c r="BPL8" s="412"/>
      <c r="BPM8" s="412"/>
      <c r="BPN8" s="412"/>
      <c r="BPO8" s="412"/>
      <c r="BPP8" s="412"/>
      <c r="BPQ8" s="412"/>
      <c r="BPR8" s="412"/>
      <c r="BPS8" s="412"/>
      <c r="BPT8" s="412"/>
      <c r="BPU8" s="412"/>
      <c r="BPV8" s="412"/>
      <c r="BPW8" s="412"/>
      <c r="BPX8" s="412"/>
      <c r="BPY8" s="412"/>
      <c r="BPZ8" s="412"/>
      <c r="BQA8" s="412"/>
      <c r="BQB8" s="412"/>
      <c r="BQC8" s="412"/>
      <c r="BQD8" s="412"/>
      <c r="BQE8" s="412"/>
      <c r="BQF8" s="412"/>
      <c r="BQG8" s="412"/>
      <c r="BQH8" s="412"/>
      <c r="BQI8" s="412"/>
      <c r="BQJ8" s="412"/>
      <c r="BQK8" s="412"/>
      <c r="BQL8" s="412"/>
      <c r="BQM8" s="412"/>
      <c r="BQN8" s="412"/>
      <c r="BQO8" s="412"/>
      <c r="BQP8" s="412"/>
      <c r="BQQ8" s="412"/>
      <c r="BQR8" s="412"/>
      <c r="BQS8" s="412"/>
      <c r="BQT8" s="412"/>
      <c r="BQU8" s="412"/>
      <c r="BQV8" s="412"/>
      <c r="BQW8" s="412"/>
      <c r="BQX8" s="412"/>
      <c r="BQY8" s="412"/>
      <c r="BQZ8" s="412"/>
      <c r="BRA8" s="412"/>
      <c r="BRB8" s="412"/>
      <c r="BRC8" s="412"/>
      <c r="BRD8" s="412"/>
      <c r="BRE8" s="412"/>
      <c r="BRF8" s="412"/>
      <c r="BRG8" s="412"/>
      <c r="BRH8" s="412"/>
      <c r="BRI8" s="412"/>
      <c r="BRJ8" s="412"/>
      <c r="BRK8" s="412"/>
      <c r="BRL8" s="412"/>
      <c r="BRM8" s="412"/>
      <c r="BRN8" s="412"/>
      <c r="BRO8" s="412"/>
      <c r="BRP8" s="412"/>
      <c r="BRQ8" s="412"/>
      <c r="BRR8" s="412"/>
      <c r="BRS8" s="412"/>
      <c r="BRT8" s="412"/>
      <c r="BRU8" s="412"/>
      <c r="BRV8" s="412"/>
      <c r="BRW8" s="412"/>
      <c r="BRX8" s="412"/>
      <c r="BRY8" s="412"/>
      <c r="BRZ8" s="412"/>
      <c r="BSA8" s="412"/>
      <c r="BSB8" s="412"/>
      <c r="BSC8" s="412"/>
      <c r="BSD8" s="412"/>
      <c r="BSE8" s="412"/>
      <c r="BSF8" s="412"/>
      <c r="BSG8" s="412"/>
      <c r="BSH8" s="412"/>
      <c r="BSI8" s="412"/>
      <c r="BSJ8" s="412"/>
      <c r="BSK8" s="412"/>
      <c r="BSL8" s="412"/>
      <c r="BSM8" s="412"/>
      <c r="BSN8" s="412"/>
      <c r="BSO8" s="412"/>
      <c r="BSP8" s="412"/>
      <c r="BSQ8" s="412"/>
      <c r="BSR8" s="412"/>
      <c r="BSS8" s="412"/>
      <c r="BST8" s="412"/>
      <c r="BSU8" s="412"/>
      <c r="BSV8" s="412"/>
      <c r="BSW8" s="412"/>
      <c r="BSX8" s="412"/>
      <c r="BSY8" s="412"/>
      <c r="BSZ8" s="412"/>
      <c r="BTA8" s="412"/>
      <c r="BTB8" s="412"/>
      <c r="BTC8" s="412"/>
      <c r="BTD8" s="412"/>
      <c r="BTE8" s="412"/>
      <c r="BTF8" s="412"/>
      <c r="BTG8" s="412"/>
      <c r="BTH8" s="412"/>
      <c r="BTI8" s="412"/>
    </row>
    <row r="9" spans="1:1881" ht="51" customHeight="1" thickBot="1" x14ac:dyDescent="0.3">
      <c r="A9" s="189">
        <v>385</v>
      </c>
      <c r="B9" s="64" t="s">
        <v>67</v>
      </c>
      <c r="C9" s="183" t="s">
        <v>136</v>
      </c>
      <c r="D9" s="175" t="s">
        <v>138</v>
      </c>
      <c r="E9" s="32" t="e">
        <f>HLOOKUP($D$2,'2019 Data(H)'!$C$1:$CG$300,144,FALSE)</f>
        <v>#N/A</v>
      </c>
      <c r="F9" s="647"/>
      <c r="G9" s="413">
        <f>IF((F7+F8)&gt;F9,"Error: Please review cells Account numbers (333+500)&gt;385",)</f>
        <v>0</v>
      </c>
      <c r="H9" s="13"/>
      <c r="I9" s="299"/>
      <c r="J9" s="368"/>
      <c r="L9" s="865" t="s">
        <v>1107</v>
      </c>
      <c r="M9" s="633"/>
      <c r="N9" s="656"/>
    </row>
    <row r="10" spans="1:1881" s="4" customFormat="1" ht="57.75" customHeight="1" thickBot="1" x14ac:dyDescent="0.3">
      <c r="A10" s="189">
        <v>575</v>
      </c>
      <c r="B10" s="151" t="s">
        <v>77</v>
      </c>
      <c r="C10" s="183" t="s">
        <v>136</v>
      </c>
      <c r="D10" s="308" t="s">
        <v>1226</v>
      </c>
      <c r="E10" s="32" t="e">
        <f>HLOOKUP($D$2,'2019 Data(H)'!$C$1:$CG$300,225,FALSE)</f>
        <v>#N/A</v>
      </c>
      <c r="F10" s="647"/>
      <c r="G10" s="413">
        <f>IF(F10&lt;0,"Note: Number is normally positive.",)</f>
        <v>0</v>
      </c>
      <c r="H10" s="193"/>
      <c r="I10" s="300"/>
      <c r="J10" s="412"/>
      <c r="K10" s="412"/>
      <c r="L10" s="865" t="s">
        <v>1108</v>
      </c>
      <c r="M10" s="633"/>
      <c r="N10" s="656"/>
      <c r="O10" s="412"/>
      <c r="P10" s="412"/>
      <c r="Q10" s="412"/>
      <c r="R10" s="412"/>
      <c r="S10" s="412"/>
      <c r="T10" s="412"/>
      <c r="U10" s="412"/>
      <c r="V10" s="412"/>
      <c r="W10" s="412"/>
      <c r="X10" s="412"/>
      <c r="Y10" s="412"/>
      <c r="Z10" s="412"/>
      <c r="AA10" s="412"/>
      <c r="AB10" s="412"/>
      <c r="AC10" s="412"/>
      <c r="AD10" s="412"/>
      <c r="AE10" s="412"/>
      <c r="AF10" s="412"/>
      <c r="AG10" s="412"/>
      <c r="AH10" s="412"/>
      <c r="AI10" s="412"/>
      <c r="AJ10" s="412"/>
      <c r="AK10" s="412"/>
      <c r="AL10" s="412"/>
      <c r="AM10" s="412"/>
      <c r="AN10" s="412"/>
      <c r="AO10" s="412"/>
      <c r="AP10" s="412"/>
      <c r="AQ10" s="412"/>
      <c r="AR10" s="412"/>
      <c r="AS10" s="412"/>
      <c r="AT10" s="412"/>
      <c r="AU10" s="412"/>
      <c r="AV10" s="412"/>
      <c r="AW10" s="412"/>
      <c r="AX10" s="412"/>
      <c r="AY10" s="412"/>
      <c r="AZ10" s="412"/>
      <c r="BA10" s="412"/>
      <c r="BB10" s="412"/>
      <c r="BC10" s="412"/>
      <c r="BD10" s="412"/>
      <c r="BE10" s="412"/>
      <c r="BF10" s="412"/>
      <c r="BG10" s="412"/>
      <c r="BH10" s="412"/>
      <c r="BI10" s="412"/>
      <c r="BJ10" s="412"/>
      <c r="BK10" s="412"/>
      <c r="BL10" s="412"/>
      <c r="BM10" s="412"/>
      <c r="BN10" s="412"/>
      <c r="BO10" s="412"/>
      <c r="BP10" s="412"/>
      <c r="BQ10" s="412"/>
      <c r="BR10" s="412"/>
      <c r="BS10" s="412"/>
      <c r="BT10" s="412"/>
      <c r="BU10" s="412"/>
      <c r="BV10" s="412"/>
      <c r="BW10" s="412"/>
      <c r="BX10" s="412"/>
      <c r="BY10" s="412"/>
      <c r="BZ10" s="412"/>
      <c r="CA10" s="412"/>
      <c r="CB10" s="412"/>
      <c r="CC10" s="412"/>
      <c r="CD10" s="412"/>
      <c r="CE10" s="412"/>
      <c r="CF10" s="412"/>
      <c r="CG10" s="412"/>
      <c r="CH10" s="412"/>
      <c r="CI10" s="412"/>
      <c r="CJ10" s="412"/>
      <c r="CK10" s="412"/>
      <c r="CL10" s="412"/>
      <c r="CM10" s="412"/>
      <c r="CN10" s="412"/>
      <c r="CO10" s="412"/>
      <c r="CP10" s="412"/>
      <c r="CQ10" s="412"/>
      <c r="CR10" s="412"/>
      <c r="CS10" s="412"/>
      <c r="CT10" s="412"/>
      <c r="CU10" s="412"/>
      <c r="CV10" s="412"/>
      <c r="CW10" s="412"/>
      <c r="CX10" s="412"/>
      <c r="CY10" s="412"/>
      <c r="CZ10" s="412"/>
      <c r="DA10" s="412"/>
      <c r="DB10" s="412"/>
      <c r="DC10" s="412"/>
      <c r="DD10" s="412"/>
      <c r="DE10" s="412"/>
      <c r="DF10" s="412"/>
      <c r="DG10" s="412"/>
      <c r="DH10" s="412"/>
      <c r="DI10" s="412"/>
      <c r="DJ10" s="412"/>
      <c r="DK10" s="412"/>
      <c r="DL10" s="412"/>
      <c r="DM10" s="412"/>
      <c r="DN10" s="412"/>
      <c r="DO10" s="412"/>
      <c r="DP10" s="412"/>
      <c r="DQ10" s="412"/>
      <c r="DR10" s="412"/>
      <c r="DS10" s="412"/>
      <c r="DT10" s="412"/>
      <c r="DU10" s="412"/>
      <c r="DV10" s="412"/>
      <c r="DW10" s="412"/>
      <c r="DX10" s="412"/>
      <c r="DY10" s="412"/>
      <c r="DZ10" s="412"/>
      <c r="EA10" s="412"/>
      <c r="EB10" s="412"/>
      <c r="EC10" s="412"/>
      <c r="ED10" s="412"/>
      <c r="EE10" s="412"/>
      <c r="EF10" s="412"/>
      <c r="EG10" s="412"/>
      <c r="EH10" s="412"/>
      <c r="EI10" s="412"/>
      <c r="EJ10" s="412"/>
      <c r="EK10" s="412"/>
      <c r="EL10" s="412"/>
      <c r="EM10" s="412"/>
      <c r="EN10" s="412"/>
      <c r="EO10" s="412"/>
      <c r="EP10" s="412"/>
      <c r="EQ10" s="412"/>
      <c r="ER10" s="412"/>
      <c r="ES10" s="412"/>
      <c r="ET10" s="412"/>
      <c r="EU10" s="412"/>
      <c r="EV10" s="412"/>
      <c r="EW10" s="412"/>
      <c r="EX10" s="412"/>
      <c r="EY10" s="412"/>
      <c r="EZ10" s="412"/>
      <c r="FA10" s="412"/>
      <c r="FB10" s="412"/>
      <c r="FC10" s="412"/>
      <c r="FD10" s="412"/>
      <c r="FE10" s="412"/>
      <c r="FF10" s="412"/>
      <c r="FG10" s="412"/>
      <c r="FH10" s="412"/>
      <c r="FI10" s="412"/>
      <c r="FJ10" s="412"/>
      <c r="FK10" s="412"/>
      <c r="FL10" s="412"/>
      <c r="FM10" s="412"/>
      <c r="FN10" s="412"/>
      <c r="FO10" s="412"/>
      <c r="FP10" s="412"/>
      <c r="FQ10" s="412"/>
      <c r="FR10" s="412"/>
      <c r="FS10" s="412"/>
      <c r="FT10" s="412"/>
      <c r="FU10" s="412"/>
      <c r="FV10" s="412"/>
      <c r="FW10" s="412"/>
      <c r="FX10" s="412"/>
      <c r="FY10" s="412"/>
      <c r="FZ10" s="412"/>
      <c r="GA10" s="412"/>
      <c r="GB10" s="412"/>
      <c r="GC10" s="412"/>
      <c r="GD10" s="412"/>
      <c r="GE10" s="412"/>
      <c r="GF10" s="412"/>
      <c r="GG10" s="412"/>
      <c r="GH10" s="412"/>
      <c r="GI10" s="412"/>
      <c r="GJ10" s="412"/>
      <c r="GK10" s="412"/>
      <c r="GL10" s="412"/>
      <c r="GM10" s="412"/>
      <c r="GN10" s="412"/>
      <c r="GO10" s="412"/>
      <c r="GP10" s="412"/>
      <c r="GQ10" s="412"/>
      <c r="GR10" s="412"/>
      <c r="GS10" s="412"/>
      <c r="GT10" s="412"/>
      <c r="GU10" s="412"/>
      <c r="GV10" s="412"/>
      <c r="GW10" s="412"/>
      <c r="GX10" s="412"/>
      <c r="GY10" s="412"/>
      <c r="GZ10" s="412"/>
      <c r="HA10" s="412"/>
      <c r="HB10" s="412"/>
      <c r="HC10" s="412"/>
      <c r="HD10" s="412"/>
      <c r="HE10" s="412"/>
      <c r="HF10" s="412"/>
      <c r="HG10" s="412"/>
      <c r="HH10" s="412"/>
      <c r="HI10" s="412"/>
      <c r="HJ10" s="412"/>
      <c r="HK10" s="412"/>
      <c r="HL10" s="412"/>
      <c r="HM10" s="412"/>
      <c r="HN10" s="412"/>
      <c r="HO10" s="412"/>
      <c r="HP10" s="412"/>
      <c r="HQ10" s="412"/>
      <c r="HR10" s="412"/>
      <c r="HS10" s="412"/>
      <c r="HT10" s="412"/>
      <c r="HU10" s="412"/>
      <c r="HV10" s="412"/>
      <c r="HW10" s="412"/>
      <c r="HX10" s="412"/>
      <c r="HY10" s="412"/>
      <c r="HZ10" s="412"/>
      <c r="IA10" s="412"/>
      <c r="IB10" s="412"/>
      <c r="IC10" s="412"/>
      <c r="ID10" s="412"/>
      <c r="IE10" s="412"/>
      <c r="IF10" s="412"/>
      <c r="IG10" s="412"/>
      <c r="IH10" s="412"/>
      <c r="II10" s="412"/>
      <c r="IJ10" s="412"/>
      <c r="IK10" s="412"/>
      <c r="IL10" s="412"/>
      <c r="IM10" s="412"/>
      <c r="IN10" s="412"/>
      <c r="IO10" s="412"/>
      <c r="IP10" s="412"/>
      <c r="IQ10" s="412"/>
      <c r="IR10" s="412"/>
      <c r="IS10" s="412"/>
      <c r="IT10" s="412"/>
      <c r="IU10" s="412"/>
      <c r="IV10" s="412"/>
      <c r="IW10" s="412"/>
      <c r="IX10" s="412"/>
      <c r="IY10" s="412"/>
      <c r="IZ10" s="412"/>
      <c r="JA10" s="412"/>
      <c r="JB10" s="412"/>
      <c r="JC10" s="412"/>
      <c r="JD10" s="412"/>
      <c r="JE10" s="412"/>
      <c r="JF10" s="412"/>
      <c r="JG10" s="412"/>
      <c r="JH10" s="412"/>
      <c r="JI10" s="412"/>
      <c r="JJ10" s="412"/>
      <c r="JK10" s="412"/>
      <c r="JL10" s="412"/>
      <c r="JM10" s="412"/>
      <c r="JN10" s="412"/>
      <c r="JO10" s="412"/>
      <c r="JP10" s="412"/>
      <c r="JQ10" s="412"/>
      <c r="JR10" s="412"/>
      <c r="JS10" s="412"/>
      <c r="JT10" s="412"/>
      <c r="JU10" s="412"/>
      <c r="JV10" s="412"/>
      <c r="JW10" s="412"/>
      <c r="JX10" s="412"/>
      <c r="JY10" s="412"/>
      <c r="JZ10" s="412"/>
      <c r="KA10" s="412"/>
      <c r="KB10" s="412"/>
      <c r="KC10" s="412"/>
      <c r="KD10" s="412"/>
      <c r="KE10" s="412"/>
      <c r="KF10" s="412"/>
      <c r="KG10" s="412"/>
      <c r="KH10" s="412"/>
      <c r="KI10" s="412"/>
      <c r="KJ10" s="412"/>
      <c r="KK10" s="412"/>
      <c r="KL10" s="412"/>
      <c r="KM10" s="412"/>
      <c r="KN10" s="412"/>
      <c r="KO10" s="412"/>
      <c r="KP10" s="412"/>
      <c r="KQ10" s="412"/>
      <c r="KR10" s="412"/>
      <c r="KS10" s="412"/>
      <c r="KT10" s="412"/>
      <c r="KU10" s="412"/>
      <c r="KV10" s="412"/>
      <c r="KW10" s="412"/>
      <c r="KX10" s="412"/>
      <c r="KY10" s="412"/>
      <c r="KZ10" s="412"/>
      <c r="LA10" s="412"/>
      <c r="LB10" s="412"/>
      <c r="LC10" s="412"/>
      <c r="LD10" s="412"/>
      <c r="LE10" s="412"/>
      <c r="LF10" s="412"/>
      <c r="LG10" s="412"/>
      <c r="LH10" s="412"/>
      <c r="LI10" s="412"/>
      <c r="LJ10" s="412"/>
      <c r="LK10" s="412"/>
      <c r="LL10" s="412"/>
      <c r="LM10" s="412"/>
      <c r="LN10" s="412"/>
      <c r="LO10" s="412"/>
      <c r="LP10" s="412"/>
      <c r="LQ10" s="412"/>
      <c r="LR10" s="412"/>
      <c r="LS10" s="412"/>
      <c r="LT10" s="412"/>
      <c r="LU10" s="412"/>
      <c r="LV10" s="412"/>
      <c r="LW10" s="412"/>
      <c r="LX10" s="412"/>
      <c r="LY10" s="412"/>
      <c r="LZ10" s="412"/>
      <c r="MA10" s="412"/>
      <c r="MB10" s="412"/>
      <c r="MC10" s="412"/>
      <c r="MD10" s="412"/>
      <c r="ME10" s="412"/>
      <c r="MF10" s="412"/>
      <c r="MG10" s="412"/>
      <c r="MH10" s="412"/>
      <c r="MI10" s="412"/>
      <c r="MJ10" s="412"/>
      <c r="MK10" s="412"/>
      <c r="ML10" s="412"/>
      <c r="MM10" s="412"/>
      <c r="MN10" s="412"/>
      <c r="MO10" s="412"/>
      <c r="MP10" s="412"/>
      <c r="MQ10" s="412"/>
      <c r="MR10" s="412"/>
      <c r="MS10" s="412"/>
      <c r="MT10" s="412"/>
      <c r="MU10" s="412"/>
      <c r="MV10" s="412"/>
      <c r="MW10" s="412"/>
      <c r="MX10" s="412"/>
      <c r="MY10" s="412"/>
      <c r="MZ10" s="412"/>
      <c r="NA10" s="412"/>
      <c r="NB10" s="412"/>
      <c r="NC10" s="412"/>
      <c r="ND10" s="412"/>
      <c r="NE10" s="412"/>
      <c r="NF10" s="412"/>
      <c r="NG10" s="412"/>
      <c r="NH10" s="412"/>
      <c r="NI10" s="412"/>
      <c r="NJ10" s="412"/>
      <c r="NK10" s="412"/>
      <c r="NL10" s="412"/>
      <c r="NM10" s="412"/>
      <c r="NN10" s="412"/>
      <c r="NO10" s="412"/>
      <c r="NP10" s="412"/>
      <c r="NQ10" s="412"/>
      <c r="NR10" s="412"/>
      <c r="NS10" s="412"/>
      <c r="NT10" s="412"/>
      <c r="NU10" s="412"/>
      <c r="NV10" s="412"/>
      <c r="NW10" s="412"/>
      <c r="NX10" s="412"/>
      <c r="NY10" s="412"/>
      <c r="NZ10" s="412"/>
      <c r="OA10" s="412"/>
      <c r="OB10" s="412"/>
      <c r="OC10" s="412"/>
      <c r="OD10" s="412"/>
      <c r="OE10" s="412"/>
      <c r="OF10" s="412"/>
      <c r="OG10" s="412"/>
      <c r="OH10" s="412"/>
      <c r="OI10" s="412"/>
      <c r="OJ10" s="412"/>
      <c r="OK10" s="412"/>
      <c r="OL10" s="412"/>
      <c r="OM10" s="412"/>
      <c r="ON10" s="412"/>
      <c r="OO10" s="412"/>
      <c r="OP10" s="412"/>
      <c r="OQ10" s="412"/>
      <c r="OR10" s="412"/>
      <c r="OS10" s="412"/>
      <c r="OT10" s="412"/>
      <c r="OU10" s="412"/>
      <c r="OV10" s="412"/>
      <c r="OW10" s="412"/>
      <c r="OX10" s="412"/>
      <c r="OY10" s="412"/>
      <c r="OZ10" s="412"/>
      <c r="PA10" s="412"/>
      <c r="PB10" s="412"/>
      <c r="PC10" s="412"/>
      <c r="PD10" s="412"/>
      <c r="PE10" s="412"/>
      <c r="PF10" s="412"/>
      <c r="PG10" s="412"/>
      <c r="PH10" s="412"/>
      <c r="PI10" s="412"/>
      <c r="PJ10" s="412"/>
      <c r="PK10" s="412"/>
      <c r="PL10" s="412"/>
      <c r="PM10" s="412"/>
      <c r="PN10" s="412"/>
      <c r="PO10" s="412"/>
      <c r="PP10" s="412"/>
      <c r="PQ10" s="412"/>
      <c r="PR10" s="412"/>
      <c r="PS10" s="412"/>
      <c r="PT10" s="412"/>
      <c r="PU10" s="412"/>
      <c r="PV10" s="412"/>
      <c r="PW10" s="412"/>
      <c r="PX10" s="412"/>
      <c r="PY10" s="412"/>
      <c r="PZ10" s="412"/>
      <c r="QA10" s="412"/>
      <c r="QB10" s="412"/>
      <c r="QC10" s="412"/>
      <c r="QD10" s="412"/>
      <c r="QE10" s="412"/>
      <c r="QF10" s="412"/>
      <c r="QG10" s="412"/>
      <c r="QH10" s="412"/>
      <c r="QI10" s="412"/>
      <c r="QJ10" s="412"/>
      <c r="QK10" s="412"/>
      <c r="QL10" s="412"/>
      <c r="QM10" s="412"/>
      <c r="QN10" s="412"/>
      <c r="QO10" s="412"/>
      <c r="QP10" s="412"/>
      <c r="QQ10" s="412"/>
      <c r="QR10" s="412"/>
      <c r="QS10" s="412"/>
      <c r="QT10" s="412"/>
      <c r="QU10" s="412"/>
      <c r="QV10" s="412"/>
      <c r="QW10" s="412"/>
      <c r="QX10" s="412"/>
      <c r="QY10" s="412"/>
      <c r="QZ10" s="412"/>
      <c r="RA10" s="412"/>
      <c r="RB10" s="412"/>
      <c r="RC10" s="412"/>
      <c r="RD10" s="412"/>
      <c r="RE10" s="412"/>
      <c r="RF10" s="412"/>
      <c r="RG10" s="412"/>
      <c r="RH10" s="412"/>
      <c r="RI10" s="412"/>
      <c r="RJ10" s="412"/>
      <c r="RK10" s="412"/>
      <c r="RL10" s="412"/>
      <c r="RM10" s="412"/>
      <c r="RN10" s="412"/>
      <c r="RO10" s="412"/>
      <c r="RP10" s="412"/>
      <c r="RQ10" s="412"/>
      <c r="RR10" s="412"/>
      <c r="RS10" s="412"/>
      <c r="RT10" s="412"/>
      <c r="RU10" s="412"/>
      <c r="RV10" s="412"/>
      <c r="RW10" s="412"/>
      <c r="RX10" s="412"/>
      <c r="RY10" s="412"/>
      <c r="RZ10" s="412"/>
      <c r="SA10" s="412"/>
      <c r="SB10" s="412"/>
      <c r="SC10" s="412"/>
      <c r="SD10" s="412"/>
      <c r="SE10" s="412"/>
      <c r="SF10" s="412"/>
      <c r="SG10" s="412"/>
      <c r="SH10" s="412"/>
      <c r="SI10" s="412"/>
      <c r="SJ10" s="412"/>
      <c r="SK10" s="412"/>
      <c r="SL10" s="412"/>
      <c r="SM10" s="412"/>
      <c r="SN10" s="412"/>
      <c r="SO10" s="412"/>
      <c r="SP10" s="412"/>
      <c r="SQ10" s="412"/>
      <c r="SR10" s="412"/>
      <c r="SS10" s="412"/>
      <c r="ST10" s="412"/>
      <c r="SU10" s="412"/>
      <c r="SV10" s="412"/>
      <c r="SW10" s="412"/>
      <c r="SX10" s="412"/>
      <c r="SY10" s="412"/>
      <c r="SZ10" s="412"/>
      <c r="TA10" s="412"/>
      <c r="TB10" s="412"/>
      <c r="TC10" s="412"/>
      <c r="TD10" s="412"/>
      <c r="TE10" s="412"/>
      <c r="TF10" s="412"/>
      <c r="TG10" s="412"/>
      <c r="TH10" s="412"/>
      <c r="TI10" s="412"/>
      <c r="TJ10" s="412"/>
      <c r="TK10" s="412"/>
      <c r="TL10" s="412"/>
      <c r="TM10" s="412"/>
      <c r="TN10" s="412"/>
      <c r="TO10" s="412"/>
      <c r="TP10" s="412"/>
      <c r="TQ10" s="412"/>
      <c r="TR10" s="412"/>
      <c r="TS10" s="412"/>
      <c r="TT10" s="412"/>
      <c r="TU10" s="412"/>
      <c r="TV10" s="412"/>
      <c r="TW10" s="412"/>
      <c r="TX10" s="412"/>
      <c r="TY10" s="412"/>
      <c r="TZ10" s="412"/>
      <c r="UA10" s="412"/>
      <c r="UB10" s="412"/>
      <c r="UC10" s="412"/>
      <c r="UD10" s="412"/>
      <c r="UE10" s="412"/>
      <c r="UF10" s="412"/>
      <c r="UG10" s="412"/>
      <c r="UH10" s="412"/>
      <c r="UI10" s="412"/>
      <c r="UJ10" s="412"/>
      <c r="UK10" s="412"/>
      <c r="UL10" s="412"/>
      <c r="UM10" s="412"/>
      <c r="UN10" s="412"/>
      <c r="UO10" s="412"/>
      <c r="UP10" s="412"/>
      <c r="UQ10" s="412"/>
      <c r="UR10" s="412"/>
      <c r="US10" s="412"/>
      <c r="UT10" s="412"/>
      <c r="UU10" s="412"/>
      <c r="UV10" s="412"/>
      <c r="UW10" s="412"/>
      <c r="UX10" s="412"/>
      <c r="UY10" s="412"/>
      <c r="UZ10" s="412"/>
      <c r="VA10" s="412"/>
      <c r="VB10" s="412"/>
      <c r="VC10" s="412"/>
      <c r="VD10" s="412"/>
      <c r="VE10" s="412"/>
      <c r="VF10" s="412"/>
      <c r="VG10" s="412"/>
      <c r="VH10" s="412"/>
      <c r="VI10" s="412"/>
      <c r="VJ10" s="412"/>
      <c r="VK10" s="412"/>
      <c r="VL10" s="412"/>
      <c r="VM10" s="412"/>
      <c r="VN10" s="412"/>
      <c r="VO10" s="412"/>
      <c r="VP10" s="412"/>
      <c r="VQ10" s="412"/>
      <c r="VR10" s="412"/>
      <c r="VS10" s="412"/>
      <c r="VT10" s="412"/>
      <c r="VU10" s="412"/>
      <c r="VV10" s="412"/>
      <c r="VW10" s="412"/>
      <c r="VX10" s="412"/>
      <c r="VY10" s="412"/>
      <c r="VZ10" s="412"/>
      <c r="WA10" s="412"/>
      <c r="WB10" s="412"/>
      <c r="WC10" s="412"/>
      <c r="WD10" s="412"/>
      <c r="WE10" s="412"/>
      <c r="WF10" s="412"/>
      <c r="WG10" s="412"/>
      <c r="WH10" s="412"/>
      <c r="WI10" s="412"/>
      <c r="WJ10" s="412"/>
      <c r="WK10" s="412"/>
      <c r="WL10" s="412"/>
      <c r="WM10" s="412"/>
      <c r="WN10" s="412"/>
      <c r="WO10" s="412"/>
      <c r="WP10" s="412"/>
      <c r="WQ10" s="412"/>
      <c r="WR10" s="412"/>
      <c r="WS10" s="412"/>
      <c r="WT10" s="412"/>
      <c r="WU10" s="412"/>
      <c r="WV10" s="412"/>
      <c r="WW10" s="412"/>
      <c r="WX10" s="412"/>
      <c r="WY10" s="412"/>
      <c r="WZ10" s="412"/>
      <c r="XA10" s="412"/>
      <c r="XB10" s="412"/>
      <c r="XC10" s="412"/>
      <c r="XD10" s="412"/>
      <c r="XE10" s="412"/>
      <c r="XF10" s="412"/>
      <c r="XG10" s="412"/>
      <c r="XH10" s="412"/>
      <c r="XI10" s="412"/>
      <c r="XJ10" s="412"/>
      <c r="XK10" s="412"/>
      <c r="XL10" s="412"/>
      <c r="XM10" s="412"/>
      <c r="XN10" s="412"/>
      <c r="XO10" s="412"/>
      <c r="XP10" s="412"/>
      <c r="XQ10" s="412"/>
      <c r="XR10" s="412"/>
      <c r="XS10" s="412"/>
      <c r="XT10" s="412"/>
      <c r="XU10" s="412"/>
      <c r="XV10" s="412"/>
      <c r="XW10" s="412"/>
      <c r="XX10" s="412"/>
      <c r="XY10" s="412"/>
      <c r="XZ10" s="412"/>
      <c r="YA10" s="412"/>
      <c r="YB10" s="412"/>
      <c r="YC10" s="412"/>
      <c r="YD10" s="412"/>
      <c r="YE10" s="412"/>
      <c r="YF10" s="412"/>
      <c r="YG10" s="412"/>
      <c r="YH10" s="412"/>
      <c r="YI10" s="412"/>
      <c r="YJ10" s="412"/>
      <c r="YK10" s="412"/>
      <c r="YL10" s="412"/>
      <c r="YM10" s="412"/>
      <c r="YN10" s="412"/>
      <c r="YO10" s="412"/>
      <c r="YP10" s="412"/>
      <c r="YQ10" s="412"/>
      <c r="YR10" s="412"/>
      <c r="YS10" s="412"/>
      <c r="YT10" s="412"/>
      <c r="YU10" s="412"/>
      <c r="YV10" s="412"/>
      <c r="YW10" s="412"/>
      <c r="YX10" s="412"/>
      <c r="YY10" s="412"/>
      <c r="YZ10" s="412"/>
      <c r="ZA10" s="412"/>
      <c r="ZB10" s="412"/>
      <c r="ZC10" s="412"/>
      <c r="ZD10" s="412"/>
      <c r="ZE10" s="412"/>
      <c r="ZF10" s="412"/>
      <c r="ZG10" s="412"/>
      <c r="ZH10" s="412"/>
      <c r="ZI10" s="412"/>
      <c r="ZJ10" s="412"/>
      <c r="ZK10" s="412"/>
      <c r="ZL10" s="412"/>
      <c r="ZM10" s="412"/>
      <c r="ZN10" s="412"/>
      <c r="ZO10" s="412"/>
      <c r="ZP10" s="412"/>
      <c r="ZQ10" s="412"/>
      <c r="ZR10" s="412"/>
      <c r="ZS10" s="412"/>
      <c r="ZT10" s="412"/>
      <c r="ZU10" s="412"/>
      <c r="ZV10" s="412"/>
      <c r="ZW10" s="412"/>
      <c r="ZX10" s="412"/>
      <c r="ZY10" s="412"/>
      <c r="ZZ10" s="412"/>
      <c r="AAA10" s="412"/>
      <c r="AAB10" s="412"/>
      <c r="AAC10" s="412"/>
      <c r="AAD10" s="412"/>
      <c r="AAE10" s="412"/>
      <c r="AAF10" s="412"/>
      <c r="AAG10" s="412"/>
      <c r="AAH10" s="412"/>
      <c r="AAI10" s="412"/>
      <c r="AAJ10" s="412"/>
      <c r="AAK10" s="412"/>
      <c r="AAL10" s="412"/>
      <c r="AAM10" s="412"/>
      <c r="AAN10" s="412"/>
      <c r="AAO10" s="412"/>
      <c r="AAP10" s="412"/>
      <c r="AAQ10" s="412"/>
      <c r="AAR10" s="412"/>
      <c r="AAS10" s="412"/>
      <c r="AAT10" s="412"/>
      <c r="AAU10" s="412"/>
      <c r="AAV10" s="412"/>
      <c r="AAW10" s="412"/>
      <c r="AAX10" s="412"/>
      <c r="AAY10" s="412"/>
      <c r="AAZ10" s="412"/>
      <c r="ABA10" s="412"/>
      <c r="ABB10" s="412"/>
      <c r="ABC10" s="412"/>
      <c r="ABD10" s="412"/>
      <c r="ABE10" s="412"/>
      <c r="ABF10" s="412"/>
      <c r="ABG10" s="412"/>
      <c r="ABH10" s="412"/>
      <c r="ABI10" s="412"/>
      <c r="ABJ10" s="412"/>
      <c r="ABK10" s="412"/>
      <c r="ABL10" s="412"/>
      <c r="ABM10" s="412"/>
      <c r="ABN10" s="412"/>
      <c r="ABO10" s="412"/>
      <c r="ABP10" s="412"/>
      <c r="ABQ10" s="412"/>
      <c r="ABR10" s="412"/>
      <c r="ABS10" s="412"/>
      <c r="ABT10" s="412"/>
      <c r="ABU10" s="412"/>
      <c r="ABV10" s="412"/>
      <c r="ABW10" s="412"/>
      <c r="ABX10" s="412"/>
      <c r="ABY10" s="412"/>
      <c r="ABZ10" s="412"/>
      <c r="ACA10" s="412"/>
      <c r="ACB10" s="412"/>
      <c r="ACC10" s="412"/>
      <c r="ACD10" s="412"/>
      <c r="ACE10" s="412"/>
      <c r="ACF10" s="412"/>
      <c r="ACG10" s="412"/>
      <c r="ACH10" s="412"/>
      <c r="ACI10" s="412"/>
      <c r="ACJ10" s="412"/>
      <c r="ACK10" s="412"/>
      <c r="ACL10" s="412"/>
      <c r="ACM10" s="412"/>
      <c r="ACN10" s="412"/>
      <c r="ACO10" s="412"/>
      <c r="ACP10" s="412"/>
      <c r="ACQ10" s="412"/>
      <c r="ACR10" s="412"/>
      <c r="ACS10" s="412"/>
      <c r="ACT10" s="412"/>
      <c r="ACU10" s="412"/>
      <c r="ACV10" s="412"/>
      <c r="ACW10" s="412"/>
      <c r="ACX10" s="412"/>
      <c r="ACY10" s="412"/>
      <c r="ACZ10" s="412"/>
      <c r="ADA10" s="412"/>
      <c r="ADB10" s="412"/>
      <c r="ADC10" s="412"/>
      <c r="ADD10" s="412"/>
      <c r="ADE10" s="412"/>
      <c r="ADF10" s="412"/>
      <c r="ADG10" s="412"/>
      <c r="ADH10" s="412"/>
      <c r="ADI10" s="412"/>
      <c r="ADJ10" s="412"/>
      <c r="ADK10" s="412"/>
      <c r="ADL10" s="412"/>
      <c r="ADM10" s="412"/>
      <c r="ADN10" s="412"/>
      <c r="ADO10" s="412"/>
      <c r="ADP10" s="412"/>
      <c r="ADQ10" s="412"/>
      <c r="ADR10" s="412"/>
      <c r="ADS10" s="412"/>
      <c r="ADT10" s="412"/>
      <c r="ADU10" s="412"/>
      <c r="ADV10" s="412"/>
      <c r="ADW10" s="412"/>
      <c r="ADX10" s="412"/>
      <c r="ADY10" s="412"/>
      <c r="ADZ10" s="412"/>
      <c r="AEA10" s="412"/>
      <c r="AEB10" s="412"/>
      <c r="AEC10" s="412"/>
      <c r="AED10" s="412"/>
      <c r="AEE10" s="412"/>
      <c r="AEF10" s="412"/>
      <c r="AEG10" s="412"/>
      <c r="AEH10" s="412"/>
      <c r="AEI10" s="412"/>
      <c r="AEJ10" s="412"/>
      <c r="AEK10" s="412"/>
      <c r="AEL10" s="412"/>
      <c r="AEM10" s="412"/>
      <c r="AEN10" s="412"/>
      <c r="AEO10" s="412"/>
      <c r="AEP10" s="412"/>
      <c r="AEQ10" s="412"/>
      <c r="AER10" s="412"/>
      <c r="AES10" s="412"/>
      <c r="AET10" s="412"/>
      <c r="AEU10" s="412"/>
      <c r="AEV10" s="412"/>
      <c r="AEW10" s="412"/>
      <c r="AEX10" s="412"/>
      <c r="AEY10" s="412"/>
      <c r="AEZ10" s="412"/>
      <c r="AFA10" s="412"/>
      <c r="AFB10" s="412"/>
      <c r="AFC10" s="412"/>
      <c r="AFD10" s="412"/>
      <c r="AFE10" s="412"/>
      <c r="AFF10" s="412"/>
      <c r="AFG10" s="412"/>
      <c r="AFH10" s="412"/>
      <c r="AFI10" s="412"/>
      <c r="AFJ10" s="412"/>
      <c r="AFK10" s="412"/>
      <c r="AFL10" s="412"/>
      <c r="AFM10" s="412"/>
      <c r="AFN10" s="412"/>
      <c r="AFO10" s="412"/>
      <c r="AFP10" s="412"/>
      <c r="AFQ10" s="412"/>
      <c r="AFR10" s="412"/>
      <c r="AFS10" s="412"/>
      <c r="AFT10" s="412"/>
      <c r="AFU10" s="412"/>
      <c r="AFV10" s="412"/>
      <c r="AFW10" s="412"/>
      <c r="AFX10" s="412"/>
      <c r="AFY10" s="412"/>
      <c r="AFZ10" s="412"/>
      <c r="AGA10" s="412"/>
      <c r="AGB10" s="412"/>
      <c r="AGC10" s="412"/>
      <c r="AGD10" s="412"/>
      <c r="AGE10" s="412"/>
      <c r="AGF10" s="412"/>
      <c r="AGG10" s="412"/>
      <c r="AGH10" s="412"/>
      <c r="AGI10" s="412"/>
      <c r="AGJ10" s="412"/>
      <c r="AGK10" s="412"/>
      <c r="AGL10" s="412"/>
      <c r="AGM10" s="412"/>
      <c r="AGN10" s="412"/>
      <c r="AGO10" s="412"/>
      <c r="AGP10" s="412"/>
      <c r="AGQ10" s="412"/>
      <c r="AGR10" s="412"/>
      <c r="AGS10" s="412"/>
      <c r="AGT10" s="412"/>
      <c r="AGU10" s="412"/>
      <c r="AGV10" s="412"/>
      <c r="AGW10" s="412"/>
      <c r="AGX10" s="412"/>
      <c r="AGY10" s="412"/>
      <c r="AGZ10" s="412"/>
      <c r="AHA10" s="412"/>
      <c r="AHB10" s="412"/>
      <c r="AHC10" s="412"/>
      <c r="AHD10" s="412"/>
      <c r="AHE10" s="412"/>
      <c r="AHF10" s="412"/>
      <c r="AHG10" s="412"/>
      <c r="AHH10" s="412"/>
      <c r="AHI10" s="412"/>
      <c r="AHJ10" s="412"/>
      <c r="AHK10" s="412"/>
      <c r="AHL10" s="412"/>
      <c r="AHM10" s="412"/>
      <c r="AHN10" s="412"/>
      <c r="AHO10" s="412"/>
      <c r="AHP10" s="412"/>
      <c r="AHQ10" s="412"/>
      <c r="AHR10" s="412"/>
      <c r="AHS10" s="412"/>
      <c r="AHT10" s="412"/>
      <c r="AHU10" s="412"/>
      <c r="AHV10" s="412"/>
      <c r="AHW10" s="412"/>
      <c r="AHX10" s="412"/>
      <c r="AHY10" s="412"/>
      <c r="AHZ10" s="412"/>
      <c r="AIA10" s="412"/>
      <c r="AIB10" s="412"/>
      <c r="AIC10" s="412"/>
      <c r="AID10" s="412"/>
      <c r="AIE10" s="412"/>
      <c r="AIF10" s="412"/>
      <c r="AIG10" s="412"/>
      <c r="AIH10" s="412"/>
      <c r="AII10" s="412"/>
      <c r="AIJ10" s="412"/>
      <c r="AIK10" s="412"/>
      <c r="AIL10" s="412"/>
      <c r="AIM10" s="412"/>
      <c r="AIN10" s="412"/>
      <c r="AIO10" s="412"/>
      <c r="AIP10" s="412"/>
      <c r="AIQ10" s="412"/>
      <c r="AIR10" s="412"/>
      <c r="AIS10" s="412"/>
      <c r="AIT10" s="412"/>
      <c r="AIU10" s="412"/>
      <c r="AIV10" s="412"/>
      <c r="AIW10" s="412"/>
      <c r="AIX10" s="412"/>
      <c r="AIY10" s="412"/>
      <c r="AIZ10" s="412"/>
      <c r="AJA10" s="412"/>
      <c r="AJB10" s="412"/>
      <c r="AJC10" s="412"/>
      <c r="AJD10" s="412"/>
      <c r="AJE10" s="412"/>
      <c r="AJF10" s="412"/>
      <c r="AJG10" s="412"/>
      <c r="AJH10" s="412"/>
      <c r="AJI10" s="412"/>
      <c r="AJJ10" s="412"/>
      <c r="AJK10" s="412"/>
      <c r="AJL10" s="412"/>
      <c r="AJM10" s="412"/>
      <c r="AJN10" s="412"/>
      <c r="AJO10" s="412"/>
      <c r="AJP10" s="412"/>
      <c r="AJQ10" s="412"/>
      <c r="AJR10" s="412"/>
      <c r="AJS10" s="412"/>
      <c r="AJT10" s="412"/>
      <c r="AJU10" s="412"/>
      <c r="AJV10" s="412"/>
      <c r="AJW10" s="412"/>
      <c r="AJX10" s="412"/>
      <c r="AJY10" s="412"/>
      <c r="AJZ10" s="412"/>
      <c r="AKA10" s="412"/>
      <c r="AKB10" s="412"/>
      <c r="AKC10" s="412"/>
      <c r="AKD10" s="412"/>
      <c r="AKE10" s="412"/>
      <c r="AKF10" s="412"/>
      <c r="AKG10" s="412"/>
      <c r="AKH10" s="412"/>
      <c r="AKI10" s="412"/>
      <c r="AKJ10" s="412"/>
      <c r="AKK10" s="412"/>
      <c r="AKL10" s="412"/>
      <c r="AKM10" s="412"/>
      <c r="AKN10" s="412"/>
      <c r="AKO10" s="412"/>
      <c r="AKP10" s="412"/>
      <c r="AKQ10" s="412"/>
      <c r="AKR10" s="412"/>
      <c r="AKS10" s="412"/>
      <c r="AKT10" s="412"/>
      <c r="AKU10" s="412"/>
      <c r="AKV10" s="412"/>
      <c r="AKW10" s="412"/>
      <c r="AKX10" s="412"/>
      <c r="AKY10" s="412"/>
      <c r="AKZ10" s="412"/>
      <c r="ALA10" s="412"/>
      <c r="ALB10" s="412"/>
      <c r="ALC10" s="412"/>
      <c r="ALD10" s="412"/>
      <c r="ALE10" s="412"/>
      <c r="ALF10" s="412"/>
      <c r="ALG10" s="412"/>
      <c r="ALH10" s="412"/>
      <c r="ALI10" s="412"/>
      <c r="ALJ10" s="412"/>
      <c r="ALK10" s="412"/>
      <c r="ALL10" s="412"/>
      <c r="ALM10" s="412"/>
      <c r="ALN10" s="412"/>
      <c r="ALO10" s="412"/>
      <c r="ALP10" s="412"/>
      <c r="ALQ10" s="412"/>
      <c r="ALR10" s="412"/>
      <c r="ALS10" s="412"/>
      <c r="ALT10" s="412"/>
      <c r="ALU10" s="412"/>
      <c r="ALV10" s="412"/>
      <c r="ALW10" s="412"/>
      <c r="ALX10" s="412"/>
      <c r="ALY10" s="412"/>
      <c r="ALZ10" s="412"/>
      <c r="AMA10" s="412"/>
      <c r="AMB10" s="412"/>
      <c r="AMC10" s="412"/>
      <c r="AMD10" s="412"/>
      <c r="AME10" s="412"/>
      <c r="AMF10" s="412"/>
      <c r="AMG10" s="412"/>
      <c r="AMH10" s="412"/>
      <c r="AMI10" s="412"/>
      <c r="AMJ10" s="412"/>
      <c r="AMK10" s="412"/>
      <c r="AML10" s="412"/>
      <c r="AMM10" s="412"/>
      <c r="AMN10" s="412"/>
      <c r="AMO10" s="412"/>
      <c r="AMP10" s="412"/>
      <c r="AMQ10" s="412"/>
      <c r="AMR10" s="412"/>
      <c r="AMS10" s="412"/>
      <c r="AMT10" s="412"/>
      <c r="AMU10" s="412"/>
      <c r="AMV10" s="412"/>
      <c r="AMW10" s="412"/>
      <c r="AMX10" s="412"/>
      <c r="AMY10" s="412"/>
      <c r="AMZ10" s="412"/>
      <c r="ANA10" s="412"/>
      <c r="ANB10" s="412"/>
      <c r="ANC10" s="412"/>
      <c r="AND10" s="412"/>
      <c r="ANE10" s="412"/>
      <c r="ANF10" s="412"/>
      <c r="ANG10" s="412"/>
      <c r="ANH10" s="412"/>
      <c r="ANI10" s="412"/>
      <c r="ANJ10" s="412"/>
      <c r="ANK10" s="412"/>
      <c r="ANL10" s="412"/>
      <c r="ANM10" s="412"/>
      <c r="ANN10" s="412"/>
      <c r="ANO10" s="412"/>
      <c r="ANP10" s="412"/>
      <c r="ANQ10" s="412"/>
      <c r="ANR10" s="412"/>
      <c r="ANS10" s="412"/>
      <c r="ANT10" s="412"/>
      <c r="ANU10" s="412"/>
      <c r="ANV10" s="412"/>
      <c r="ANW10" s="412"/>
      <c r="ANX10" s="412"/>
      <c r="ANY10" s="412"/>
      <c r="ANZ10" s="412"/>
      <c r="AOA10" s="412"/>
      <c r="AOB10" s="412"/>
      <c r="AOC10" s="412"/>
      <c r="AOD10" s="412"/>
      <c r="AOE10" s="412"/>
      <c r="AOF10" s="412"/>
      <c r="AOG10" s="412"/>
      <c r="AOH10" s="412"/>
      <c r="AOI10" s="412"/>
      <c r="AOJ10" s="412"/>
      <c r="AOK10" s="412"/>
      <c r="AOL10" s="412"/>
      <c r="AOM10" s="412"/>
      <c r="AON10" s="412"/>
      <c r="AOO10" s="412"/>
      <c r="AOP10" s="412"/>
      <c r="AOQ10" s="412"/>
      <c r="AOR10" s="412"/>
      <c r="AOS10" s="412"/>
      <c r="AOT10" s="412"/>
      <c r="AOU10" s="412"/>
      <c r="AOV10" s="412"/>
      <c r="AOW10" s="412"/>
      <c r="AOX10" s="412"/>
      <c r="AOY10" s="412"/>
      <c r="AOZ10" s="412"/>
      <c r="APA10" s="412"/>
      <c r="APB10" s="412"/>
      <c r="APC10" s="412"/>
      <c r="APD10" s="412"/>
      <c r="APE10" s="412"/>
      <c r="APF10" s="412"/>
      <c r="APG10" s="412"/>
      <c r="APH10" s="412"/>
      <c r="API10" s="412"/>
      <c r="APJ10" s="412"/>
      <c r="APK10" s="412"/>
      <c r="APL10" s="412"/>
      <c r="APM10" s="412"/>
      <c r="APN10" s="412"/>
      <c r="APO10" s="412"/>
      <c r="APP10" s="412"/>
      <c r="APQ10" s="412"/>
      <c r="APR10" s="412"/>
      <c r="APS10" s="412"/>
      <c r="APT10" s="412"/>
      <c r="APU10" s="412"/>
      <c r="APV10" s="412"/>
      <c r="APW10" s="412"/>
      <c r="APX10" s="412"/>
      <c r="APY10" s="412"/>
      <c r="APZ10" s="412"/>
      <c r="AQA10" s="412"/>
      <c r="AQB10" s="412"/>
      <c r="AQC10" s="412"/>
      <c r="AQD10" s="412"/>
      <c r="AQE10" s="412"/>
      <c r="AQF10" s="412"/>
      <c r="AQG10" s="412"/>
      <c r="AQH10" s="412"/>
      <c r="AQI10" s="412"/>
      <c r="AQJ10" s="412"/>
      <c r="AQK10" s="412"/>
      <c r="AQL10" s="412"/>
      <c r="AQM10" s="412"/>
      <c r="AQN10" s="412"/>
      <c r="AQO10" s="412"/>
      <c r="AQP10" s="412"/>
      <c r="AQQ10" s="412"/>
      <c r="AQR10" s="412"/>
      <c r="AQS10" s="412"/>
      <c r="AQT10" s="412"/>
      <c r="AQU10" s="412"/>
      <c r="AQV10" s="412"/>
      <c r="AQW10" s="412"/>
      <c r="AQX10" s="412"/>
      <c r="AQY10" s="412"/>
      <c r="AQZ10" s="412"/>
      <c r="ARA10" s="412"/>
      <c r="ARB10" s="412"/>
      <c r="ARC10" s="412"/>
      <c r="ARD10" s="412"/>
      <c r="ARE10" s="412"/>
      <c r="ARF10" s="412"/>
      <c r="ARG10" s="412"/>
      <c r="ARH10" s="412"/>
      <c r="ARI10" s="412"/>
      <c r="ARJ10" s="412"/>
      <c r="ARK10" s="412"/>
      <c r="ARL10" s="412"/>
      <c r="ARM10" s="412"/>
      <c r="ARN10" s="412"/>
      <c r="ARO10" s="412"/>
      <c r="ARP10" s="412"/>
      <c r="ARQ10" s="412"/>
      <c r="ARR10" s="412"/>
      <c r="ARS10" s="412"/>
      <c r="ART10" s="412"/>
      <c r="ARU10" s="412"/>
      <c r="ARV10" s="412"/>
      <c r="ARW10" s="412"/>
      <c r="ARX10" s="412"/>
      <c r="ARY10" s="412"/>
      <c r="ARZ10" s="412"/>
      <c r="ASA10" s="412"/>
      <c r="ASB10" s="412"/>
      <c r="ASC10" s="412"/>
      <c r="ASD10" s="412"/>
      <c r="ASE10" s="412"/>
      <c r="ASF10" s="412"/>
      <c r="ASG10" s="412"/>
      <c r="ASH10" s="412"/>
      <c r="ASI10" s="412"/>
      <c r="ASJ10" s="412"/>
      <c r="ASK10" s="412"/>
      <c r="ASL10" s="412"/>
      <c r="ASM10" s="412"/>
      <c r="ASN10" s="412"/>
      <c r="ASO10" s="412"/>
      <c r="ASP10" s="412"/>
      <c r="ASQ10" s="412"/>
      <c r="ASR10" s="412"/>
      <c r="ASS10" s="412"/>
      <c r="AST10" s="412"/>
      <c r="ASU10" s="412"/>
      <c r="ASV10" s="412"/>
      <c r="ASW10" s="412"/>
      <c r="ASX10" s="412"/>
      <c r="ASY10" s="412"/>
      <c r="ASZ10" s="412"/>
      <c r="ATA10" s="412"/>
      <c r="ATB10" s="412"/>
      <c r="ATC10" s="412"/>
      <c r="ATD10" s="412"/>
      <c r="ATE10" s="412"/>
      <c r="ATF10" s="412"/>
      <c r="ATG10" s="412"/>
      <c r="ATH10" s="412"/>
      <c r="ATI10" s="412"/>
      <c r="ATJ10" s="412"/>
      <c r="ATK10" s="412"/>
      <c r="ATL10" s="412"/>
      <c r="ATM10" s="412"/>
      <c r="ATN10" s="412"/>
      <c r="ATO10" s="412"/>
      <c r="ATP10" s="412"/>
      <c r="ATQ10" s="412"/>
      <c r="ATR10" s="412"/>
      <c r="ATS10" s="412"/>
      <c r="ATT10" s="412"/>
      <c r="ATU10" s="412"/>
      <c r="ATV10" s="412"/>
      <c r="ATW10" s="412"/>
      <c r="ATX10" s="412"/>
      <c r="ATY10" s="412"/>
      <c r="ATZ10" s="412"/>
      <c r="AUA10" s="412"/>
      <c r="AUB10" s="412"/>
      <c r="AUC10" s="412"/>
      <c r="AUD10" s="412"/>
      <c r="AUE10" s="412"/>
      <c r="AUF10" s="412"/>
      <c r="AUG10" s="412"/>
      <c r="AUH10" s="412"/>
      <c r="AUI10" s="412"/>
      <c r="AUJ10" s="412"/>
      <c r="AUK10" s="412"/>
      <c r="AUL10" s="412"/>
      <c r="AUM10" s="412"/>
      <c r="AUN10" s="412"/>
      <c r="AUO10" s="412"/>
      <c r="AUP10" s="412"/>
      <c r="AUQ10" s="412"/>
      <c r="AUR10" s="412"/>
      <c r="AUS10" s="412"/>
      <c r="AUT10" s="412"/>
      <c r="AUU10" s="412"/>
      <c r="AUV10" s="412"/>
      <c r="AUW10" s="412"/>
      <c r="AUX10" s="412"/>
      <c r="AUY10" s="412"/>
      <c r="AUZ10" s="412"/>
      <c r="AVA10" s="412"/>
      <c r="AVB10" s="412"/>
      <c r="AVC10" s="412"/>
      <c r="AVD10" s="412"/>
      <c r="AVE10" s="412"/>
      <c r="AVF10" s="412"/>
      <c r="AVG10" s="412"/>
      <c r="AVH10" s="412"/>
      <c r="AVI10" s="412"/>
      <c r="AVJ10" s="412"/>
      <c r="AVK10" s="412"/>
      <c r="AVL10" s="412"/>
      <c r="AVM10" s="412"/>
      <c r="AVN10" s="412"/>
      <c r="AVO10" s="412"/>
      <c r="AVP10" s="412"/>
      <c r="AVQ10" s="412"/>
      <c r="AVR10" s="412"/>
      <c r="AVS10" s="412"/>
      <c r="AVT10" s="412"/>
      <c r="AVU10" s="412"/>
      <c r="AVV10" s="412"/>
      <c r="AVW10" s="412"/>
      <c r="AVX10" s="412"/>
      <c r="AVY10" s="412"/>
      <c r="AVZ10" s="412"/>
      <c r="AWA10" s="412"/>
      <c r="AWB10" s="412"/>
      <c r="AWC10" s="412"/>
      <c r="AWD10" s="412"/>
      <c r="AWE10" s="412"/>
      <c r="AWF10" s="412"/>
      <c r="AWG10" s="412"/>
      <c r="AWH10" s="412"/>
      <c r="AWI10" s="412"/>
      <c r="AWJ10" s="412"/>
      <c r="AWK10" s="412"/>
      <c r="AWL10" s="412"/>
      <c r="AWM10" s="412"/>
      <c r="AWN10" s="412"/>
      <c r="AWO10" s="412"/>
      <c r="AWP10" s="412"/>
      <c r="AWQ10" s="412"/>
      <c r="AWR10" s="412"/>
      <c r="AWS10" s="412"/>
      <c r="AWT10" s="412"/>
      <c r="AWU10" s="412"/>
      <c r="AWV10" s="412"/>
      <c r="AWW10" s="412"/>
      <c r="AWX10" s="412"/>
      <c r="AWY10" s="412"/>
      <c r="AWZ10" s="412"/>
      <c r="AXA10" s="412"/>
      <c r="AXB10" s="412"/>
      <c r="AXC10" s="412"/>
      <c r="AXD10" s="412"/>
      <c r="AXE10" s="412"/>
      <c r="AXF10" s="412"/>
      <c r="AXG10" s="412"/>
      <c r="AXH10" s="412"/>
      <c r="AXI10" s="412"/>
      <c r="AXJ10" s="412"/>
      <c r="AXK10" s="412"/>
      <c r="AXL10" s="412"/>
      <c r="AXM10" s="412"/>
      <c r="AXN10" s="412"/>
      <c r="AXO10" s="412"/>
      <c r="AXP10" s="412"/>
      <c r="AXQ10" s="412"/>
      <c r="AXR10" s="412"/>
      <c r="AXS10" s="412"/>
      <c r="AXT10" s="412"/>
      <c r="AXU10" s="412"/>
      <c r="AXV10" s="412"/>
      <c r="AXW10" s="412"/>
      <c r="AXX10" s="412"/>
      <c r="AXY10" s="412"/>
      <c r="AXZ10" s="412"/>
      <c r="AYA10" s="412"/>
      <c r="AYB10" s="412"/>
      <c r="AYC10" s="412"/>
      <c r="AYD10" s="412"/>
      <c r="AYE10" s="412"/>
      <c r="AYF10" s="412"/>
      <c r="AYG10" s="412"/>
      <c r="AYH10" s="412"/>
      <c r="AYI10" s="412"/>
      <c r="AYJ10" s="412"/>
      <c r="AYK10" s="412"/>
      <c r="AYL10" s="412"/>
      <c r="AYM10" s="412"/>
      <c r="AYN10" s="412"/>
      <c r="AYO10" s="412"/>
      <c r="AYP10" s="412"/>
      <c r="AYQ10" s="412"/>
      <c r="AYR10" s="412"/>
      <c r="AYS10" s="412"/>
      <c r="AYT10" s="412"/>
      <c r="AYU10" s="412"/>
      <c r="AYV10" s="412"/>
      <c r="AYW10" s="412"/>
      <c r="AYX10" s="412"/>
      <c r="AYY10" s="412"/>
      <c r="AYZ10" s="412"/>
      <c r="AZA10" s="412"/>
      <c r="AZB10" s="412"/>
      <c r="AZC10" s="412"/>
      <c r="AZD10" s="412"/>
      <c r="AZE10" s="412"/>
      <c r="AZF10" s="412"/>
      <c r="AZG10" s="412"/>
      <c r="AZH10" s="412"/>
      <c r="AZI10" s="412"/>
      <c r="AZJ10" s="412"/>
      <c r="AZK10" s="412"/>
      <c r="AZL10" s="412"/>
      <c r="AZM10" s="412"/>
      <c r="AZN10" s="412"/>
      <c r="AZO10" s="412"/>
      <c r="AZP10" s="412"/>
      <c r="AZQ10" s="412"/>
      <c r="AZR10" s="412"/>
      <c r="AZS10" s="412"/>
      <c r="AZT10" s="412"/>
      <c r="AZU10" s="412"/>
      <c r="AZV10" s="412"/>
      <c r="AZW10" s="412"/>
      <c r="AZX10" s="412"/>
      <c r="AZY10" s="412"/>
      <c r="AZZ10" s="412"/>
      <c r="BAA10" s="412"/>
      <c r="BAB10" s="412"/>
      <c r="BAC10" s="412"/>
      <c r="BAD10" s="412"/>
      <c r="BAE10" s="412"/>
      <c r="BAF10" s="412"/>
      <c r="BAG10" s="412"/>
      <c r="BAH10" s="412"/>
      <c r="BAI10" s="412"/>
      <c r="BAJ10" s="412"/>
      <c r="BAK10" s="412"/>
      <c r="BAL10" s="412"/>
      <c r="BAM10" s="412"/>
      <c r="BAN10" s="412"/>
      <c r="BAO10" s="412"/>
      <c r="BAP10" s="412"/>
      <c r="BAQ10" s="412"/>
      <c r="BAR10" s="412"/>
      <c r="BAS10" s="412"/>
      <c r="BAT10" s="412"/>
      <c r="BAU10" s="412"/>
      <c r="BAV10" s="412"/>
      <c r="BAW10" s="412"/>
      <c r="BAX10" s="412"/>
      <c r="BAY10" s="412"/>
      <c r="BAZ10" s="412"/>
      <c r="BBA10" s="412"/>
      <c r="BBB10" s="412"/>
      <c r="BBC10" s="412"/>
      <c r="BBD10" s="412"/>
      <c r="BBE10" s="412"/>
      <c r="BBF10" s="412"/>
      <c r="BBG10" s="412"/>
      <c r="BBH10" s="412"/>
      <c r="BBI10" s="412"/>
      <c r="BBJ10" s="412"/>
      <c r="BBK10" s="412"/>
      <c r="BBL10" s="412"/>
      <c r="BBM10" s="412"/>
      <c r="BBN10" s="412"/>
      <c r="BBO10" s="412"/>
      <c r="BBP10" s="412"/>
      <c r="BBQ10" s="412"/>
      <c r="BBR10" s="412"/>
      <c r="BBS10" s="412"/>
      <c r="BBT10" s="412"/>
      <c r="BBU10" s="412"/>
      <c r="BBV10" s="412"/>
      <c r="BBW10" s="412"/>
      <c r="BBX10" s="412"/>
      <c r="BBY10" s="412"/>
      <c r="BBZ10" s="412"/>
      <c r="BCA10" s="412"/>
      <c r="BCB10" s="412"/>
      <c r="BCC10" s="412"/>
      <c r="BCD10" s="412"/>
      <c r="BCE10" s="412"/>
      <c r="BCF10" s="412"/>
      <c r="BCG10" s="412"/>
      <c r="BCH10" s="412"/>
      <c r="BCI10" s="412"/>
      <c r="BCJ10" s="412"/>
      <c r="BCK10" s="412"/>
      <c r="BCL10" s="412"/>
      <c r="BCM10" s="412"/>
      <c r="BCN10" s="412"/>
      <c r="BCO10" s="412"/>
      <c r="BCP10" s="412"/>
      <c r="BCQ10" s="412"/>
      <c r="BCR10" s="412"/>
      <c r="BCS10" s="412"/>
      <c r="BCT10" s="412"/>
      <c r="BCU10" s="412"/>
      <c r="BCV10" s="412"/>
      <c r="BCW10" s="412"/>
      <c r="BCX10" s="412"/>
      <c r="BCY10" s="412"/>
      <c r="BCZ10" s="412"/>
      <c r="BDA10" s="412"/>
      <c r="BDB10" s="412"/>
      <c r="BDC10" s="412"/>
      <c r="BDD10" s="412"/>
      <c r="BDE10" s="412"/>
      <c r="BDF10" s="412"/>
      <c r="BDG10" s="412"/>
      <c r="BDH10" s="412"/>
      <c r="BDI10" s="412"/>
      <c r="BDJ10" s="412"/>
      <c r="BDK10" s="412"/>
      <c r="BDL10" s="412"/>
      <c r="BDM10" s="412"/>
      <c r="BDN10" s="412"/>
      <c r="BDO10" s="412"/>
      <c r="BDP10" s="412"/>
      <c r="BDQ10" s="412"/>
      <c r="BDR10" s="412"/>
      <c r="BDS10" s="412"/>
      <c r="BDT10" s="412"/>
      <c r="BDU10" s="412"/>
      <c r="BDV10" s="412"/>
      <c r="BDW10" s="412"/>
      <c r="BDX10" s="412"/>
      <c r="BDY10" s="412"/>
      <c r="BDZ10" s="412"/>
      <c r="BEA10" s="412"/>
      <c r="BEB10" s="412"/>
      <c r="BEC10" s="412"/>
      <c r="BED10" s="412"/>
      <c r="BEE10" s="412"/>
      <c r="BEF10" s="412"/>
      <c r="BEG10" s="412"/>
      <c r="BEH10" s="412"/>
      <c r="BEI10" s="412"/>
      <c r="BEJ10" s="412"/>
      <c r="BEK10" s="412"/>
      <c r="BEL10" s="412"/>
      <c r="BEM10" s="412"/>
      <c r="BEN10" s="412"/>
      <c r="BEO10" s="412"/>
      <c r="BEP10" s="412"/>
      <c r="BEQ10" s="412"/>
      <c r="BER10" s="412"/>
      <c r="BES10" s="412"/>
      <c r="BET10" s="412"/>
      <c r="BEU10" s="412"/>
      <c r="BEV10" s="412"/>
      <c r="BEW10" s="412"/>
      <c r="BEX10" s="412"/>
      <c r="BEY10" s="412"/>
      <c r="BEZ10" s="412"/>
      <c r="BFA10" s="412"/>
      <c r="BFB10" s="412"/>
      <c r="BFC10" s="412"/>
      <c r="BFD10" s="412"/>
      <c r="BFE10" s="412"/>
      <c r="BFF10" s="412"/>
      <c r="BFG10" s="412"/>
      <c r="BFH10" s="412"/>
      <c r="BFI10" s="412"/>
      <c r="BFJ10" s="412"/>
      <c r="BFK10" s="412"/>
      <c r="BFL10" s="412"/>
      <c r="BFM10" s="412"/>
      <c r="BFN10" s="412"/>
      <c r="BFO10" s="412"/>
      <c r="BFP10" s="412"/>
      <c r="BFQ10" s="412"/>
      <c r="BFR10" s="412"/>
      <c r="BFS10" s="412"/>
      <c r="BFT10" s="412"/>
      <c r="BFU10" s="412"/>
      <c r="BFV10" s="412"/>
      <c r="BFW10" s="412"/>
      <c r="BFX10" s="412"/>
      <c r="BFY10" s="412"/>
      <c r="BFZ10" s="412"/>
      <c r="BGA10" s="412"/>
      <c r="BGB10" s="412"/>
      <c r="BGC10" s="412"/>
      <c r="BGD10" s="412"/>
      <c r="BGE10" s="412"/>
      <c r="BGF10" s="412"/>
      <c r="BGG10" s="412"/>
      <c r="BGH10" s="412"/>
      <c r="BGI10" s="412"/>
      <c r="BGJ10" s="412"/>
      <c r="BGK10" s="412"/>
      <c r="BGL10" s="412"/>
      <c r="BGM10" s="412"/>
      <c r="BGN10" s="412"/>
      <c r="BGO10" s="412"/>
      <c r="BGP10" s="412"/>
      <c r="BGQ10" s="412"/>
      <c r="BGR10" s="412"/>
      <c r="BGS10" s="412"/>
      <c r="BGT10" s="412"/>
      <c r="BGU10" s="412"/>
      <c r="BGV10" s="412"/>
      <c r="BGW10" s="412"/>
      <c r="BGX10" s="412"/>
      <c r="BGY10" s="412"/>
      <c r="BGZ10" s="412"/>
      <c r="BHA10" s="412"/>
      <c r="BHB10" s="412"/>
      <c r="BHC10" s="412"/>
      <c r="BHD10" s="412"/>
      <c r="BHE10" s="412"/>
      <c r="BHF10" s="412"/>
      <c r="BHG10" s="412"/>
      <c r="BHH10" s="412"/>
      <c r="BHI10" s="412"/>
      <c r="BHJ10" s="412"/>
      <c r="BHK10" s="412"/>
      <c r="BHL10" s="412"/>
      <c r="BHM10" s="412"/>
      <c r="BHN10" s="412"/>
      <c r="BHO10" s="412"/>
      <c r="BHP10" s="412"/>
      <c r="BHQ10" s="412"/>
      <c r="BHR10" s="412"/>
      <c r="BHS10" s="412"/>
      <c r="BHT10" s="412"/>
      <c r="BHU10" s="412"/>
      <c r="BHV10" s="412"/>
      <c r="BHW10" s="412"/>
      <c r="BHX10" s="412"/>
      <c r="BHY10" s="412"/>
      <c r="BHZ10" s="412"/>
      <c r="BIA10" s="412"/>
      <c r="BIB10" s="412"/>
      <c r="BIC10" s="412"/>
      <c r="BID10" s="412"/>
      <c r="BIE10" s="412"/>
      <c r="BIF10" s="412"/>
      <c r="BIG10" s="412"/>
      <c r="BIH10" s="412"/>
      <c r="BII10" s="412"/>
      <c r="BIJ10" s="412"/>
      <c r="BIK10" s="412"/>
      <c r="BIL10" s="412"/>
      <c r="BIM10" s="412"/>
      <c r="BIN10" s="412"/>
      <c r="BIO10" s="412"/>
      <c r="BIP10" s="412"/>
      <c r="BIQ10" s="412"/>
      <c r="BIR10" s="412"/>
      <c r="BIS10" s="412"/>
      <c r="BIT10" s="412"/>
      <c r="BIU10" s="412"/>
      <c r="BIV10" s="412"/>
      <c r="BIW10" s="412"/>
      <c r="BIX10" s="412"/>
      <c r="BIY10" s="412"/>
      <c r="BIZ10" s="412"/>
      <c r="BJA10" s="412"/>
      <c r="BJB10" s="412"/>
      <c r="BJC10" s="412"/>
      <c r="BJD10" s="412"/>
      <c r="BJE10" s="412"/>
      <c r="BJF10" s="412"/>
      <c r="BJG10" s="412"/>
      <c r="BJH10" s="412"/>
      <c r="BJI10" s="412"/>
      <c r="BJJ10" s="412"/>
      <c r="BJK10" s="412"/>
      <c r="BJL10" s="412"/>
      <c r="BJM10" s="412"/>
      <c r="BJN10" s="412"/>
      <c r="BJO10" s="412"/>
      <c r="BJP10" s="412"/>
      <c r="BJQ10" s="412"/>
      <c r="BJR10" s="412"/>
      <c r="BJS10" s="412"/>
      <c r="BJT10" s="412"/>
      <c r="BJU10" s="412"/>
      <c r="BJV10" s="412"/>
      <c r="BJW10" s="412"/>
      <c r="BJX10" s="412"/>
      <c r="BJY10" s="412"/>
      <c r="BJZ10" s="412"/>
      <c r="BKA10" s="412"/>
      <c r="BKB10" s="412"/>
      <c r="BKC10" s="412"/>
      <c r="BKD10" s="412"/>
      <c r="BKE10" s="412"/>
      <c r="BKF10" s="412"/>
      <c r="BKG10" s="412"/>
      <c r="BKH10" s="412"/>
      <c r="BKI10" s="412"/>
      <c r="BKJ10" s="412"/>
      <c r="BKK10" s="412"/>
      <c r="BKL10" s="412"/>
      <c r="BKM10" s="412"/>
      <c r="BKN10" s="412"/>
      <c r="BKO10" s="412"/>
      <c r="BKP10" s="412"/>
      <c r="BKQ10" s="412"/>
      <c r="BKR10" s="412"/>
      <c r="BKS10" s="412"/>
      <c r="BKT10" s="412"/>
      <c r="BKU10" s="412"/>
      <c r="BKV10" s="412"/>
      <c r="BKW10" s="412"/>
      <c r="BKX10" s="412"/>
      <c r="BKY10" s="412"/>
      <c r="BKZ10" s="412"/>
      <c r="BLA10" s="412"/>
      <c r="BLB10" s="412"/>
      <c r="BLC10" s="412"/>
      <c r="BLD10" s="412"/>
      <c r="BLE10" s="412"/>
      <c r="BLF10" s="412"/>
      <c r="BLG10" s="412"/>
      <c r="BLH10" s="412"/>
      <c r="BLI10" s="412"/>
      <c r="BLJ10" s="412"/>
      <c r="BLK10" s="412"/>
      <c r="BLL10" s="412"/>
      <c r="BLM10" s="412"/>
      <c r="BLN10" s="412"/>
      <c r="BLO10" s="412"/>
      <c r="BLP10" s="412"/>
      <c r="BLQ10" s="412"/>
      <c r="BLR10" s="412"/>
      <c r="BLS10" s="412"/>
      <c r="BLT10" s="412"/>
      <c r="BLU10" s="412"/>
      <c r="BLV10" s="412"/>
      <c r="BLW10" s="412"/>
      <c r="BLX10" s="412"/>
      <c r="BLY10" s="412"/>
      <c r="BLZ10" s="412"/>
      <c r="BMA10" s="412"/>
      <c r="BMB10" s="412"/>
      <c r="BMC10" s="412"/>
      <c r="BMD10" s="412"/>
      <c r="BME10" s="412"/>
      <c r="BMF10" s="412"/>
      <c r="BMG10" s="412"/>
      <c r="BMH10" s="412"/>
      <c r="BMI10" s="412"/>
      <c r="BMJ10" s="412"/>
      <c r="BMK10" s="412"/>
      <c r="BML10" s="412"/>
      <c r="BMM10" s="412"/>
      <c r="BMN10" s="412"/>
      <c r="BMO10" s="412"/>
      <c r="BMP10" s="412"/>
      <c r="BMQ10" s="412"/>
      <c r="BMR10" s="412"/>
      <c r="BMS10" s="412"/>
      <c r="BMT10" s="412"/>
      <c r="BMU10" s="412"/>
      <c r="BMV10" s="412"/>
      <c r="BMW10" s="412"/>
      <c r="BMX10" s="412"/>
      <c r="BMY10" s="412"/>
      <c r="BMZ10" s="412"/>
      <c r="BNA10" s="412"/>
      <c r="BNB10" s="412"/>
      <c r="BNC10" s="412"/>
      <c r="BND10" s="412"/>
      <c r="BNE10" s="412"/>
      <c r="BNF10" s="412"/>
      <c r="BNG10" s="412"/>
      <c r="BNH10" s="412"/>
      <c r="BNI10" s="412"/>
      <c r="BNJ10" s="412"/>
      <c r="BNK10" s="412"/>
      <c r="BNL10" s="412"/>
      <c r="BNM10" s="412"/>
      <c r="BNN10" s="412"/>
      <c r="BNO10" s="412"/>
      <c r="BNP10" s="412"/>
      <c r="BNQ10" s="412"/>
      <c r="BNR10" s="412"/>
      <c r="BNS10" s="412"/>
      <c r="BNT10" s="412"/>
      <c r="BNU10" s="412"/>
      <c r="BNV10" s="412"/>
      <c r="BNW10" s="412"/>
      <c r="BNX10" s="412"/>
      <c r="BNY10" s="412"/>
      <c r="BNZ10" s="412"/>
      <c r="BOA10" s="412"/>
      <c r="BOB10" s="412"/>
      <c r="BOC10" s="412"/>
      <c r="BOD10" s="412"/>
      <c r="BOE10" s="412"/>
      <c r="BOF10" s="412"/>
      <c r="BOG10" s="412"/>
      <c r="BOH10" s="412"/>
      <c r="BOI10" s="412"/>
      <c r="BOJ10" s="412"/>
      <c r="BOK10" s="412"/>
      <c r="BOL10" s="412"/>
      <c r="BOM10" s="412"/>
      <c r="BON10" s="412"/>
      <c r="BOO10" s="412"/>
      <c r="BOP10" s="412"/>
      <c r="BOQ10" s="412"/>
      <c r="BOR10" s="412"/>
      <c r="BOS10" s="412"/>
      <c r="BOT10" s="412"/>
      <c r="BOU10" s="412"/>
      <c r="BOV10" s="412"/>
      <c r="BOW10" s="412"/>
      <c r="BOX10" s="412"/>
      <c r="BOY10" s="412"/>
      <c r="BOZ10" s="412"/>
      <c r="BPA10" s="412"/>
      <c r="BPB10" s="412"/>
      <c r="BPC10" s="412"/>
      <c r="BPD10" s="412"/>
      <c r="BPE10" s="412"/>
      <c r="BPF10" s="412"/>
      <c r="BPG10" s="412"/>
      <c r="BPH10" s="412"/>
      <c r="BPI10" s="412"/>
      <c r="BPJ10" s="412"/>
      <c r="BPK10" s="412"/>
      <c r="BPL10" s="412"/>
      <c r="BPM10" s="412"/>
      <c r="BPN10" s="412"/>
      <c r="BPO10" s="412"/>
      <c r="BPP10" s="412"/>
      <c r="BPQ10" s="412"/>
      <c r="BPR10" s="412"/>
      <c r="BPS10" s="412"/>
      <c r="BPT10" s="412"/>
      <c r="BPU10" s="412"/>
      <c r="BPV10" s="412"/>
      <c r="BPW10" s="412"/>
      <c r="BPX10" s="412"/>
      <c r="BPY10" s="412"/>
      <c r="BPZ10" s="412"/>
      <c r="BQA10" s="412"/>
      <c r="BQB10" s="412"/>
      <c r="BQC10" s="412"/>
      <c r="BQD10" s="412"/>
      <c r="BQE10" s="412"/>
      <c r="BQF10" s="412"/>
      <c r="BQG10" s="412"/>
      <c r="BQH10" s="412"/>
      <c r="BQI10" s="412"/>
      <c r="BQJ10" s="412"/>
      <c r="BQK10" s="412"/>
      <c r="BQL10" s="412"/>
      <c r="BQM10" s="412"/>
      <c r="BQN10" s="412"/>
      <c r="BQO10" s="412"/>
      <c r="BQP10" s="412"/>
      <c r="BQQ10" s="412"/>
      <c r="BQR10" s="412"/>
      <c r="BQS10" s="412"/>
      <c r="BQT10" s="412"/>
      <c r="BQU10" s="412"/>
      <c r="BQV10" s="412"/>
      <c r="BQW10" s="412"/>
      <c r="BQX10" s="412"/>
      <c r="BQY10" s="412"/>
      <c r="BQZ10" s="412"/>
      <c r="BRA10" s="412"/>
      <c r="BRB10" s="412"/>
      <c r="BRC10" s="412"/>
      <c r="BRD10" s="412"/>
      <c r="BRE10" s="412"/>
      <c r="BRF10" s="412"/>
      <c r="BRG10" s="412"/>
      <c r="BRH10" s="412"/>
      <c r="BRI10" s="412"/>
      <c r="BRJ10" s="412"/>
      <c r="BRK10" s="412"/>
      <c r="BRL10" s="412"/>
      <c r="BRM10" s="412"/>
      <c r="BRN10" s="412"/>
      <c r="BRO10" s="412"/>
      <c r="BRP10" s="412"/>
      <c r="BRQ10" s="412"/>
      <c r="BRR10" s="412"/>
      <c r="BRS10" s="412"/>
      <c r="BRT10" s="412"/>
      <c r="BRU10" s="412"/>
      <c r="BRV10" s="412"/>
      <c r="BRW10" s="412"/>
      <c r="BRX10" s="412"/>
      <c r="BRY10" s="412"/>
      <c r="BRZ10" s="412"/>
      <c r="BSA10" s="412"/>
      <c r="BSB10" s="412"/>
      <c r="BSC10" s="412"/>
      <c r="BSD10" s="412"/>
      <c r="BSE10" s="412"/>
      <c r="BSF10" s="412"/>
      <c r="BSG10" s="412"/>
      <c r="BSH10" s="412"/>
      <c r="BSI10" s="412"/>
      <c r="BSJ10" s="412"/>
      <c r="BSK10" s="412"/>
      <c r="BSL10" s="412"/>
      <c r="BSM10" s="412"/>
      <c r="BSN10" s="412"/>
      <c r="BSO10" s="412"/>
      <c r="BSP10" s="412"/>
      <c r="BSQ10" s="412"/>
      <c r="BSR10" s="412"/>
      <c r="BSS10" s="412"/>
      <c r="BST10" s="412"/>
      <c r="BSU10" s="412"/>
      <c r="BSV10" s="412"/>
      <c r="BSW10" s="412"/>
      <c r="BSX10" s="412"/>
      <c r="BSY10" s="412"/>
      <c r="BSZ10" s="412"/>
      <c r="BTA10" s="412"/>
      <c r="BTB10" s="412"/>
      <c r="BTC10" s="412"/>
      <c r="BTD10" s="412"/>
      <c r="BTE10" s="412"/>
      <c r="BTF10" s="412"/>
      <c r="BTG10" s="412"/>
      <c r="BTH10" s="412"/>
      <c r="BTI10" s="412"/>
    </row>
    <row r="11" spans="1:1881" s="4" customFormat="1" ht="93.75" customHeight="1" thickBot="1" x14ac:dyDescent="0.3">
      <c r="A11" s="189">
        <v>576</v>
      </c>
      <c r="B11" s="151" t="s">
        <v>77</v>
      </c>
      <c r="C11" s="183" t="s">
        <v>136</v>
      </c>
      <c r="D11" s="308" t="s">
        <v>1227</v>
      </c>
      <c r="E11" s="32" t="e">
        <f>HLOOKUP($D$2,'2019 Data(H)'!$C$1:$CG$300,226,FALSE)</f>
        <v>#N/A</v>
      </c>
      <c r="F11" s="647"/>
      <c r="G11" s="413">
        <f>IF(F11&lt;0,"Error: Enter as positive.",)</f>
        <v>0</v>
      </c>
      <c r="H11" s="193"/>
      <c r="I11" s="300"/>
      <c r="J11" s="368"/>
      <c r="K11" s="412"/>
      <c r="L11" s="865" t="s">
        <v>1109</v>
      </c>
      <c r="M11" s="633"/>
      <c r="N11" s="656"/>
      <c r="O11" s="412"/>
      <c r="P11" s="412"/>
      <c r="Q11" s="412"/>
      <c r="R11" s="412"/>
      <c r="S11" s="412"/>
      <c r="T11" s="412"/>
      <c r="U11" s="412"/>
      <c r="V11" s="412"/>
      <c r="W11" s="412"/>
      <c r="X11" s="412"/>
      <c r="Y11" s="412"/>
      <c r="Z11" s="412"/>
      <c r="AA11" s="412"/>
      <c r="AB11" s="412"/>
      <c r="AC11" s="412"/>
      <c r="AD11" s="412"/>
      <c r="AE11" s="412"/>
      <c r="AF11" s="412"/>
      <c r="AG11" s="412"/>
      <c r="AH11" s="412"/>
      <c r="AI11" s="412"/>
      <c r="AJ11" s="412"/>
      <c r="AK11" s="412"/>
      <c r="AL11" s="412"/>
      <c r="AM11" s="412"/>
      <c r="AN11" s="412"/>
      <c r="AO11" s="412"/>
      <c r="AP11" s="412"/>
      <c r="AQ11" s="412"/>
      <c r="AR11" s="412"/>
      <c r="AS11" s="412"/>
      <c r="AT11" s="412"/>
      <c r="AU11" s="412"/>
      <c r="AV11" s="412"/>
      <c r="AW11" s="412"/>
      <c r="AX11" s="412"/>
      <c r="AY11" s="412"/>
      <c r="AZ11" s="412"/>
      <c r="BA11" s="412"/>
      <c r="BB11" s="412"/>
      <c r="BC11" s="412"/>
      <c r="BD11" s="412"/>
      <c r="BE11" s="412"/>
      <c r="BF11" s="412"/>
      <c r="BG11" s="412"/>
      <c r="BH11" s="412"/>
      <c r="BI11" s="412"/>
      <c r="BJ11" s="412"/>
      <c r="BK11" s="412"/>
      <c r="BL11" s="412"/>
      <c r="BM11" s="412"/>
      <c r="BN11" s="412"/>
      <c r="BO11" s="412"/>
      <c r="BP11" s="412"/>
      <c r="BQ11" s="412"/>
      <c r="BR11" s="412"/>
      <c r="BS11" s="412"/>
      <c r="BT11" s="412"/>
      <c r="BU11" s="412"/>
      <c r="BV11" s="412"/>
      <c r="BW11" s="412"/>
      <c r="BX11" s="412"/>
      <c r="BY11" s="412"/>
      <c r="BZ11" s="412"/>
      <c r="CA11" s="412"/>
      <c r="CB11" s="412"/>
      <c r="CC11" s="412"/>
      <c r="CD11" s="412"/>
      <c r="CE11" s="412"/>
      <c r="CF11" s="412"/>
      <c r="CG11" s="412"/>
      <c r="CH11" s="412"/>
      <c r="CI11" s="412"/>
      <c r="CJ11" s="412"/>
      <c r="CK11" s="412"/>
      <c r="CL11" s="412"/>
      <c r="CM11" s="412"/>
      <c r="CN11" s="412"/>
      <c r="CO11" s="412"/>
      <c r="CP11" s="412"/>
      <c r="CQ11" s="412"/>
      <c r="CR11" s="412"/>
      <c r="CS11" s="412"/>
      <c r="CT11" s="412"/>
      <c r="CU11" s="412"/>
      <c r="CV11" s="412"/>
      <c r="CW11" s="412"/>
      <c r="CX11" s="412"/>
      <c r="CY11" s="412"/>
      <c r="CZ11" s="412"/>
      <c r="DA11" s="412"/>
      <c r="DB11" s="412"/>
      <c r="DC11" s="412"/>
      <c r="DD11" s="412"/>
      <c r="DE11" s="412"/>
      <c r="DF11" s="412"/>
      <c r="DG11" s="412"/>
      <c r="DH11" s="412"/>
      <c r="DI11" s="412"/>
      <c r="DJ11" s="412"/>
      <c r="DK11" s="412"/>
      <c r="DL11" s="412"/>
      <c r="DM11" s="412"/>
      <c r="DN11" s="412"/>
      <c r="DO11" s="412"/>
      <c r="DP11" s="412"/>
      <c r="DQ11" s="412"/>
      <c r="DR11" s="412"/>
      <c r="DS11" s="412"/>
      <c r="DT11" s="412"/>
      <c r="DU11" s="412"/>
      <c r="DV11" s="412"/>
      <c r="DW11" s="412"/>
      <c r="DX11" s="412"/>
      <c r="DY11" s="412"/>
      <c r="DZ11" s="412"/>
      <c r="EA11" s="412"/>
      <c r="EB11" s="412"/>
      <c r="EC11" s="412"/>
      <c r="ED11" s="412"/>
      <c r="EE11" s="412"/>
      <c r="EF11" s="412"/>
      <c r="EG11" s="412"/>
      <c r="EH11" s="412"/>
      <c r="EI11" s="412"/>
      <c r="EJ11" s="412"/>
      <c r="EK11" s="412"/>
      <c r="EL11" s="412"/>
      <c r="EM11" s="412"/>
      <c r="EN11" s="412"/>
      <c r="EO11" s="412"/>
      <c r="EP11" s="412"/>
      <c r="EQ11" s="412"/>
      <c r="ER11" s="412"/>
      <c r="ES11" s="412"/>
      <c r="ET11" s="412"/>
      <c r="EU11" s="412"/>
      <c r="EV11" s="412"/>
      <c r="EW11" s="412"/>
      <c r="EX11" s="412"/>
      <c r="EY11" s="412"/>
      <c r="EZ11" s="412"/>
      <c r="FA11" s="412"/>
      <c r="FB11" s="412"/>
      <c r="FC11" s="412"/>
      <c r="FD11" s="412"/>
      <c r="FE11" s="412"/>
      <c r="FF11" s="412"/>
      <c r="FG11" s="412"/>
      <c r="FH11" s="412"/>
      <c r="FI11" s="412"/>
      <c r="FJ11" s="412"/>
      <c r="FK11" s="412"/>
      <c r="FL11" s="412"/>
      <c r="FM11" s="412"/>
      <c r="FN11" s="412"/>
      <c r="FO11" s="412"/>
      <c r="FP11" s="412"/>
      <c r="FQ11" s="412"/>
      <c r="FR11" s="412"/>
      <c r="FS11" s="412"/>
      <c r="FT11" s="412"/>
      <c r="FU11" s="412"/>
      <c r="FV11" s="412"/>
      <c r="FW11" s="412"/>
      <c r="FX11" s="412"/>
      <c r="FY11" s="412"/>
      <c r="FZ11" s="412"/>
      <c r="GA11" s="412"/>
      <c r="GB11" s="412"/>
      <c r="GC11" s="412"/>
      <c r="GD11" s="412"/>
      <c r="GE11" s="412"/>
      <c r="GF11" s="412"/>
      <c r="GG11" s="412"/>
      <c r="GH11" s="412"/>
      <c r="GI11" s="412"/>
      <c r="GJ11" s="412"/>
      <c r="GK11" s="412"/>
      <c r="GL11" s="412"/>
      <c r="GM11" s="412"/>
      <c r="GN11" s="412"/>
      <c r="GO11" s="412"/>
      <c r="GP11" s="412"/>
      <c r="GQ11" s="412"/>
      <c r="GR11" s="412"/>
      <c r="GS11" s="412"/>
      <c r="GT11" s="412"/>
      <c r="GU11" s="412"/>
      <c r="GV11" s="412"/>
      <c r="GW11" s="412"/>
      <c r="GX11" s="412"/>
      <c r="GY11" s="412"/>
      <c r="GZ11" s="412"/>
      <c r="HA11" s="412"/>
      <c r="HB11" s="412"/>
      <c r="HC11" s="412"/>
      <c r="HD11" s="412"/>
      <c r="HE11" s="412"/>
      <c r="HF11" s="412"/>
      <c r="HG11" s="412"/>
      <c r="HH11" s="412"/>
      <c r="HI11" s="412"/>
      <c r="HJ11" s="412"/>
      <c r="HK11" s="412"/>
      <c r="HL11" s="412"/>
      <c r="HM11" s="412"/>
      <c r="HN11" s="412"/>
      <c r="HO11" s="412"/>
      <c r="HP11" s="412"/>
      <c r="HQ11" s="412"/>
      <c r="HR11" s="412"/>
      <c r="HS11" s="412"/>
      <c r="HT11" s="412"/>
      <c r="HU11" s="412"/>
      <c r="HV11" s="412"/>
      <c r="HW11" s="412"/>
      <c r="HX11" s="412"/>
      <c r="HY11" s="412"/>
      <c r="HZ11" s="412"/>
      <c r="IA11" s="412"/>
      <c r="IB11" s="412"/>
      <c r="IC11" s="412"/>
      <c r="ID11" s="412"/>
      <c r="IE11" s="412"/>
      <c r="IF11" s="412"/>
      <c r="IG11" s="412"/>
      <c r="IH11" s="412"/>
      <c r="II11" s="412"/>
      <c r="IJ11" s="412"/>
      <c r="IK11" s="412"/>
      <c r="IL11" s="412"/>
      <c r="IM11" s="412"/>
      <c r="IN11" s="412"/>
      <c r="IO11" s="412"/>
      <c r="IP11" s="412"/>
      <c r="IQ11" s="412"/>
      <c r="IR11" s="412"/>
      <c r="IS11" s="412"/>
      <c r="IT11" s="412"/>
      <c r="IU11" s="412"/>
      <c r="IV11" s="412"/>
      <c r="IW11" s="412"/>
      <c r="IX11" s="412"/>
      <c r="IY11" s="412"/>
      <c r="IZ11" s="412"/>
      <c r="JA11" s="412"/>
      <c r="JB11" s="412"/>
      <c r="JC11" s="412"/>
      <c r="JD11" s="412"/>
      <c r="JE11" s="412"/>
      <c r="JF11" s="412"/>
      <c r="JG11" s="412"/>
      <c r="JH11" s="412"/>
      <c r="JI11" s="412"/>
      <c r="JJ11" s="412"/>
      <c r="JK11" s="412"/>
      <c r="JL11" s="412"/>
      <c r="JM11" s="412"/>
      <c r="JN11" s="412"/>
      <c r="JO11" s="412"/>
      <c r="JP11" s="412"/>
      <c r="JQ11" s="412"/>
      <c r="JR11" s="412"/>
      <c r="JS11" s="412"/>
      <c r="JT11" s="412"/>
      <c r="JU11" s="412"/>
      <c r="JV11" s="412"/>
      <c r="JW11" s="412"/>
      <c r="JX11" s="412"/>
      <c r="JY11" s="412"/>
      <c r="JZ11" s="412"/>
      <c r="KA11" s="412"/>
      <c r="KB11" s="412"/>
      <c r="KC11" s="412"/>
      <c r="KD11" s="412"/>
      <c r="KE11" s="412"/>
      <c r="KF11" s="412"/>
      <c r="KG11" s="412"/>
      <c r="KH11" s="412"/>
      <c r="KI11" s="412"/>
      <c r="KJ11" s="412"/>
      <c r="KK11" s="412"/>
      <c r="KL11" s="412"/>
      <c r="KM11" s="412"/>
      <c r="KN11" s="412"/>
      <c r="KO11" s="412"/>
      <c r="KP11" s="412"/>
      <c r="KQ11" s="412"/>
      <c r="KR11" s="412"/>
      <c r="KS11" s="412"/>
      <c r="KT11" s="412"/>
      <c r="KU11" s="412"/>
      <c r="KV11" s="412"/>
      <c r="KW11" s="412"/>
      <c r="KX11" s="412"/>
      <c r="KY11" s="412"/>
      <c r="KZ11" s="412"/>
      <c r="LA11" s="412"/>
      <c r="LB11" s="412"/>
      <c r="LC11" s="412"/>
      <c r="LD11" s="412"/>
      <c r="LE11" s="412"/>
      <c r="LF11" s="412"/>
      <c r="LG11" s="412"/>
      <c r="LH11" s="412"/>
      <c r="LI11" s="412"/>
      <c r="LJ11" s="412"/>
      <c r="LK11" s="412"/>
      <c r="LL11" s="412"/>
      <c r="LM11" s="412"/>
      <c r="LN11" s="412"/>
      <c r="LO11" s="412"/>
      <c r="LP11" s="412"/>
      <c r="LQ11" s="412"/>
      <c r="LR11" s="412"/>
      <c r="LS11" s="412"/>
      <c r="LT11" s="412"/>
      <c r="LU11" s="412"/>
      <c r="LV11" s="412"/>
      <c r="LW11" s="412"/>
      <c r="LX11" s="412"/>
      <c r="LY11" s="412"/>
      <c r="LZ11" s="412"/>
      <c r="MA11" s="412"/>
      <c r="MB11" s="412"/>
      <c r="MC11" s="412"/>
      <c r="MD11" s="412"/>
      <c r="ME11" s="412"/>
      <c r="MF11" s="412"/>
      <c r="MG11" s="412"/>
      <c r="MH11" s="412"/>
      <c r="MI11" s="412"/>
      <c r="MJ11" s="412"/>
      <c r="MK11" s="412"/>
      <c r="ML11" s="412"/>
      <c r="MM11" s="412"/>
      <c r="MN11" s="412"/>
      <c r="MO11" s="412"/>
      <c r="MP11" s="412"/>
      <c r="MQ11" s="412"/>
      <c r="MR11" s="412"/>
      <c r="MS11" s="412"/>
      <c r="MT11" s="412"/>
      <c r="MU11" s="412"/>
      <c r="MV11" s="412"/>
      <c r="MW11" s="412"/>
      <c r="MX11" s="412"/>
      <c r="MY11" s="412"/>
      <c r="MZ11" s="412"/>
      <c r="NA11" s="412"/>
      <c r="NB11" s="412"/>
      <c r="NC11" s="412"/>
      <c r="ND11" s="412"/>
      <c r="NE11" s="412"/>
      <c r="NF11" s="412"/>
      <c r="NG11" s="412"/>
      <c r="NH11" s="412"/>
      <c r="NI11" s="412"/>
      <c r="NJ11" s="412"/>
      <c r="NK11" s="412"/>
      <c r="NL11" s="412"/>
      <c r="NM11" s="412"/>
      <c r="NN11" s="412"/>
      <c r="NO11" s="412"/>
      <c r="NP11" s="412"/>
      <c r="NQ11" s="412"/>
      <c r="NR11" s="412"/>
      <c r="NS11" s="412"/>
      <c r="NT11" s="412"/>
      <c r="NU11" s="412"/>
      <c r="NV11" s="412"/>
      <c r="NW11" s="412"/>
      <c r="NX11" s="412"/>
      <c r="NY11" s="412"/>
      <c r="NZ11" s="412"/>
      <c r="OA11" s="412"/>
      <c r="OB11" s="412"/>
      <c r="OC11" s="412"/>
      <c r="OD11" s="412"/>
      <c r="OE11" s="412"/>
      <c r="OF11" s="412"/>
      <c r="OG11" s="412"/>
      <c r="OH11" s="412"/>
      <c r="OI11" s="412"/>
      <c r="OJ11" s="412"/>
      <c r="OK11" s="412"/>
      <c r="OL11" s="412"/>
      <c r="OM11" s="412"/>
      <c r="ON11" s="412"/>
      <c r="OO11" s="412"/>
      <c r="OP11" s="412"/>
      <c r="OQ11" s="412"/>
      <c r="OR11" s="412"/>
      <c r="OS11" s="412"/>
      <c r="OT11" s="412"/>
      <c r="OU11" s="412"/>
      <c r="OV11" s="412"/>
      <c r="OW11" s="412"/>
      <c r="OX11" s="412"/>
      <c r="OY11" s="412"/>
      <c r="OZ11" s="412"/>
      <c r="PA11" s="412"/>
      <c r="PB11" s="412"/>
      <c r="PC11" s="412"/>
      <c r="PD11" s="412"/>
      <c r="PE11" s="412"/>
      <c r="PF11" s="412"/>
      <c r="PG11" s="412"/>
      <c r="PH11" s="412"/>
      <c r="PI11" s="412"/>
      <c r="PJ11" s="412"/>
      <c r="PK11" s="412"/>
      <c r="PL11" s="412"/>
      <c r="PM11" s="412"/>
      <c r="PN11" s="412"/>
      <c r="PO11" s="412"/>
      <c r="PP11" s="412"/>
      <c r="PQ11" s="412"/>
      <c r="PR11" s="412"/>
      <c r="PS11" s="412"/>
      <c r="PT11" s="412"/>
      <c r="PU11" s="412"/>
      <c r="PV11" s="412"/>
      <c r="PW11" s="412"/>
      <c r="PX11" s="412"/>
      <c r="PY11" s="412"/>
      <c r="PZ11" s="412"/>
      <c r="QA11" s="412"/>
      <c r="QB11" s="412"/>
      <c r="QC11" s="412"/>
      <c r="QD11" s="412"/>
      <c r="QE11" s="412"/>
      <c r="QF11" s="412"/>
      <c r="QG11" s="412"/>
      <c r="QH11" s="412"/>
      <c r="QI11" s="412"/>
      <c r="QJ11" s="412"/>
      <c r="QK11" s="412"/>
      <c r="QL11" s="412"/>
      <c r="QM11" s="412"/>
      <c r="QN11" s="412"/>
      <c r="QO11" s="412"/>
      <c r="QP11" s="412"/>
      <c r="QQ11" s="412"/>
      <c r="QR11" s="412"/>
      <c r="QS11" s="412"/>
      <c r="QT11" s="412"/>
      <c r="QU11" s="412"/>
      <c r="QV11" s="412"/>
      <c r="QW11" s="412"/>
      <c r="QX11" s="412"/>
      <c r="QY11" s="412"/>
      <c r="QZ11" s="412"/>
      <c r="RA11" s="412"/>
      <c r="RB11" s="412"/>
      <c r="RC11" s="412"/>
      <c r="RD11" s="412"/>
      <c r="RE11" s="412"/>
      <c r="RF11" s="412"/>
      <c r="RG11" s="412"/>
      <c r="RH11" s="412"/>
      <c r="RI11" s="412"/>
      <c r="RJ11" s="412"/>
      <c r="RK11" s="412"/>
      <c r="RL11" s="412"/>
      <c r="RM11" s="412"/>
      <c r="RN11" s="412"/>
      <c r="RO11" s="412"/>
      <c r="RP11" s="412"/>
      <c r="RQ11" s="412"/>
      <c r="RR11" s="412"/>
      <c r="RS11" s="412"/>
      <c r="RT11" s="412"/>
      <c r="RU11" s="412"/>
      <c r="RV11" s="412"/>
      <c r="RW11" s="412"/>
      <c r="RX11" s="412"/>
      <c r="RY11" s="412"/>
      <c r="RZ11" s="412"/>
      <c r="SA11" s="412"/>
      <c r="SB11" s="412"/>
      <c r="SC11" s="412"/>
      <c r="SD11" s="412"/>
      <c r="SE11" s="412"/>
      <c r="SF11" s="412"/>
      <c r="SG11" s="412"/>
      <c r="SH11" s="412"/>
      <c r="SI11" s="412"/>
      <c r="SJ11" s="412"/>
      <c r="SK11" s="412"/>
      <c r="SL11" s="412"/>
      <c r="SM11" s="412"/>
      <c r="SN11" s="412"/>
      <c r="SO11" s="412"/>
      <c r="SP11" s="412"/>
      <c r="SQ11" s="412"/>
      <c r="SR11" s="412"/>
      <c r="SS11" s="412"/>
      <c r="ST11" s="412"/>
      <c r="SU11" s="412"/>
      <c r="SV11" s="412"/>
      <c r="SW11" s="412"/>
      <c r="SX11" s="412"/>
      <c r="SY11" s="412"/>
      <c r="SZ11" s="412"/>
      <c r="TA11" s="412"/>
      <c r="TB11" s="412"/>
      <c r="TC11" s="412"/>
      <c r="TD11" s="412"/>
      <c r="TE11" s="412"/>
      <c r="TF11" s="412"/>
      <c r="TG11" s="412"/>
      <c r="TH11" s="412"/>
      <c r="TI11" s="412"/>
      <c r="TJ11" s="412"/>
      <c r="TK11" s="412"/>
      <c r="TL11" s="412"/>
      <c r="TM11" s="412"/>
      <c r="TN11" s="412"/>
      <c r="TO11" s="412"/>
      <c r="TP11" s="412"/>
      <c r="TQ11" s="412"/>
      <c r="TR11" s="412"/>
      <c r="TS11" s="412"/>
      <c r="TT11" s="412"/>
      <c r="TU11" s="412"/>
      <c r="TV11" s="412"/>
      <c r="TW11" s="412"/>
      <c r="TX11" s="412"/>
      <c r="TY11" s="412"/>
      <c r="TZ11" s="412"/>
      <c r="UA11" s="412"/>
      <c r="UB11" s="412"/>
      <c r="UC11" s="412"/>
      <c r="UD11" s="412"/>
      <c r="UE11" s="412"/>
      <c r="UF11" s="412"/>
      <c r="UG11" s="412"/>
      <c r="UH11" s="412"/>
      <c r="UI11" s="412"/>
      <c r="UJ11" s="412"/>
      <c r="UK11" s="412"/>
      <c r="UL11" s="412"/>
      <c r="UM11" s="412"/>
      <c r="UN11" s="412"/>
      <c r="UO11" s="412"/>
      <c r="UP11" s="412"/>
      <c r="UQ11" s="412"/>
      <c r="UR11" s="412"/>
      <c r="US11" s="412"/>
      <c r="UT11" s="412"/>
      <c r="UU11" s="412"/>
      <c r="UV11" s="412"/>
      <c r="UW11" s="412"/>
      <c r="UX11" s="412"/>
      <c r="UY11" s="412"/>
      <c r="UZ11" s="412"/>
      <c r="VA11" s="412"/>
      <c r="VB11" s="412"/>
      <c r="VC11" s="412"/>
      <c r="VD11" s="412"/>
      <c r="VE11" s="412"/>
      <c r="VF11" s="412"/>
      <c r="VG11" s="412"/>
      <c r="VH11" s="412"/>
      <c r="VI11" s="412"/>
      <c r="VJ11" s="412"/>
      <c r="VK11" s="412"/>
      <c r="VL11" s="412"/>
      <c r="VM11" s="412"/>
      <c r="VN11" s="412"/>
      <c r="VO11" s="412"/>
      <c r="VP11" s="412"/>
      <c r="VQ11" s="412"/>
      <c r="VR11" s="412"/>
      <c r="VS11" s="412"/>
      <c r="VT11" s="412"/>
      <c r="VU11" s="412"/>
      <c r="VV11" s="412"/>
      <c r="VW11" s="412"/>
      <c r="VX11" s="412"/>
      <c r="VY11" s="412"/>
      <c r="VZ11" s="412"/>
      <c r="WA11" s="412"/>
      <c r="WB11" s="412"/>
      <c r="WC11" s="412"/>
      <c r="WD11" s="412"/>
      <c r="WE11" s="412"/>
      <c r="WF11" s="412"/>
      <c r="WG11" s="412"/>
      <c r="WH11" s="412"/>
      <c r="WI11" s="412"/>
      <c r="WJ11" s="412"/>
      <c r="WK11" s="412"/>
      <c r="WL11" s="412"/>
      <c r="WM11" s="412"/>
      <c r="WN11" s="412"/>
      <c r="WO11" s="412"/>
      <c r="WP11" s="412"/>
      <c r="WQ11" s="412"/>
      <c r="WR11" s="412"/>
      <c r="WS11" s="412"/>
      <c r="WT11" s="412"/>
      <c r="WU11" s="412"/>
      <c r="WV11" s="412"/>
      <c r="WW11" s="412"/>
      <c r="WX11" s="412"/>
      <c r="WY11" s="412"/>
      <c r="WZ11" s="412"/>
      <c r="XA11" s="412"/>
      <c r="XB11" s="412"/>
      <c r="XC11" s="412"/>
      <c r="XD11" s="412"/>
      <c r="XE11" s="412"/>
      <c r="XF11" s="412"/>
      <c r="XG11" s="412"/>
      <c r="XH11" s="412"/>
      <c r="XI11" s="412"/>
      <c r="XJ11" s="412"/>
      <c r="XK11" s="412"/>
      <c r="XL11" s="412"/>
      <c r="XM11" s="412"/>
      <c r="XN11" s="412"/>
      <c r="XO11" s="412"/>
      <c r="XP11" s="412"/>
      <c r="XQ11" s="412"/>
      <c r="XR11" s="412"/>
      <c r="XS11" s="412"/>
      <c r="XT11" s="412"/>
      <c r="XU11" s="412"/>
      <c r="XV11" s="412"/>
      <c r="XW11" s="412"/>
      <c r="XX11" s="412"/>
      <c r="XY11" s="412"/>
      <c r="XZ11" s="412"/>
      <c r="YA11" s="412"/>
      <c r="YB11" s="412"/>
      <c r="YC11" s="412"/>
      <c r="YD11" s="412"/>
      <c r="YE11" s="412"/>
      <c r="YF11" s="412"/>
      <c r="YG11" s="412"/>
      <c r="YH11" s="412"/>
      <c r="YI11" s="412"/>
      <c r="YJ11" s="412"/>
      <c r="YK11" s="412"/>
      <c r="YL11" s="412"/>
      <c r="YM11" s="412"/>
      <c r="YN11" s="412"/>
      <c r="YO11" s="412"/>
      <c r="YP11" s="412"/>
      <c r="YQ11" s="412"/>
      <c r="YR11" s="412"/>
      <c r="YS11" s="412"/>
      <c r="YT11" s="412"/>
      <c r="YU11" s="412"/>
      <c r="YV11" s="412"/>
      <c r="YW11" s="412"/>
      <c r="YX11" s="412"/>
      <c r="YY11" s="412"/>
      <c r="YZ11" s="412"/>
      <c r="ZA11" s="412"/>
      <c r="ZB11" s="412"/>
      <c r="ZC11" s="412"/>
      <c r="ZD11" s="412"/>
      <c r="ZE11" s="412"/>
      <c r="ZF11" s="412"/>
      <c r="ZG11" s="412"/>
      <c r="ZH11" s="412"/>
      <c r="ZI11" s="412"/>
      <c r="ZJ11" s="412"/>
      <c r="ZK11" s="412"/>
      <c r="ZL11" s="412"/>
      <c r="ZM11" s="412"/>
      <c r="ZN11" s="412"/>
      <c r="ZO11" s="412"/>
      <c r="ZP11" s="412"/>
      <c r="ZQ11" s="412"/>
      <c r="ZR11" s="412"/>
      <c r="ZS11" s="412"/>
      <c r="ZT11" s="412"/>
      <c r="ZU11" s="412"/>
      <c r="ZV11" s="412"/>
      <c r="ZW11" s="412"/>
      <c r="ZX11" s="412"/>
      <c r="ZY11" s="412"/>
      <c r="ZZ11" s="412"/>
      <c r="AAA11" s="412"/>
      <c r="AAB11" s="412"/>
      <c r="AAC11" s="412"/>
      <c r="AAD11" s="412"/>
      <c r="AAE11" s="412"/>
      <c r="AAF11" s="412"/>
      <c r="AAG11" s="412"/>
      <c r="AAH11" s="412"/>
      <c r="AAI11" s="412"/>
      <c r="AAJ11" s="412"/>
      <c r="AAK11" s="412"/>
      <c r="AAL11" s="412"/>
      <c r="AAM11" s="412"/>
      <c r="AAN11" s="412"/>
      <c r="AAO11" s="412"/>
      <c r="AAP11" s="412"/>
      <c r="AAQ11" s="412"/>
      <c r="AAR11" s="412"/>
      <c r="AAS11" s="412"/>
      <c r="AAT11" s="412"/>
      <c r="AAU11" s="412"/>
      <c r="AAV11" s="412"/>
      <c r="AAW11" s="412"/>
      <c r="AAX11" s="412"/>
      <c r="AAY11" s="412"/>
      <c r="AAZ11" s="412"/>
      <c r="ABA11" s="412"/>
      <c r="ABB11" s="412"/>
      <c r="ABC11" s="412"/>
      <c r="ABD11" s="412"/>
      <c r="ABE11" s="412"/>
      <c r="ABF11" s="412"/>
      <c r="ABG11" s="412"/>
      <c r="ABH11" s="412"/>
      <c r="ABI11" s="412"/>
      <c r="ABJ11" s="412"/>
      <c r="ABK11" s="412"/>
      <c r="ABL11" s="412"/>
      <c r="ABM11" s="412"/>
      <c r="ABN11" s="412"/>
      <c r="ABO11" s="412"/>
      <c r="ABP11" s="412"/>
      <c r="ABQ11" s="412"/>
      <c r="ABR11" s="412"/>
      <c r="ABS11" s="412"/>
      <c r="ABT11" s="412"/>
      <c r="ABU11" s="412"/>
      <c r="ABV11" s="412"/>
      <c r="ABW11" s="412"/>
      <c r="ABX11" s="412"/>
      <c r="ABY11" s="412"/>
      <c r="ABZ11" s="412"/>
      <c r="ACA11" s="412"/>
      <c r="ACB11" s="412"/>
      <c r="ACC11" s="412"/>
      <c r="ACD11" s="412"/>
      <c r="ACE11" s="412"/>
      <c r="ACF11" s="412"/>
      <c r="ACG11" s="412"/>
      <c r="ACH11" s="412"/>
      <c r="ACI11" s="412"/>
      <c r="ACJ11" s="412"/>
      <c r="ACK11" s="412"/>
      <c r="ACL11" s="412"/>
      <c r="ACM11" s="412"/>
      <c r="ACN11" s="412"/>
      <c r="ACO11" s="412"/>
      <c r="ACP11" s="412"/>
      <c r="ACQ11" s="412"/>
      <c r="ACR11" s="412"/>
      <c r="ACS11" s="412"/>
      <c r="ACT11" s="412"/>
      <c r="ACU11" s="412"/>
      <c r="ACV11" s="412"/>
      <c r="ACW11" s="412"/>
      <c r="ACX11" s="412"/>
      <c r="ACY11" s="412"/>
      <c r="ACZ11" s="412"/>
      <c r="ADA11" s="412"/>
      <c r="ADB11" s="412"/>
      <c r="ADC11" s="412"/>
      <c r="ADD11" s="412"/>
      <c r="ADE11" s="412"/>
      <c r="ADF11" s="412"/>
      <c r="ADG11" s="412"/>
      <c r="ADH11" s="412"/>
      <c r="ADI11" s="412"/>
      <c r="ADJ11" s="412"/>
      <c r="ADK11" s="412"/>
      <c r="ADL11" s="412"/>
      <c r="ADM11" s="412"/>
      <c r="ADN11" s="412"/>
      <c r="ADO11" s="412"/>
      <c r="ADP11" s="412"/>
      <c r="ADQ11" s="412"/>
      <c r="ADR11" s="412"/>
      <c r="ADS11" s="412"/>
      <c r="ADT11" s="412"/>
      <c r="ADU11" s="412"/>
      <c r="ADV11" s="412"/>
      <c r="ADW11" s="412"/>
      <c r="ADX11" s="412"/>
      <c r="ADY11" s="412"/>
      <c r="ADZ11" s="412"/>
      <c r="AEA11" s="412"/>
      <c r="AEB11" s="412"/>
      <c r="AEC11" s="412"/>
      <c r="AED11" s="412"/>
      <c r="AEE11" s="412"/>
      <c r="AEF11" s="412"/>
      <c r="AEG11" s="412"/>
      <c r="AEH11" s="412"/>
      <c r="AEI11" s="412"/>
      <c r="AEJ11" s="412"/>
      <c r="AEK11" s="412"/>
      <c r="AEL11" s="412"/>
      <c r="AEM11" s="412"/>
      <c r="AEN11" s="412"/>
      <c r="AEO11" s="412"/>
      <c r="AEP11" s="412"/>
      <c r="AEQ11" s="412"/>
      <c r="AER11" s="412"/>
      <c r="AES11" s="412"/>
      <c r="AET11" s="412"/>
      <c r="AEU11" s="412"/>
      <c r="AEV11" s="412"/>
      <c r="AEW11" s="412"/>
      <c r="AEX11" s="412"/>
      <c r="AEY11" s="412"/>
      <c r="AEZ11" s="412"/>
      <c r="AFA11" s="412"/>
      <c r="AFB11" s="412"/>
      <c r="AFC11" s="412"/>
      <c r="AFD11" s="412"/>
      <c r="AFE11" s="412"/>
      <c r="AFF11" s="412"/>
      <c r="AFG11" s="412"/>
      <c r="AFH11" s="412"/>
      <c r="AFI11" s="412"/>
      <c r="AFJ11" s="412"/>
      <c r="AFK11" s="412"/>
      <c r="AFL11" s="412"/>
      <c r="AFM11" s="412"/>
      <c r="AFN11" s="412"/>
      <c r="AFO11" s="412"/>
      <c r="AFP11" s="412"/>
      <c r="AFQ11" s="412"/>
      <c r="AFR11" s="412"/>
      <c r="AFS11" s="412"/>
      <c r="AFT11" s="412"/>
      <c r="AFU11" s="412"/>
      <c r="AFV11" s="412"/>
      <c r="AFW11" s="412"/>
      <c r="AFX11" s="412"/>
      <c r="AFY11" s="412"/>
      <c r="AFZ11" s="412"/>
      <c r="AGA11" s="412"/>
      <c r="AGB11" s="412"/>
      <c r="AGC11" s="412"/>
      <c r="AGD11" s="412"/>
      <c r="AGE11" s="412"/>
      <c r="AGF11" s="412"/>
      <c r="AGG11" s="412"/>
      <c r="AGH11" s="412"/>
      <c r="AGI11" s="412"/>
      <c r="AGJ11" s="412"/>
      <c r="AGK11" s="412"/>
      <c r="AGL11" s="412"/>
      <c r="AGM11" s="412"/>
      <c r="AGN11" s="412"/>
      <c r="AGO11" s="412"/>
      <c r="AGP11" s="412"/>
      <c r="AGQ11" s="412"/>
      <c r="AGR11" s="412"/>
      <c r="AGS11" s="412"/>
      <c r="AGT11" s="412"/>
      <c r="AGU11" s="412"/>
      <c r="AGV11" s="412"/>
      <c r="AGW11" s="412"/>
      <c r="AGX11" s="412"/>
      <c r="AGY11" s="412"/>
      <c r="AGZ11" s="412"/>
      <c r="AHA11" s="412"/>
      <c r="AHB11" s="412"/>
      <c r="AHC11" s="412"/>
      <c r="AHD11" s="412"/>
      <c r="AHE11" s="412"/>
      <c r="AHF11" s="412"/>
      <c r="AHG11" s="412"/>
      <c r="AHH11" s="412"/>
      <c r="AHI11" s="412"/>
      <c r="AHJ11" s="412"/>
      <c r="AHK11" s="412"/>
      <c r="AHL11" s="412"/>
      <c r="AHM11" s="412"/>
      <c r="AHN11" s="412"/>
      <c r="AHO11" s="412"/>
      <c r="AHP11" s="412"/>
      <c r="AHQ11" s="412"/>
      <c r="AHR11" s="412"/>
      <c r="AHS11" s="412"/>
      <c r="AHT11" s="412"/>
      <c r="AHU11" s="412"/>
      <c r="AHV11" s="412"/>
      <c r="AHW11" s="412"/>
      <c r="AHX11" s="412"/>
      <c r="AHY11" s="412"/>
      <c r="AHZ11" s="412"/>
      <c r="AIA11" s="412"/>
      <c r="AIB11" s="412"/>
      <c r="AIC11" s="412"/>
      <c r="AID11" s="412"/>
      <c r="AIE11" s="412"/>
      <c r="AIF11" s="412"/>
      <c r="AIG11" s="412"/>
      <c r="AIH11" s="412"/>
      <c r="AII11" s="412"/>
      <c r="AIJ11" s="412"/>
      <c r="AIK11" s="412"/>
      <c r="AIL11" s="412"/>
      <c r="AIM11" s="412"/>
      <c r="AIN11" s="412"/>
      <c r="AIO11" s="412"/>
      <c r="AIP11" s="412"/>
      <c r="AIQ11" s="412"/>
      <c r="AIR11" s="412"/>
      <c r="AIS11" s="412"/>
      <c r="AIT11" s="412"/>
      <c r="AIU11" s="412"/>
      <c r="AIV11" s="412"/>
      <c r="AIW11" s="412"/>
      <c r="AIX11" s="412"/>
      <c r="AIY11" s="412"/>
      <c r="AIZ11" s="412"/>
      <c r="AJA11" s="412"/>
      <c r="AJB11" s="412"/>
      <c r="AJC11" s="412"/>
      <c r="AJD11" s="412"/>
      <c r="AJE11" s="412"/>
      <c r="AJF11" s="412"/>
      <c r="AJG11" s="412"/>
      <c r="AJH11" s="412"/>
      <c r="AJI11" s="412"/>
      <c r="AJJ11" s="412"/>
      <c r="AJK11" s="412"/>
      <c r="AJL11" s="412"/>
      <c r="AJM11" s="412"/>
      <c r="AJN11" s="412"/>
      <c r="AJO11" s="412"/>
      <c r="AJP11" s="412"/>
      <c r="AJQ11" s="412"/>
      <c r="AJR11" s="412"/>
      <c r="AJS11" s="412"/>
      <c r="AJT11" s="412"/>
      <c r="AJU11" s="412"/>
      <c r="AJV11" s="412"/>
      <c r="AJW11" s="412"/>
      <c r="AJX11" s="412"/>
      <c r="AJY11" s="412"/>
      <c r="AJZ11" s="412"/>
      <c r="AKA11" s="412"/>
      <c r="AKB11" s="412"/>
      <c r="AKC11" s="412"/>
      <c r="AKD11" s="412"/>
      <c r="AKE11" s="412"/>
      <c r="AKF11" s="412"/>
      <c r="AKG11" s="412"/>
      <c r="AKH11" s="412"/>
      <c r="AKI11" s="412"/>
      <c r="AKJ11" s="412"/>
      <c r="AKK11" s="412"/>
      <c r="AKL11" s="412"/>
      <c r="AKM11" s="412"/>
      <c r="AKN11" s="412"/>
      <c r="AKO11" s="412"/>
      <c r="AKP11" s="412"/>
      <c r="AKQ11" s="412"/>
      <c r="AKR11" s="412"/>
      <c r="AKS11" s="412"/>
      <c r="AKT11" s="412"/>
      <c r="AKU11" s="412"/>
      <c r="AKV11" s="412"/>
      <c r="AKW11" s="412"/>
      <c r="AKX11" s="412"/>
      <c r="AKY11" s="412"/>
      <c r="AKZ11" s="412"/>
      <c r="ALA11" s="412"/>
      <c r="ALB11" s="412"/>
      <c r="ALC11" s="412"/>
      <c r="ALD11" s="412"/>
      <c r="ALE11" s="412"/>
      <c r="ALF11" s="412"/>
      <c r="ALG11" s="412"/>
      <c r="ALH11" s="412"/>
      <c r="ALI11" s="412"/>
      <c r="ALJ11" s="412"/>
      <c r="ALK11" s="412"/>
      <c r="ALL11" s="412"/>
      <c r="ALM11" s="412"/>
      <c r="ALN11" s="412"/>
      <c r="ALO11" s="412"/>
      <c r="ALP11" s="412"/>
      <c r="ALQ11" s="412"/>
      <c r="ALR11" s="412"/>
      <c r="ALS11" s="412"/>
      <c r="ALT11" s="412"/>
      <c r="ALU11" s="412"/>
      <c r="ALV11" s="412"/>
      <c r="ALW11" s="412"/>
      <c r="ALX11" s="412"/>
      <c r="ALY11" s="412"/>
      <c r="ALZ11" s="412"/>
      <c r="AMA11" s="412"/>
      <c r="AMB11" s="412"/>
      <c r="AMC11" s="412"/>
      <c r="AMD11" s="412"/>
      <c r="AME11" s="412"/>
      <c r="AMF11" s="412"/>
      <c r="AMG11" s="412"/>
      <c r="AMH11" s="412"/>
      <c r="AMI11" s="412"/>
      <c r="AMJ11" s="412"/>
      <c r="AMK11" s="412"/>
      <c r="AML11" s="412"/>
      <c r="AMM11" s="412"/>
      <c r="AMN11" s="412"/>
      <c r="AMO11" s="412"/>
      <c r="AMP11" s="412"/>
      <c r="AMQ11" s="412"/>
      <c r="AMR11" s="412"/>
      <c r="AMS11" s="412"/>
      <c r="AMT11" s="412"/>
      <c r="AMU11" s="412"/>
      <c r="AMV11" s="412"/>
      <c r="AMW11" s="412"/>
      <c r="AMX11" s="412"/>
      <c r="AMY11" s="412"/>
      <c r="AMZ11" s="412"/>
      <c r="ANA11" s="412"/>
      <c r="ANB11" s="412"/>
      <c r="ANC11" s="412"/>
      <c r="AND11" s="412"/>
      <c r="ANE11" s="412"/>
      <c r="ANF11" s="412"/>
      <c r="ANG11" s="412"/>
      <c r="ANH11" s="412"/>
      <c r="ANI11" s="412"/>
      <c r="ANJ11" s="412"/>
      <c r="ANK11" s="412"/>
      <c r="ANL11" s="412"/>
      <c r="ANM11" s="412"/>
      <c r="ANN11" s="412"/>
      <c r="ANO11" s="412"/>
      <c r="ANP11" s="412"/>
      <c r="ANQ11" s="412"/>
      <c r="ANR11" s="412"/>
      <c r="ANS11" s="412"/>
      <c r="ANT11" s="412"/>
      <c r="ANU11" s="412"/>
      <c r="ANV11" s="412"/>
      <c r="ANW11" s="412"/>
      <c r="ANX11" s="412"/>
      <c r="ANY11" s="412"/>
      <c r="ANZ11" s="412"/>
      <c r="AOA11" s="412"/>
      <c r="AOB11" s="412"/>
      <c r="AOC11" s="412"/>
      <c r="AOD11" s="412"/>
      <c r="AOE11" s="412"/>
      <c r="AOF11" s="412"/>
      <c r="AOG11" s="412"/>
      <c r="AOH11" s="412"/>
      <c r="AOI11" s="412"/>
      <c r="AOJ11" s="412"/>
      <c r="AOK11" s="412"/>
      <c r="AOL11" s="412"/>
      <c r="AOM11" s="412"/>
      <c r="AON11" s="412"/>
      <c r="AOO11" s="412"/>
      <c r="AOP11" s="412"/>
      <c r="AOQ11" s="412"/>
      <c r="AOR11" s="412"/>
      <c r="AOS11" s="412"/>
      <c r="AOT11" s="412"/>
      <c r="AOU11" s="412"/>
      <c r="AOV11" s="412"/>
      <c r="AOW11" s="412"/>
      <c r="AOX11" s="412"/>
      <c r="AOY11" s="412"/>
      <c r="AOZ11" s="412"/>
      <c r="APA11" s="412"/>
      <c r="APB11" s="412"/>
      <c r="APC11" s="412"/>
      <c r="APD11" s="412"/>
      <c r="APE11" s="412"/>
      <c r="APF11" s="412"/>
      <c r="APG11" s="412"/>
      <c r="APH11" s="412"/>
      <c r="API11" s="412"/>
      <c r="APJ11" s="412"/>
      <c r="APK11" s="412"/>
      <c r="APL11" s="412"/>
      <c r="APM11" s="412"/>
      <c r="APN11" s="412"/>
      <c r="APO11" s="412"/>
      <c r="APP11" s="412"/>
      <c r="APQ11" s="412"/>
      <c r="APR11" s="412"/>
      <c r="APS11" s="412"/>
      <c r="APT11" s="412"/>
      <c r="APU11" s="412"/>
      <c r="APV11" s="412"/>
      <c r="APW11" s="412"/>
      <c r="APX11" s="412"/>
      <c r="APY11" s="412"/>
      <c r="APZ11" s="412"/>
      <c r="AQA11" s="412"/>
      <c r="AQB11" s="412"/>
      <c r="AQC11" s="412"/>
      <c r="AQD11" s="412"/>
      <c r="AQE11" s="412"/>
      <c r="AQF11" s="412"/>
      <c r="AQG11" s="412"/>
      <c r="AQH11" s="412"/>
      <c r="AQI11" s="412"/>
      <c r="AQJ11" s="412"/>
      <c r="AQK11" s="412"/>
      <c r="AQL11" s="412"/>
      <c r="AQM11" s="412"/>
      <c r="AQN11" s="412"/>
      <c r="AQO11" s="412"/>
      <c r="AQP11" s="412"/>
      <c r="AQQ11" s="412"/>
      <c r="AQR11" s="412"/>
      <c r="AQS11" s="412"/>
      <c r="AQT11" s="412"/>
      <c r="AQU11" s="412"/>
      <c r="AQV11" s="412"/>
      <c r="AQW11" s="412"/>
      <c r="AQX11" s="412"/>
      <c r="AQY11" s="412"/>
      <c r="AQZ11" s="412"/>
      <c r="ARA11" s="412"/>
      <c r="ARB11" s="412"/>
      <c r="ARC11" s="412"/>
      <c r="ARD11" s="412"/>
      <c r="ARE11" s="412"/>
      <c r="ARF11" s="412"/>
      <c r="ARG11" s="412"/>
      <c r="ARH11" s="412"/>
      <c r="ARI11" s="412"/>
      <c r="ARJ11" s="412"/>
      <c r="ARK11" s="412"/>
      <c r="ARL11" s="412"/>
      <c r="ARM11" s="412"/>
      <c r="ARN11" s="412"/>
      <c r="ARO11" s="412"/>
      <c r="ARP11" s="412"/>
      <c r="ARQ11" s="412"/>
      <c r="ARR11" s="412"/>
      <c r="ARS11" s="412"/>
      <c r="ART11" s="412"/>
      <c r="ARU11" s="412"/>
      <c r="ARV11" s="412"/>
      <c r="ARW11" s="412"/>
      <c r="ARX11" s="412"/>
      <c r="ARY11" s="412"/>
      <c r="ARZ11" s="412"/>
      <c r="ASA11" s="412"/>
      <c r="ASB11" s="412"/>
      <c r="ASC11" s="412"/>
      <c r="ASD11" s="412"/>
      <c r="ASE11" s="412"/>
      <c r="ASF11" s="412"/>
      <c r="ASG11" s="412"/>
      <c r="ASH11" s="412"/>
      <c r="ASI11" s="412"/>
      <c r="ASJ11" s="412"/>
      <c r="ASK11" s="412"/>
      <c r="ASL11" s="412"/>
      <c r="ASM11" s="412"/>
      <c r="ASN11" s="412"/>
      <c r="ASO11" s="412"/>
      <c r="ASP11" s="412"/>
      <c r="ASQ11" s="412"/>
      <c r="ASR11" s="412"/>
      <c r="ASS11" s="412"/>
      <c r="AST11" s="412"/>
      <c r="ASU11" s="412"/>
      <c r="ASV11" s="412"/>
      <c r="ASW11" s="412"/>
      <c r="ASX11" s="412"/>
      <c r="ASY11" s="412"/>
      <c r="ASZ11" s="412"/>
      <c r="ATA11" s="412"/>
      <c r="ATB11" s="412"/>
      <c r="ATC11" s="412"/>
      <c r="ATD11" s="412"/>
      <c r="ATE11" s="412"/>
      <c r="ATF11" s="412"/>
      <c r="ATG11" s="412"/>
      <c r="ATH11" s="412"/>
      <c r="ATI11" s="412"/>
      <c r="ATJ11" s="412"/>
      <c r="ATK11" s="412"/>
      <c r="ATL11" s="412"/>
      <c r="ATM11" s="412"/>
      <c r="ATN11" s="412"/>
      <c r="ATO11" s="412"/>
      <c r="ATP11" s="412"/>
      <c r="ATQ11" s="412"/>
      <c r="ATR11" s="412"/>
      <c r="ATS11" s="412"/>
      <c r="ATT11" s="412"/>
      <c r="ATU11" s="412"/>
      <c r="ATV11" s="412"/>
      <c r="ATW11" s="412"/>
      <c r="ATX11" s="412"/>
      <c r="ATY11" s="412"/>
      <c r="ATZ11" s="412"/>
      <c r="AUA11" s="412"/>
      <c r="AUB11" s="412"/>
      <c r="AUC11" s="412"/>
      <c r="AUD11" s="412"/>
      <c r="AUE11" s="412"/>
      <c r="AUF11" s="412"/>
      <c r="AUG11" s="412"/>
      <c r="AUH11" s="412"/>
      <c r="AUI11" s="412"/>
      <c r="AUJ11" s="412"/>
      <c r="AUK11" s="412"/>
      <c r="AUL11" s="412"/>
      <c r="AUM11" s="412"/>
      <c r="AUN11" s="412"/>
      <c r="AUO11" s="412"/>
      <c r="AUP11" s="412"/>
      <c r="AUQ11" s="412"/>
      <c r="AUR11" s="412"/>
      <c r="AUS11" s="412"/>
      <c r="AUT11" s="412"/>
      <c r="AUU11" s="412"/>
      <c r="AUV11" s="412"/>
      <c r="AUW11" s="412"/>
      <c r="AUX11" s="412"/>
      <c r="AUY11" s="412"/>
      <c r="AUZ11" s="412"/>
      <c r="AVA11" s="412"/>
      <c r="AVB11" s="412"/>
      <c r="AVC11" s="412"/>
      <c r="AVD11" s="412"/>
      <c r="AVE11" s="412"/>
      <c r="AVF11" s="412"/>
      <c r="AVG11" s="412"/>
      <c r="AVH11" s="412"/>
      <c r="AVI11" s="412"/>
      <c r="AVJ11" s="412"/>
      <c r="AVK11" s="412"/>
      <c r="AVL11" s="412"/>
      <c r="AVM11" s="412"/>
      <c r="AVN11" s="412"/>
      <c r="AVO11" s="412"/>
      <c r="AVP11" s="412"/>
      <c r="AVQ11" s="412"/>
      <c r="AVR11" s="412"/>
      <c r="AVS11" s="412"/>
      <c r="AVT11" s="412"/>
      <c r="AVU11" s="412"/>
      <c r="AVV11" s="412"/>
      <c r="AVW11" s="412"/>
      <c r="AVX11" s="412"/>
      <c r="AVY11" s="412"/>
      <c r="AVZ11" s="412"/>
      <c r="AWA11" s="412"/>
      <c r="AWB11" s="412"/>
      <c r="AWC11" s="412"/>
      <c r="AWD11" s="412"/>
      <c r="AWE11" s="412"/>
      <c r="AWF11" s="412"/>
      <c r="AWG11" s="412"/>
      <c r="AWH11" s="412"/>
      <c r="AWI11" s="412"/>
      <c r="AWJ11" s="412"/>
      <c r="AWK11" s="412"/>
      <c r="AWL11" s="412"/>
      <c r="AWM11" s="412"/>
      <c r="AWN11" s="412"/>
      <c r="AWO11" s="412"/>
      <c r="AWP11" s="412"/>
      <c r="AWQ11" s="412"/>
      <c r="AWR11" s="412"/>
      <c r="AWS11" s="412"/>
      <c r="AWT11" s="412"/>
      <c r="AWU11" s="412"/>
      <c r="AWV11" s="412"/>
      <c r="AWW11" s="412"/>
      <c r="AWX11" s="412"/>
      <c r="AWY11" s="412"/>
      <c r="AWZ11" s="412"/>
      <c r="AXA11" s="412"/>
      <c r="AXB11" s="412"/>
      <c r="AXC11" s="412"/>
      <c r="AXD11" s="412"/>
      <c r="AXE11" s="412"/>
      <c r="AXF11" s="412"/>
      <c r="AXG11" s="412"/>
      <c r="AXH11" s="412"/>
      <c r="AXI11" s="412"/>
      <c r="AXJ11" s="412"/>
      <c r="AXK11" s="412"/>
      <c r="AXL11" s="412"/>
      <c r="AXM11" s="412"/>
      <c r="AXN11" s="412"/>
      <c r="AXO11" s="412"/>
      <c r="AXP11" s="412"/>
      <c r="AXQ11" s="412"/>
      <c r="AXR11" s="412"/>
      <c r="AXS11" s="412"/>
      <c r="AXT11" s="412"/>
      <c r="AXU11" s="412"/>
      <c r="AXV11" s="412"/>
      <c r="AXW11" s="412"/>
      <c r="AXX11" s="412"/>
      <c r="AXY11" s="412"/>
      <c r="AXZ11" s="412"/>
      <c r="AYA11" s="412"/>
      <c r="AYB11" s="412"/>
      <c r="AYC11" s="412"/>
      <c r="AYD11" s="412"/>
      <c r="AYE11" s="412"/>
      <c r="AYF11" s="412"/>
      <c r="AYG11" s="412"/>
      <c r="AYH11" s="412"/>
      <c r="AYI11" s="412"/>
      <c r="AYJ11" s="412"/>
      <c r="AYK11" s="412"/>
      <c r="AYL11" s="412"/>
      <c r="AYM11" s="412"/>
      <c r="AYN11" s="412"/>
      <c r="AYO11" s="412"/>
      <c r="AYP11" s="412"/>
      <c r="AYQ11" s="412"/>
      <c r="AYR11" s="412"/>
      <c r="AYS11" s="412"/>
      <c r="AYT11" s="412"/>
      <c r="AYU11" s="412"/>
      <c r="AYV11" s="412"/>
      <c r="AYW11" s="412"/>
      <c r="AYX11" s="412"/>
      <c r="AYY11" s="412"/>
      <c r="AYZ11" s="412"/>
      <c r="AZA11" s="412"/>
      <c r="AZB11" s="412"/>
      <c r="AZC11" s="412"/>
      <c r="AZD11" s="412"/>
      <c r="AZE11" s="412"/>
      <c r="AZF11" s="412"/>
      <c r="AZG11" s="412"/>
      <c r="AZH11" s="412"/>
      <c r="AZI11" s="412"/>
      <c r="AZJ11" s="412"/>
      <c r="AZK11" s="412"/>
      <c r="AZL11" s="412"/>
      <c r="AZM11" s="412"/>
      <c r="AZN11" s="412"/>
      <c r="AZO11" s="412"/>
      <c r="AZP11" s="412"/>
      <c r="AZQ11" s="412"/>
      <c r="AZR11" s="412"/>
      <c r="AZS11" s="412"/>
      <c r="AZT11" s="412"/>
      <c r="AZU11" s="412"/>
      <c r="AZV11" s="412"/>
      <c r="AZW11" s="412"/>
      <c r="AZX11" s="412"/>
      <c r="AZY11" s="412"/>
      <c r="AZZ11" s="412"/>
      <c r="BAA11" s="412"/>
      <c r="BAB11" s="412"/>
      <c r="BAC11" s="412"/>
      <c r="BAD11" s="412"/>
      <c r="BAE11" s="412"/>
      <c r="BAF11" s="412"/>
      <c r="BAG11" s="412"/>
      <c r="BAH11" s="412"/>
      <c r="BAI11" s="412"/>
      <c r="BAJ11" s="412"/>
      <c r="BAK11" s="412"/>
      <c r="BAL11" s="412"/>
      <c r="BAM11" s="412"/>
      <c r="BAN11" s="412"/>
      <c r="BAO11" s="412"/>
      <c r="BAP11" s="412"/>
      <c r="BAQ11" s="412"/>
      <c r="BAR11" s="412"/>
      <c r="BAS11" s="412"/>
      <c r="BAT11" s="412"/>
      <c r="BAU11" s="412"/>
      <c r="BAV11" s="412"/>
      <c r="BAW11" s="412"/>
      <c r="BAX11" s="412"/>
      <c r="BAY11" s="412"/>
      <c r="BAZ11" s="412"/>
      <c r="BBA11" s="412"/>
      <c r="BBB11" s="412"/>
      <c r="BBC11" s="412"/>
      <c r="BBD11" s="412"/>
      <c r="BBE11" s="412"/>
      <c r="BBF11" s="412"/>
      <c r="BBG11" s="412"/>
      <c r="BBH11" s="412"/>
      <c r="BBI11" s="412"/>
      <c r="BBJ11" s="412"/>
      <c r="BBK11" s="412"/>
      <c r="BBL11" s="412"/>
      <c r="BBM11" s="412"/>
      <c r="BBN11" s="412"/>
      <c r="BBO11" s="412"/>
      <c r="BBP11" s="412"/>
      <c r="BBQ11" s="412"/>
      <c r="BBR11" s="412"/>
      <c r="BBS11" s="412"/>
      <c r="BBT11" s="412"/>
      <c r="BBU11" s="412"/>
      <c r="BBV11" s="412"/>
      <c r="BBW11" s="412"/>
      <c r="BBX11" s="412"/>
      <c r="BBY11" s="412"/>
      <c r="BBZ11" s="412"/>
      <c r="BCA11" s="412"/>
      <c r="BCB11" s="412"/>
      <c r="BCC11" s="412"/>
      <c r="BCD11" s="412"/>
      <c r="BCE11" s="412"/>
      <c r="BCF11" s="412"/>
      <c r="BCG11" s="412"/>
      <c r="BCH11" s="412"/>
      <c r="BCI11" s="412"/>
      <c r="BCJ11" s="412"/>
      <c r="BCK11" s="412"/>
      <c r="BCL11" s="412"/>
      <c r="BCM11" s="412"/>
      <c r="BCN11" s="412"/>
      <c r="BCO11" s="412"/>
      <c r="BCP11" s="412"/>
      <c r="BCQ11" s="412"/>
      <c r="BCR11" s="412"/>
      <c r="BCS11" s="412"/>
      <c r="BCT11" s="412"/>
      <c r="BCU11" s="412"/>
      <c r="BCV11" s="412"/>
      <c r="BCW11" s="412"/>
      <c r="BCX11" s="412"/>
      <c r="BCY11" s="412"/>
      <c r="BCZ11" s="412"/>
      <c r="BDA11" s="412"/>
      <c r="BDB11" s="412"/>
      <c r="BDC11" s="412"/>
      <c r="BDD11" s="412"/>
      <c r="BDE11" s="412"/>
      <c r="BDF11" s="412"/>
      <c r="BDG11" s="412"/>
      <c r="BDH11" s="412"/>
      <c r="BDI11" s="412"/>
      <c r="BDJ11" s="412"/>
      <c r="BDK11" s="412"/>
      <c r="BDL11" s="412"/>
      <c r="BDM11" s="412"/>
      <c r="BDN11" s="412"/>
      <c r="BDO11" s="412"/>
      <c r="BDP11" s="412"/>
      <c r="BDQ11" s="412"/>
      <c r="BDR11" s="412"/>
      <c r="BDS11" s="412"/>
      <c r="BDT11" s="412"/>
      <c r="BDU11" s="412"/>
      <c r="BDV11" s="412"/>
      <c r="BDW11" s="412"/>
      <c r="BDX11" s="412"/>
      <c r="BDY11" s="412"/>
      <c r="BDZ11" s="412"/>
      <c r="BEA11" s="412"/>
      <c r="BEB11" s="412"/>
      <c r="BEC11" s="412"/>
      <c r="BED11" s="412"/>
      <c r="BEE11" s="412"/>
      <c r="BEF11" s="412"/>
      <c r="BEG11" s="412"/>
      <c r="BEH11" s="412"/>
      <c r="BEI11" s="412"/>
      <c r="BEJ11" s="412"/>
      <c r="BEK11" s="412"/>
      <c r="BEL11" s="412"/>
      <c r="BEM11" s="412"/>
      <c r="BEN11" s="412"/>
      <c r="BEO11" s="412"/>
      <c r="BEP11" s="412"/>
      <c r="BEQ11" s="412"/>
      <c r="BER11" s="412"/>
      <c r="BES11" s="412"/>
      <c r="BET11" s="412"/>
      <c r="BEU11" s="412"/>
      <c r="BEV11" s="412"/>
      <c r="BEW11" s="412"/>
      <c r="BEX11" s="412"/>
      <c r="BEY11" s="412"/>
      <c r="BEZ11" s="412"/>
      <c r="BFA11" s="412"/>
      <c r="BFB11" s="412"/>
      <c r="BFC11" s="412"/>
      <c r="BFD11" s="412"/>
      <c r="BFE11" s="412"/>
      <c r="BFF11" s="412"/>
      <c r="BFG11" s="412"/>
      <c r="BFH11" s="412"/>
      <c r="BFI11" s="412"/>
      <c r="BFJ11" s="412"/>
      <c r="BFK11" s="412"/>
      <c r="BFL11" s="412"/>
      <c r="BFM11" s="412"/>
      <c r="BFN11" s="412"/>
      <c r="BFO11" s="412"/>
      <c r="BFP11" s="412"/>
      <c r="BFQ11" s="412"/>
      <c r="BFR11" s="412"/>
      <c r="BFS11" s="412"/>
      <c r="BFT11" s="412"/>
      <c r="BFU11" s="412"/>
      <c r="BFV11" s="412"/>
      <c r="BFW11" s="412"/>
      <c r="BFX11" s="412"/>
      <c r="BFY11" s="412"/>
      <c r="BFZ11" s="412"/>
      <c r="BGA11" s="412"/>
      <c r="BGB11" s="412"/>
      <c r="BGC11" s="412"/>
      <c r="BGD11" s="412"/>
      <c r="BGE11" s="412"/>
      <c r="BGF11" s="412"/>
      <c r="BGG11" s="412"/>
      <c r="BGH11" s="412"/>
      <c r="BGI11" s="412"/>
      <c r="BGJ11" s="412"/>
      <c r="BGK11" s="412"/>
      <c r="BGL11" s="412"/>
      <c r="BGM11" s="412"/>
      <c r="BGN11" s="412"/>
      <c r="BGO11" s="412"/>
      <c r="BGP11" s="412"/>
      <c r="BGQ11" s="412"/>
      <c r="BGR11" s="412"/>
      <c r="BGS11" s="412"/>
      <c r="BGT11" s="412"/>
      <c r="BGU11" s="412"/>
      <c r="BGV11" s="412"/>
      <c r="BGW11" s="412"/>
      <c r="BGX11" s="412"/>
      <c r="BGY11" s="412"/>
      <c r="BGZ11" s="412"/>
      <c r="BHA11" s="412"/>
      <c r="BHB11" s="412"/>
      <c r="BHC11" s="412"/>
      <c r="BHD11" s="412"/>
      <c r="BHE11" s="412"/>
      <c r="BHF11" s="412"/>
      <c r="BHG11" s="412"/>
      <c r="BHH11" s="412"/>
      <c r="BHI11" s="412"/>
      <c r="BHJ11" s="412"/>
      <c r="BHK11" s="412"/>
      <c r="BHL11" s="412"/>
      <c r="BHM11" s="412"/>
      <c r="BHN11" s="412"/>
      <c r="BHO11" s="412"/>
      <c r="BHP11" s="412"/>
      <c r="BHQ11" s="412"/>
      <c r="BHR11" s="412"/>
      <c r="BHS11" s="412"/>
      <c r="BHT11" s="412"/>
      <c r="BHU11" s="412"/>
      <c r="BHV11" s="412"/>
      <c r="BHW11" s="412"/>
      <c r="BHX11" s="412"/>
      <c r="BHY11" s="412"/>
      <c r="BHZ11" s="412"/>
      <c r="BIA11" s="412"/>
      <c r="BIB11" s="412"/>
      <c r="BIC11" s="412"/>
      <c r="BID11" s="412"/>
      <c r="BIE11" s="412"/>
      <c r="BIF11" s="412"/>
      <c r="BIG11" s="412"/>
      <c r="BIH11" s="412"/>
      <c r="BII11" s="412"/>
      <c r="BIJ11" s="412"/>
      <c r="BIK11" s="412"/>
      <c r="BIL11" s="412"/>
      <c r="BIM11" s="412"/>
      <c r="BIN11" s="412"/>
      <c r="BIO11" s="412"/>
      <c r="BIP11" s="412"/>
      <c r="BIQ11" s="412"/>
      <c r="BIR11" s="412"/>
      <c r="BIS11" s="412"/>
      <c r="BIT11" s="412"/>
      <c r="BIU11" s="412"/>
      <c r="BIV11" s="412"/>
      <c r="BIW11" s="412"/>
      <c r="BIX11" s="412"/>
      <c r="BIY11" s="412"/>
      <c r="BIZ11" s="412"/>
      <c r="BJA11" s="412"/>
      <c r="BJB11" s="412"/>
      <c r="BJC11" s="412"/>
      <c r="BJD11" s="412"/>
      <c r="BJE11" s="412"/>
      <c r="BJF11" s="412"/>
      <c r="BJG11" s="412"/>
      <c r="BJH11" s="412"/>
      <c r="BJI11" s="412"/>
      <c r="BJJ11" s="412"/>
      <c r="BJK11" s="412"/>
      <c r="BJL11" s="412"/>
      <c r="BJM11" s="412"/>
      <c r="BJN11" s="412"/>
      <c r="BJO11" s="412"/>
      <c r="BJP11" s="412"/>
      <c r="BJQ11" s="412"/>
      <c r="BJR11" s="412"/>
      <c r="BJS11" s="412"/>
      <c r="BJT11" s="412"/>
      <c r="BJU11" s="412"/>
      <c r="BJV11" s="412"/>
      <c r="BJW11" s="412"/>
      <c r="BJX11" s="412"/>
      <c r="BJY11" s="412"/>
      <c r="BJZ11" s="412"/>
      <c r="BKA11" s="412"/>
      <c r="BKB11" s="412"/>
      <c r="BKC11" s="412"/>
      <c r="BKD11" s="412"/>
      <c r="BKE11" s="412"/>
      <c r="BKF11" s="412"/>
      <c r="BKG11" s="412"/>
      <c r="BKH11" s="412"/>
      <c r="BKI11" s="412"/>
      <c r="BKJ11" s="412"/>
      <c r="BKK11" s="412"/>
      <c r="BKL11" s="412"/>
      <c r="BKM11" s="412"/>
      <c r="BKN11" s="412"/>
      <c r="BKO11" s="412"/>
      <c r="BKP11" s="412"/>
      <c r="BKQ11" s="412"/>
      <c r="BKR11" s="412"/>
      <c r="BKS11" s="412"/>
      <c r="BKT11" s="412"/>
      <c r="BKU11" s="412"/>
      <c r="BKV11" s="412"/>
      <c r="BKW11" s="412"/>
      <c r="BKX11" s="412"/>
      <c r="BKY11" s="412"/>
      <c r="BKZ11" s="412"/>
      <c r="BLA11" s="412"/>
      <c r="BLB11" s="412"/>
      <c r="BLC11" s="412"/>
      <c r="BLD11" s="412"/>
      <c r="BLE11" s="412"/>
      <c r="BLF11" s="412"/>
      <c r="BLG11" s="412"/>
      <c r="BLH11" s="412"/>
      <c r="BLI11" s="412"/>
      <c r="BLJ11" s="412"/>
      <c r="BLK11" s="412"/>
      <c r="BLL11" s="412"/>
      <c r="BLM11" s="412"/>
      <c r="BLN11" s="412"/>
      <c r="BLO11" s="412"/>
      <c r="BLP11" s="412"/>
      <c r="BLQ11" s="412"/>
      <c r="BLR11" s="412"/>
      <c r="BLS11" s="412"/>
      <c r="BLT11" s="412"/>
      <c r="BLU11" s="412"/>
      <c r="BLV11" s="412"/>
      <c r="BLW11" s="412"/>
      <c r="BLX11" s="412"/>
      <c r="BLY11" s="412"/>
      <c r="BLZ11" s="412"/>
      <c r="BMA11" s="412"/>
      <c r="BMB11" s="412"/>
      <c r="BMC11" s="412"/>
      <c r="BMD11" s="412"/>
      <c r="BME11" s="412"/>
      <c r="BMF11" s="412"/>
      <c r="BMG11" s="412"/>
      <c r="BMH11" s="412"/>
      <c r="BMI11" s="412"/>
      <c r="BMJ11" s="412"/>
      <c r="BMK11" s="412"/>
      <c r="BML11" s="412"/>
      <c r="BMM11" s="412"/>
      <c r="BMN11" s="412"/>
      <c r="BMO11" s="412"/>
      <c r="BMP11" s="412"/>
      <c r="BMQ11" s="412"/>
      <c r="BMR11" s="412"/>
      <c r="BMS11" s="412"/>
      <c r="BMT11" s="412"/>
      <c r="BMU11" s="412"/>
      <c r="BMV11" s="412"/>
      <c r="BMW11" s="412"/>
      <c r="BMX11" s="412"/>
      <c r="BMY11" s="412"/>
      <c r="BMZ11" s="412"/>
      <c r="BNA11" s="412"/>
      <c r="BNB11" s="412"/>
      <c r="BNC11" s="412"/>
      <c r="BND11" s="412"/>
      <c r="BNE11" s="412"/>
      <c r="BNF11" s="412"/>
      <c r="BNG11" s="412"/>
      <c r="BNH11" s="412"/>
      <c r="BNI11" s="412"/>
      <c r="BNJ11" s="412"/>
      <c r="BNK11" s="412"/>
      <c r="BNL11" s="412"/>
      <c r="BNM11" s="412"/>
      <c r="BNN11" s="412"/>
      <c r="BNO11" s="412"/>
      <c r="BNP11" s="412"/>
      <c r="BNQ11" s="412"/>
      <c r="BNR11" s="412"/>
      <c r="BNS11" s="412"/>
      <c r="BNT11" s="412"/>
      <c r="BNU11" s="412"/>
      <c r="BNV11" s="412"/>
      <c r="BNW11" s="412"/>
      <c r="BNX11" s="412"/>
      <c r="BNY11" s="412"/>
      <c r="BNZ11" s="412"/>
      <c r="BOA11" s="412"/>
      <c r="BOB11" s="412"/>
      <c r="BOC11" s="412"/>
      <c r="BOD11" s="412"/>
      <c r="BOE11" s="412"/>
      <c r="BOF11" s="412"/>
      <c r="BOG11" s="412"/>
      <c r="BOH11" s="412"/>
      <c r="BOI11" s="412"/>
      <c r="BOJ11" s="412"/>
      <c r="BOK11" s="412"/>
      <c r="BOL11" s="412"/>
      <c r="BOM11" s="412"/>
      <c r="BON11" s="412"/>
      <c r="BOO11" s="412"/>
      <c r="BOP11" s="412"/>
      <c r="BOQ11" s="412"/>
      <c r="BOR11" s="412"/>
      <c r="BOS11" s="412"/>
      <c r="BOT11" s="412"/>
      <c r="BOU11" s="412"/>
      <c r="BOV11" s="412"/>
      <c r="BOW11" s="412"/>
      <c r="BOX11" s="412"/>
      <c r="BOY11" s="412"/>
      <c r="BOZ11" s="412"/>
      <c r="BPA11" s="412"/>
      <c r="BPB11" s="412"/>
      <c r="BPC11" s="412"/>
      <c r="BPD11" s="412"/>
      <c r="BPE11" s="412"/>
      <c r="BPF11" s="412"/>
      <c r="BPG11" s="412"/>
      <c r="BPH11" s="412"/>
      <c r="BPI11" s="412"/>
      <c r="BPJ11" s="412"/>
      <c r="BPK11" s="412"/>
      <c r="BPL11" s="412"/>
      <c r="BPM11" s="412"/>
      <c r="BPN11" s="412"/>
      <c r="BPO11" s="412"/>
      <c r="BPP11" s="412"/>
      <c r="BPQ11" s="412"/>
      <c r="BPR11" s="412"/>
      <c r="BPS11" s="412"/>
      <c r="BPT11" s="412"/>
      <c r="BPU11" s="412"/>
      <c r="BPV11" s="412"/>
      <c r="BPW11" s="412"/>
      <c r="BPX11" s="412"/>
      <c r="BPY11" s="412"/>
      <c r="BPZ11" s="412"/>
      <c r="BQA11" s="412"/>
      <c r="BQB11" s="412"/>
      <c r="BQC11" s="412"/>
      <c r="BQD11" s="412"/>
      <c r="BQE11" s="412"/>
      <c r="BQF11" s="412"/>
      <c r="BQG11" s="412"/>
      <c r="BQH11" s="412"/>
      <c r="BQI11" s="412"/>
      <c r="BQJ11" s="412"/>
      <c r="BQK11" s="412"/>
      <c r="BQL11" s="412"/>
      <c r="BQM11" s="412"/>
      <c r="BQN11" s="412"/>
      <c r="BQO11" s="412"/>
      <c r="BQP11" s="412"/>
      <c r="BQQ11" s="412"/>
      <c r="BQR11" s="412"/>
      <c r="BQS11" s="412"/>
      <c r="BQT11" s="412"/>
      <c r="BQU11" s="412"/>
      <c r="BQV11" s="412"/>
      <c r="BQW11" s="412"/>
      <c r="BQX11" s="412"/>
      <c r="BQY11" s="412"/>
      <c r="BQZ11" s="412"/>
      <c r="BRA11" s="412"/>
      <c r="BRB11" s="412"/>
      <c r="BRC11" s="412"/>
      <c r="BRD11" s="412"/>
      <c r="BRE11" s="412"/>
      <c r="BRF11" s="412"/>
      <c r="BRG11" s="412"/>
      <c r="BRH11" s="412"/>
      <c r="BRI11" s="412"/>
      <c r="BRJ11" s="412"/>
      <c r="BRK11" s="412"/>
      <c r="BRL11" s="412"/>
      <c r="BRM11" s="412"/>
      <c r="BRN11" s="412"/>
      <c r="BRO11" s="412"/>
      <c r="BRP11" s="412"/>
      <c r="BRQ11" s="412"/>
      <c r="BRR11" s="412"/>
      <c r="BRS11" s="412"/>
      <c r="BRT11" s="412"/>
      <c r="BRU11" s="412"/>
      <c r="BRV11" s="412"/>
      <c r="BRW11" s="412"/>
      <c r="BRX11" s="412"/>
      <c r="BRY11" s="412"/>
      <c r="BRZ11" s="412"/>
      <c r="BSA11" s="412"/>
      <c r="BSB11" s="412"/>
      <c r="BSC11" s="412"/>
      <c r="BSD11" s="412"/>
      <c r="BSE11" s="412"/>
      <c r="BSF11" s="412"/>
      <c r="BSG11" s="412"/>
      <c r="BSH11" s="412"/>
      <c r="BSI11" s="412"/>
      <c r="BSJ11" s="412"/>
      <c r="BSK11" s="412"/>
      <c r="BSL11" s="412"/>
      <c r="BSM11" s="412"/>
      <c r="BSN11" s="412"/>
      <c r="BSO11" s="412"/>
      <c r="BSP11" s="412"/>
      <c r="BSQ11" s="412"/>
      <c r="BSR11" s="412"/>
      <c r="BSS11" s="412"/>
      <c r="BST11" s="412"/>
      <c r="BSU11" s="412"/>
      <c r="BSV11" s="412"/>
      <c r="BSW11" s="412"/>
      <c r="BSX11" s="412"/>
      <c r="BSY11" s="412"/>
      <c r="BSZ11" s="412"/>
      <c r="BTA11" s="412"/>
      <c r="BTB11" s="412"/>
      <c r="BTC11" s="412"/>
      <c r="BTD11" s="412"/>
      <c r="BTE11" s="412"/>
      <c r="BTF11" s="412"/>
      <c r="BTG11" s="412"/>
      <c r="BTH11" s="412"/>
      <c r="BTI11" s="412"/>
    </row>
    <row r="12" spans="1:1881" ht="85.5" customHeight="1" thickBot="1" x14ac:dyDescent="0.3">
      <c r="A12" s="468">
        <v>626</v>
      </c>
      <c r="B12" s="469" t="s">
        <v>1204</v>
      </c>
      <c r="C12" s="470" t="s">
        <v>136</v>
      </c>
      <c r="D12" s="471" t="s">
        <v>1228</v>
      </c>
      <c r="E12" s="472" t="s">
        <v>837</v>
      </c>
      <c r="F12" s="647"/>
      <c r="G12" s="475">
        <f>IF(F12&lt;0,"Error: Enter as positive.",)</f>
        <v>0</v>
      </c>
      <c r="H12" s="456"/>
      <c r="I12" s="457"/>
      <c r="J12" s="368"/>
      <c r="L12" s="865" t="s">
        <v>1110</v>
      </c>
      <c r="M12" s="633"/>
      <c r="N12" s="656"/>
    </row>
    <row r="13" spans="1:1881" s="393" customFormat="1" ht="89.25" customHeight="1" thickBot="1" x14ac:dyDescent="0.3">
      <c r="A13" s="473">
        <v>627</v>
      </c>
      <c r="B13" s="474" t="s">
        <v>835</v>
      </c>
      <c r="C13" s="470" t="s">
        <v>136</v>
      </c>
      <c r="D13" s="471" t="s">
        <v>1086</v>
      </c>
      <c r="E13" s="472" t="s">
        <v>837</v>
      </c>
      <c r="F13" s="647"/>
      <c r="G13" s="475">
        <f>IF(F13&gt;F12,"Please review account numbers 627 &gt;626",)</f>
        <v>0</v>
      </c>
      <c r="H13" s="456"/>
      <c r="I13" s="457"/>
      <c r="J13" s="368"/>
      <c r="K13" s="412"/>
      <c r="L13" s="865" t="s">
        <v>1111</v>
      </c>
      <c r="M13" s="633"/>
      <c r="N13" s="656"/>
      <c r="O13" s="412"/>
      <c r="P13" s="412"/>
      <c r="Q13" s="412"/>
      <c r="R13" s="412"/>
      <c r="S13" s="412"/>
      <c r="T13" s="412"/>
      <c r="U13" s="412"/>
      <c r="V13" s="412"/>
      <c r="W13" s="412"/>
      <c r="X13" s="412"/>
      <c r="Y13" s="412"/>
      <c r="Z13" s="412"/>
      <c r="AA13" s="412"/>
      <c r="AB13" s="412"/>
      <c r="AC13" s="412"/>
      <c r="AD13" s="412"/>
      <c r="AE13" s="412"/>
      <c r="AF13" s="412"/>
      <c r="AG13" s="412"/>
      <c r="AH13" s="412"/>
      <c r="AI13" s="412"/>
      <c r="AJ13" s="412"/>
      <c r="AK13" s="412"/>
      <c r="AL13" s="412"/>
      <c r="AM13" s="412"/>
      <c r="AN13" s="412"/>
      <c r="AO13" s="412"/>
      <c r="AP13" s="412"/>
      <c r="AQ13" s="412"/>
      <c r="AR13" s="412"/>
      <c r="AS13" s="412"/>
      <c r="AT13" s="412"/>
      <c r="AU13" s="412"/>
      <c r="AV13" s="412"/>
      <c r="AW13" s="412"/>
      <c r="AX13" s="412"/>
      <c r="AY13" s="412"/>
      <c r="AZ13" s="412"/>
      <c r="BA13" s="412"/>
      <c r="BB13" s="412"/>
      <c r="BC13" s="412"/>
      <c r="BD13" s="412"/>
      <c r="BE13" s="412"/>
      <c r="BF13" s="412"/>
      <c r="BG13" s="412"/>
      <c r="BH13" s="412"/>
      <c r="BI13" s="412"/>
      <c r="BJ13" s="412"/>
      <c r="BK13" s="412"/>
      <c r="BL13" s="412"/>
      <c r="BM13" s="412"/>
      <c r="BN13" s="412"/>
      <c r="BO13" s="412"/>
      <c r="BP13" s="412"/>
      <c r="BQ13" s="412"/>
      <c r="BR13" s="412"/>
      <c r="BS13" s="412"/>
      <c r="BT13" s="412"/>
      <c r="BU13" s="412"/>
      <c r="BV13" s="412"/>
      <c r="BW13" s="412"/>
      <c r="BX13" s="412"/>
      <c r="BY13" s="412"/>
      <c r="BZ13" s="412"/>
      <c r="CA13" s="412"/>
      <c r="CB13" s="412"/>
      <c r="CC13" s="412"/>
      <c r="CD13" s="412"/>
      <c r="CE13" s="412"/>
      <c r="CF13" s="412"/>
      <c r="CG13" s="412"/>
      <c r="CH13" s="412"/>
      <c r="CI13" s="412"/>
      <c r="CJ13" s="412"/>
      <c r="CK13" s="412"/>
      <c r="CL13" s="412"/>
      <c r="CM13" s="412"/>
      <c r="CN13" s="412"/>
      <c r="CO13" s="412"/>
      <c r="CP13" s="412"/>
      <c r="CQ13" s="412"/>
      <c r="CR13" s="412"/>
      <c r="CS13" s="412"/>
      <c r="CT13" s="412"/>
      <c r="CU13" s="412"/>
      <c r="CV13" s="412"/>
      <c r="CW13" s="412"/>
      <c r="CX13" s="412"/>
      <c r="CY13" s="412"/>
      <c r="CZ13" s="412"/>
      <c r="DA13" s="412"/>
      <c r="DB13" s="412"/>
      <c r="DC13" s="412"/>
      <c r="DD13" s="412"/>
      <c r="DE13" s="412"/>
      <c r="DF13" s="412"/>
      <c r="DG13" s="412"/>
      <c r="DH13" s="412"/>
      <c r="DI13" s="412"/>
      <c r="DJ13" s="412"/>
      <c r="DK13" s="412"/>
      <c r="DL13" s="412"/>
      <c r="DM13" s="412"/>
      <c r="DN13" s="412"/>
      <c r="DO13" s="412"/>
      <c r="DP13" s="412"/>
      <c r="DQ13" s="412"/>
      <c r="DR13" s="412"/>
      <c r="DS13" s="412"/>
      <c r="DT13" s="412"/>
      <c r="DU13" s="412"/>
      <c r="DV13" s="412"/>
      <c r="DW13" s="412"/>
      <c r="DX13" s="412"/>
      <c r="DY13" s="412"/>
      <c r="DZ13" s="412"/>
      <c r="EA13" s="412"/>
      <c r="EB13" s="412"/>
      <c r="EC13" s="412"/>
      <c r="ED13" s="412"/>
      <c r="EE13" s="412"/>
      <c r="EF13" s="412"/>
      <c r="EG13" s="412"/>
      <c r="EH13" s="412"/>
      <c r="EI13" s="412"/>
      <c r="EJ13" s="412"/>
      <c r="EK13" s="412"/>
      <c r="EL13" s="412"/>
      <c r="EM13" s="412"/>
      <c r="EN13" s="412"/>
      <c r="EO13" s="412"/>
      <c r="EP13" s="412"/>
      <c r="EQ13" s="412"/>
      <c r="ER13" s="412"/>
      <c r="ES13" s="412"/>
      <c r="ET13" s="412"/>
      <c r="EU13" s="412"/>
      <c r="EV13" s="412"/>
      <c r="EW13" s="412"/>
      <c r="EX13" s="412"/>
      <c r="EY13" s="412"/>
      <c r="EZ13" s="412"/>
      <c r="FA13" s="412"/>
      <c r="FB13" s="412"/>
      <c r="FC13" s="412"/>
      <c r="FD13" s="412"/>
      <c r="FE13" s="412"/>
      <c r="FF13" s="412"/>
      <c r="FG13" s="412"/>
      <c r="FH13" s="412"/>
      <c r="FI13" s="412"/>
      <c r="FJ13" s="412"/>
      <c r="FK13" s="412"/>
      <c r="FL13" s="412"/>
      <c r="FM13" s="412"/>
      <c r="FN13" s="412"/>
      <c r="FO13" s="412"/>
      <c r="FP13" s="412"/>
      <c r="FQ13" s="412"/>
      <c r="FR13" s="412"/>
      <c r="FS13" s="412"/>
      <c r="FT13" s="412"/>
      <c r="FU13" s="412"/>
      <c r="FV13" s="412"/>
      <c r="FW13" s="412"/>
      <c r="FX13" s="412"/>
      <c r="FY13" s="412"/>
      <c r="FZ13" s="412"/>
      <c r="GA13" s="412"/>
      <c r="GB13" s="412"/>
      <c r="GC13" s="412"/>
      <c r="GD13" s="412"/>
      <c r="GE13" s="412"/>
      <c r="GF13" s="412"/>
      <c r="GG13" s="412"/>
      <c r="GH13" s="412"/>
      <c r="GI13" s="412"/>
      <c r="GJ13" s="412"/>
      <c r="GK13" s="412"/>
      <c r="GL13" s="412"/>
      <c r="GM13" s="412"/>
      <c r="GN13" s="412"/>
      <c r="GO13" s="412"/>
      <c r="GP13" s="412"/>
      <c r="GQ13" s="412"/>
      <c r="GR13" s="412"/>
      <c r="GS13" s="412"/>
      <c r="GT13" s="412"/>
      <c r="GU13" s="412"/>
      <c r="GV13" s="412"/>
      <c r="GW13" s="412"/>
      <c r="GX13" s="412"/>
      <c r="GY13" s="412"/>
      <c r="GZ13" s="412"/>
      <c r="HA13" s="412"/>
      <c r="HB13" s="412"/>
      <c r="HC13" s="412"/>
      <c r="HD13" s="412"/>
      <c r="HE13" s="412"/>
      <c r="HF13" s="412"/>
      <c r="HG13" s="412"/>
      <c r="HH13" s="412"/>
      <c r="HI13" s="412"/>
      <c r="HJ13" s="412"/>
      <c r="HK13" s="412"/>
      <c r="HL13" s="412"/>
      <c r="HM13" s="412"/>
      <c r="HN13" s="412"/>
      <c r="HO13" s="412"/>
      <c r="HP13" s="412"/>
      <c r="HQ13" s="412"/>
      <c r="HR13" s="412"/>
      <c r="HS13" s="412"/>
      <c r="HT13" s="412"/>
      <c r="HU13" s="412"/>
      <c r="HV13" s="412"/>
      <c r="HW13" s="412"/>
      <c r="HX13" s="412"/>
      <c r="HY13" s="412"/>
      <c r="HZ13" s="412"/>
      <c r="IA13" s="412"/>
      <c r="IB13" s="412"/>
      <c r="IC13" s="412"/>
      <c r="ID13" s="412"/>
      <c r="IE13" s="412"/>
      <c r="IF13" s="412"/>
      <c r="IG13" s="412"/>
      <c r="IH13" s="412"/>
      <c r="II13" s="412"/>
      <c r="IJ13" s="412"/>
      <c r="IK13" s="412"/>
      <c r="IL13" s="412"/>
      <c r="IM13" s="412"/>
      <c r="IN13" s="412"/>
      <c r="IO13" s="412"/>
      <c r="IP13" s="412"/>
      <c r="IQ13" s="412"/>
      <c r="IR13" s="412"/>
      <c r="IS13" s="412"/>
      <c r="IT13" s="412"/>
      <c r="IU13" s="412"/>
      <c r="IV13" s="412"/>
      <c r="IW13" s="412"/>
      <c r="IX13" s="412"/>
      <c r="IY13" s="412"/>
      <c r="IZ13" s="412"/>
      <c r="JA13" s="412"/>
      <c r="JB13" s="412"/>
      <c r="JC13" s="412"/>
      <c r="JD13" s="412"/>
      <c r="JE13" s="412"/>
      <c r="JF13" s="412"/>
      <c r="JG13" s="412"/>
      <c r="JH13" s="412"/>
      <c r="JI13" s="412"/>
      <c r="JJ13" s="412"/>
      <c r="JK13" s="412"/>
      <c r="JL13" s="412"/>
      <c r="JM13" s="412"/>
      <c r="JN13" s="412"/>
      <c r="JO13" s="412"/>
      <c r="JP13" s="412"/>
      <c r="JQ13" s="412"/>
      <c r="JR13" s="412"/>
      <c r="JS13" s="412"/>
      <c r="JT13" s="412"/>
      <c r="JU13" s="412"/>
      <c r="JV13" s="412"/>
      <c r="JW13" s="412"/>
      <c r="JX13" s="412"/>
      <c r="JY13" s="412"/>
      <c r="JZ13" s="412"/>
      <c r="KA13" s="412"/>
      <c r="KB13" s="412"/>
      <c r="KC13" s="412"/>
      <c r="KD13" s="412"/>
      <c r="KE13" s="412"/>
      <c r="KF13" s="412"/>
      <c r="KG13" s="412"/>
      <c r="KH13" s="412"/>
      <c r="KI13" s="412"/>
      <c r="KJ13" s="412"/>
      <c r="KK13" s="412"/>
      <c r="KL13" s="412"/>
      <c r="KM13" s="412"/>
      <c r="KN13" s="412"/>
      <c r="KO13" s="412"/>
      <c r="KP13" s="412"/>
      <c r="KQ13" s="412"/>
      <c r="KR13" s="412"/>
      <c r="KS13" s="412"/>
      <c r="KT13" s="412"/>
      <c r="KU13" s="412"/>
      <c r="KV13" s="412"/>
      <c r="KW13" s="412"/>
      <c r="KX13" s="412"/>
      <c r="KY13" s="412"/>
      <c r="KZ13" s="412"/>
      <c r="LA13" s="412"/>
      <c r="LB13" s="412"/>
      <c r="LC13" s="412"/>
      <c r="LD13" s="412"/>
      <c r="LE13" s="412"/>
      <c r="LF13" s="412"/>
      <c r="LG13" s="412"/>
      <c r="LH13" s="412"/>
      <c r="LI13" s="412"/>
      <c r="LJ13" s="412"/>
      <c r="LK13" s="412"/>
      <c r="LL13" s="412"/>
      <c r="LM13" s="412"/>
      <c r="LN13" s="412"/>
      <c r="LO13" s="412"/>
      <c r="LP13" s="412"/>
      <c r="LQ13" s="412"/>
      <c r="LR13" s="412"/>
      <c r="LS13" s="412"/>
      <c r="LT13" s="412"/>
      <c r="LU13" s="412"/>
      <c r="LV13" s="412"/>
      <c r="LW13" s="412"/>
      <c r="LX13" s="412"/>
      <c r="LY13" s="412"/>
      <c r="LZ13" s="412"/>
      <c r="MA13" s="412"/>
      <c r="MB13" s="412"/>
      <c r="MC13" s="412"/>
      <c r="MD13" s="412"/>
      <c r="ME13" s="412"/>
      <c r="MF13" s="412"/>
      <c r="MG13" s="412"/>
      <c r="MH13" s="412"/>
      <c r="MI13" s="412"/>
      <c r="MJ13" s="412"/>
      <c r="MK13" s="412"/>
      <c r="ML13" s="412"/>
      <c r="MM13" s="412"/>
      <c r="MN13" s="412"/>
      <c r="MO13" s="412"/>
      <c r="MP13" s="412"/>
      <c r="MQ13" s="412"/>
      <c r="MR13" s="412"/>
      <c r="MS13" s="412"/>
      <c r="MT13" s="412"/>
      <c r="MU13" s="412"/>
      <c r="MV13" s="412"/>
      <c r="MW13" s="412"/>
      <c r="MX13" s="412"/>
      <c r="MY13" s="412"/>
      <c r="MZ13" s="412"/>
      <c r="NA13" s="412"/>
      <c r="NB13" s="412"/>
      <c r="NC13" s="412"/>
      <c r="ND13" s="412"/>
      <c r="NE13" s="412"/>
      <c r="NF13" s="412"/>
      <c r="NG13" s="412"/>
      <c r="NH13" s="412"/>
      <c r="NI13" s="412"/>
      <c r="NJ13" s="412"/>
      <c r="NK13" s="412"/>
      <c r="NL13" s="412"/>
      <c r="NM13" s="412"/>
      <c r="NN13" s="412"/>
      <c r="NO13" s="412"/>
      <c r="NP13" s="412"/>
      <c r="NQ13" s="412"/>
      <c r="NR13" s="412"/>
      <c r="NS13" s="412"/>
      <c r="NT13" s="412"/>
      <c r="NU13" s="412"/>
      <c r="NV13" s="412"/>
      <c r="NW13" s="412"/>
      <c r="NX13" s="412"/>
      <c r="NY13" s="412"/>
      <c r="NZ13" s="412"/>
      <c r="OA13" s="412"/>
      <c r="OB13" s="412"/>
      <c r="OC13" s="412"/>
      <c r="OD13" s="412"/>
      <c r="OE13" s="412"/>
      <c r="OF13" s="412"/>
      <c r="OG13" s="412"/>
      <c r="OH13" s="412"/>
      <c r="OI13" s="412"/>
      <c r="OJ13" s="412"/>
      <c r="OK13" s="412"/>
      <c r="OL13" s="412"/>
      <c r="OM13" s="412"/>
      <c r="ON13" s="412"/>
      <c r="OO13" s="412"/>
      <c r="OP13" s="412"/>
      <c r="OQ13" s="412"/>
      <c r="OR13" s="412"/>
      <c r="OS13" s="412"/>
      <c r="OT13" s="412"/>
      <c r="OU13" s="412"/>
      <c r="OV13" s="412"/>
      <c r="OW13" s="412"/>
      <c r="OX13" s="412"/>
      <c r="OY13" s="412"/>
      <c r="OZ13" s="412"/>
      <c r="PA13" s="412"/>
      <c r="PB13" s="412"/>
      <c r="PC13" s="412"/>
      <c r="PD13" s="412"/>
      <c r="PE13" s="412"/>
      <c r="PF13" s="412"/>
      <c r="PG13" s="412"/>
      <c r="PH13" s="412"/>
      <c r="PI13" s="412"/>
      <c r="PJ13" s="412"/>
      <c r="PK13" s="412"/>
      <c r="PL13" s="412"/>
      <c r="PM13" s="412"/>
      <c r="PN13" s="412"/>
      <c r="PO13" s="412"/>
      <c r="PP13" s="412"/>
      <c r="PQ13" s="412"/>
      <c r="PR13" s="412"/>
      <c r="PS13" s="412"/>
      <c r="PT13" s="412"/>
      <c r="PU13" s="412"/>
      <c r="PV13" s="412"/>
      <c r="PW13" s="412"/>
      <c r="PX13" s="412"/>
      <c r="PY13" s="412"/>
      <c r="PZ13" s="412"/>
      <c r="QA13" s="412"/>
      <c r="QB13" s="412"/>
      <c r="QC13" s="412"/>
      <c r="QD13" s="412"/>
      <c r="QE13" s="412"/>
      <c r="QF13" s="412"/>
      <c r="QG13" s="412"/>
      <c r="QH13" s="412"/>
      <c r="QI13" s="412"/>
      <c r="QJ13" s="412"/>
      <c r="QK13" s="412"/>
      <c r="QL13" s="412"/>
      <c r="QM13" s="412"/>
      <c r="QN13" s="412"/>
      <c r="QO13" s="412"/>
      <c r="QP13" s="412"/>
      <c r="QQ13" s="412"/>
      <c r="QR13" s="412"/>
      <c r="QS13" s="412"/>
      <c r="QT13" s="412"/>
      <c r="QU13" s="412"/>
      <c r="QV13" s="412"/>
      <c r="QW13" s="412"/>
      <c r="QX13" s="412"/>
      <c r="QY13" s="412"/>
      <c r="QZ13" s="412"/>
      <c r="RA13" s="412"/>
      <c r="RB13" s="412"/>
      <c r="RC13" s="412"/>
      <c r="RD13" s="412"/>
      <c r="RE13" s="412"/>
      <c r="RF13" s="412"/>
      <c r="RG13" s="412"/>
      <c r="RH13" s="412"/>
      <c r="RI13" s="412"/>
      <c r="RJ13" s="412"/>
      <c r="RK13" s="412"/>
      <c r="RL13" s="412"/>
      <c r="RM13" s="412"/>
      <c r="RN13" s="412"/>
      <c r="RO13" s="412"/>
      <c r="RP13" s="412"/>
      <c r="RQ13" s="412"/>
      <c r="RR13" s="412"/>
      <c r="RS13" s="412"/>
      <c r="RT13" s="412"/>
      <c r="RU13" s="412"/>
      <c r="RV13" s="412"/>
      <c r="RW13" s="412"/>
      <c r="RX13" s="412"/>
      <c r="RY13" s="412"/>
      <c r="RZ13" s="412"/>
      <c r="SA13" s="412"/>
      <c r="SB13" s="412"/>
      <c r="SC13" s="412"/>
      <c r="SD13" s="412"/>
      <c r="SE13" s="412"/>
      <c r="SF13" s="412"/>
      <c r="SG13" s="412"/>
      <c r="SH13" s="412"/>
      <c r="SI13" s="412"/>
      <c r="SJ13" s="412"/>
      <c r="SK13" s="412"/>
      <c r="SL13" s="412"/>
      <c r="SM13" s="412"/>
      <c r="SN13" s="412"/>
      <c r="SO13" s="412"/>
      <c r="SP13" s="412"/>
      <c r="SQ13" s="412"/>
      <c r="SR13" s="412"/>
      <c r="SS13" s="412"/>
      <c r="ST13" s="412"/>
      <c r="SU13" s="412"/>
      <c r="SV13" s="412"/>
      <c r="SW13" s="412"/>
      <c r="SX13" s="412"/>
      <c r="SY13" s="412"/>
      <c r="SZ13" s="412"/>
      <c r="TA13" s="412"/>
      <c r="TB13" s="412"/>
      <c r="TC13" s="412"/>
      <c r="TD13" s="412"/>
      <c r="TE13" s="412"/>
      <c r="TF13" s="412"/>
      <c r="TG13" s="412"/>
      <c r="TH13" s="412"/>
      <c r="TI13" s="412"/>
      <c r="TJ13" s="412"/>
      <c r="TK13" s="412"/>
      <c r="TL13" s="412"/>
      <c r="TM13" s="412"/>
      <c r="TN13" s="412"/>
      <c r="TO13" s="412"/>
      <c r="TP13" s="412"/>
      <c r="TQ13" s="412"/>
      <c r="TR13" s="412"/>
      <c r="TS13" s="412"/>
      <c r="TT13" s="412"/>
      <c r="TU13" s="412"/>
      <c r="TV13" s="412"/>
      <c r="TW13" s="412"/>
      <c r="TX13" s="412"/>
      <c r="TY13" s="412"/>
      <c r="TZ13" s="412"/>
      <c r="UA13" s="412"/>
      <c r="UB13" s="412"/>
      <c r="UC13" s="412"/>
      <c r="UD13" s="412"/>
      <c r="UE13" s="412"/>
      <c r="UF13" s="412"/>
      <c r="UG13" s="412"/>
      <c r="UH13" s="412"/>
      <c r="UI13" s="412"/>
      <c r="UJ13" s="412"/>
      <c r="UK13" s="412"/>
      <c r="UL13" s="412"/>
      <c r="UM13" s="412"/>
      <c r="UN13" s="412"/>
      <c r="UO13" s="412"/>
      <c r="UP13" s="412"/>
      <c r="UQ13" s="412"/>
      <c r="UR13" s="412"/>
      <c r="US13" s="412"/>
      <c r="UT13" s="412"/>
      <c r="UU13" s="412"/>
      <c r="UV13" s="412"/>
      <c r="UW13" s="412"/>
      <c r="UX13" s="412"/>
      <c r="UY13" s="412"/>
      <c r="UZ13" s="412"/>
      <c r="VA13" s="412"/>
      <c r="VB13" s="412"/>
      <c r="VC13" s="412"/>
      <c r="VD13" s="412"/>
      <c r="VE13" s="412"/>
      <c r="VF13" s="412"/>
      <c r="VG13" s="412"/>
      <c r="VH13" s="412"/>
      <c r="VI13" s="412"/>
      <c r="VJ13" s="412"/>
      <c r="VK13" s="412"/>
      <c r="VL13" s="412"/>
      <c r="VM13" s="412"/>
      <c r="VN13" s="412"/>
      <c r="VO13" s="412"/>
      <c r="VP13" s="412"/>
      <c r="VQ13" s="412"/>
      <c r="VR13" s="412"/>
      <c r="VS13" s="412"/>
      <c r="VT13" s="412"/>
      <c r="VU13" s="412"/>
      <c r="VV13" s="412"/>
      <c r="VW13" s="412"/>
      <c r="VX13" s="412"/>
      <c r="VY13" s="412"/>
      <c r="VZ13" s="412"/>
      <c r="WA13" s="412"/>
      <c r="WB13" s="412"/>
      <c r="WC13" s="412"/>
      <c r="WD13" s="412"/>
      <c r="WE13" s="412"/>
      <c r="WF13" s="412"/>
      <c r="WG13" s="412"/>
      <c r="WH13" s="412"/>
      <c r="WI13" s="412"/>
      <c r="WJ13" s="412"/>
      <c r="WK13" s="412"/>
      <c r="WL13" s="412"/>
      <c r="WM13" s="412"/>
      <c r="WN13" s="412"/>
      <c r="WO13" s="412"/>
      <c r="WP13" s="412"/>
      <c r="WQ13" s="412"/>
      <c r="WR13" s="412"/>
      <c r="WS13" s="412"/>
      <c r="WT13" s="412"/>
      <c r="WU13" s="412"/>
      <c r="WV13" s="412"/>
      <c r="WW13" s="412"/>
      <c r="WX13" s="412"/>
      <c r="WY13" s="412"/>
      <c r="WZ13" s="412"/>
      <c r="XA13" s="412"/>
      <c r="XB13" s="412"/>
      <c r="XC13" s="412"/>
      <c r="XD13" s="412"/>
      <c r="XE13" s="412"/>
      <c r="XF13" s="412"/>
      <c r="XG13" s="412"/>
      <c r="XH13" s="412"/>
      <c r="XI13" s="412"/>
      <c r="XJ13" s="412"/>
      <c r="XK13" s="412"/>
      <c r="XL13" s="412"/>
      <c r="XM13" s="412"/>
      <c r="XN13" s="412"/>
      <c r="XO13" s="412"/>
      <c r="XP13" s="412"/>
      <c r="XQ13" s="412"/>
      <c r="XR13" s="412"/>
      <c r="XS13" s="412"/>
      <c r="XT13" s="412"/>
      <c r="XU13" s="412"/>
      <c r="XV13" s="412"/>
      <c r="XW13" s="412"/>
      <c r="XX13" s="412"/>
      <c r="XY13" s="412"/>
      <c r="XZ13" s="412"/>
      <c r="YA13" s="412"/>
      <c r="YB13" s="412"/>
      <c r="YC13" s="412"/>
      <c r="YD13" s="412"/>
      <c r="YE13" s="412"/>
      <c r="YF13" s="412"/>
      <c r="YG13" s="412"/>
      <c r="YH13" s="412"/>
      <c r="YI13" s="412"/>
      <c r="YJ13" s="412"/>
      <c r="YK13" s="412"/>
      <c r="YL13" s="412"/>
      <c r="YM13" s="412"/>
      <c r="YN13" s="412"/>
      <c r="YO13" s="412"/>
      <c r="YP13" s="412"/>
      <c r="YQ13" s="412"/>
      <c r="YR13" s="412"/>
      <c r="YS13" s="412"/>
      <c r="YT13" s="412"/>
      <c r="YU13" s="412"/>
      <c r="YV13" s="412"/>
      <c r="YW13" s="412"/>
      <c r="YX13" s="412"/>
      <c r="YY13" s="412"/>
      <c r="YZ13" s="412"/>
      <c r="ZA13" s="412"/>
      <c r="ZB13" s="412"/>
      <c r="ZC13" s="412"/>
      <c r="ZD13" s="412"/>
      <c r="ZE13" s="412"/>
      <c r="ZF13" s="412"/>
      <c r="ZG13" s="412"/>
      <c r="ZH13" s="412"/>
      <c r="ZI13" s="412"/>
      <c r="ZJ13" s="412"/>
      <c r="ZK13" s="412"/>
      <c r="ZL13" s="412"/>
      <c r="ZM13" s="412"/>
      <c r="ZN13" s="412"/>
      <c r="ZO13" s="412"/>
      <c r="ZP13" s="412"/>
      <c r="ZQ13" s="412"/>
      <c r="ZR13" s="412"/>
      <c r="ZS13" s="412"/>
      <c r="ZT13" s="412"/>
      <c r="ZU13" s="412"/>
      <c r="ZV13" s="412"/>
      <c r="ZW13" s="412"/>
      <c r="ZX13" s="412"/>
      <c r="ZY13" s="412"/>
      <c r="ZZ13" s="412"/>
      <c r="AAA13" s="412"/>
      <c r="AAB13" s="412"/>
      <c r="AAC13" s="412"/>
      <c r="AAD13" s="412"/>
      <c r="AAE13" s="412"/>
      <c r="AAF13" s="412"/>
      <c r="AAG13" s="412"/>
      <c r="AAH13" s="412"/>
      <c r="AAI13" s="412"/>
      <c r="AAJ13" s="412"/>
      <c r="AAK13" s="412"/>
      <c r="AAL13" s="412"/>
      <c r="AAM13" s="412"/>
      <c r="AAN13" s="412"/>
      <c r="AAO13" s="412"/>
      <c r="AAP13" s="412"/>
      <c r="AAQ13" s="412"/>
      <c r="AAR13" s="412"/>
      <c r="AAS13" s="412"/>
      <c r="AAT13" s="412"/>
      <c r="AAU13" s="412"/>
      <c r="AAV13" s="412"/>
      <c r="AAW13" s="412"/>
      <c r="AAX13" s="412"/>
      <c r="AAY13" s="412"/>
      <c r="AAZ13" s="412"/>
      <c r="ABA13" s="412"/>
      <c r="ABB13" s="412"/>
      <c r="ABC13" s="412"/>
      <c r="ABD13" s="412"/>
      <c r="ABE13" s="412"/>
      <c r="ABF13" s="412"/>
      <c r="ABG13" s="412"/>
      <c r="ABH13" s="412"/>
      <c r="ABI13" s="412"/>
      <c r="ABJ13" s="412"/>
      <c r="ABK13" s="412"/>
      <c r="ABL13" s="412"/>
      <c r="ABM13" s="412"/>
      <c r="ABN13" s="412"/>
      <c r="ABO13" s="412"/>
      <c r="ABP13" s="412"/>
      <c r="ABQ13" s="412"/>
      <c r="ABR13" s="412"/>
      <c r="ABS13" s="412"/>
      <c r="ABT13" s="412"/>
      <c r="ABU13" s="412"/>
      <c r="ABV13" s="412"/>
      <c r="ABW13" s="412"/>
      <c r="ABX13" s="412"/>
      <c r="ABY13" s="412"/>
      <c r="ABZ13" s="412"/>
      <c r="ACA13" s="412"/>
      <c r="ACB13" s="412"/>
      <c r="ACC13" s="412"/>
      <c r="ACD13" s="412"/>
      <c r="ACE13" s="412"/>
      <c r="ACF13" s="412"/>
      <c r="ACG13" s="412"/>
      <c r="ACH13" s="412"/>
      <c r="ACI13" s="412"/>
      <c r="ACJ13" s="412"/>
      <c r="ACK13" s="412"/>
      <c r="ACL13" s="412"/>
      <c r="ACM13" s="412"/>
      <c r="ACN13" s="412"/>
      <c r="ACO13" s="412"/>
      <c r="ACP13" s="412"/>
      <c r="ACQ13" s="412"/>
      <c r="ACR13" s="412"/>
      <c r="ACS13" s="412"/>
      <c r="ACT13" s="412"/>
      <c r="ACU13" s="412"/>
      <c r="ACV13" s="412"/>
      <c r="ACW13" s="412"/>
      <c r="ACX13" s="412"/>
      <c r="ACY13" s="412"/>
      <c r="ACZ13" s="412"/>
      <c r="ADA13" s="412"/>
      <c r="ADB13" s="412"/>
      <c r="ADC13" s="412"/>
      <c r="ADD13" s="412"/>
      <c r="ADE13" s="412"/>
      <c r="ADF13" s="412"/>
      <c r="ADG13" s="412"/>
      <c r="ADH13" s="412"/>
      <c r="ADI13" s="412"/>
      <c r="ADJ13" s="412"/>
      <c r="ADK13" s="412"/>
      <c r="ADL13" s="412"/>
      <c r="ADM13" s="412"/>
      <c r="ADN13" s="412"/>
      <c r="ADO13" s="412"/>
      <c r="ADP13" s="412"/>
      <c r="ADQ13" s="412"/>
      <c r="ADR13" s="412"/>
      <c r="ADS13" s="412"/>
      <c r="ADT13" s="412"/>
      <c r="ADU13" s="412"/>
      <c r="ADV13" s="412"/>
      <c r="ADW13" s="412"/>
      <c r="ADX13" s="412"/>
      <c r="ADY13" s="412"/>
      <c r="ADZ13" s="412"/>
      <c r="AEA13" s="412"/>
      <c r="AEB13" s="412"/>
      <c r="AEC13" s="412"/>
      <c r="AED13" s="412"/>
      <c r="AEE13" s="412"/>
      <c r="AEF13" s="412"/>
      <c r="AEG13" s="412"/>
      <c r="AEH13" s="412"/>
      <c r="AEI13" s="412"/>
      <c r="AEJ13" s="412"/>
      <c r="AEK13" s="412"/>
      <c r="AEL13" s="412"/>
      <c r="AEM13" s="412"/>
      <c r="AEN13" s="412"/>
      <c r="AEO13" s="412"/>
      <c r="AEP13" s="412"/>
      <c r="AEQ13" s="412"/>
      <c r="AER13" s="412"/>
      <c r="AES13" s="412"/>
      <c r="AET13" s="412"/>
      <c r="AEU13" s="412"/>
      <c r="AEV13" s="412"/>
      <c r="AEW13" s="412"/>
      <c r="AEX13" s="412"/>
      <c r="AEY13" s="412"/>
      <c r="AEZ13" s="412"/>
      <c r="AFA13" s="412"/>
      <c r="AFB13" s="412"/>
      <c r="AFC13" s="412"/>
      <c r="AFD13" s="412"/>
      <c r="AFE13" s="412"/>
      <c r="AFF13" s="412"/>
      <c r="AFG13" s="412"/>
      <c r="AFH13" s="412"/>
      <c r="AFI13" s="412"/>
      <c r="AFJ13" s="412"/>
      <c r="AFK13" s="412"/>
      <c r="AFL13" s="412"/>
      <c r="AFM13" s="412"/>
      <c r="AFN13" s="412"/>
      <c r="AFO13" s="412"/>
      <c r="AFP13" s="412"/>
      <c r="AFQ13" s="412"/>
      <c r="AFR13" s="412"/>
      <c r="AFS13" s="412"/>
      <c r="AFT13" s="412"/>
      <c r="AFU13" s="412"/>
      <c r="AFV13" s="412"/>
      <c r="AFW13" s="412"/>
      <c r="AFX13" s="412"/>
      <c r="AFY13" s="412"/>
      <c r="AFZ13" s="412"/>
      <c r="AGA13" s="412"/>
      <c r="AGB13" s="412"/>
      <c r="AGC13" s="412"/>
      <c r="AGD13" s="412"/>
      <c r="AGE13" s="412"/>
      <c r="AGF13" s="412"/>
      <c r="AGG13" s="412"/>
      <c r="AGH13" s="412"/>
      <c r="AGI13" s="412"/>
      <c r="AGJ13" s="412"/>
      <c r="AGK13" s="412"/>
      <c r="AGL13" s="412"/>
      <c r="AGM13" s="412"/>
      <c r="AGN13" s="412"/>
      <c r="AGO13" s="412"/>
      <c r="AGP13" s="412"/>
      <c r="AGQ13" s="412"/>
      <c r="AGR13" s="412"/>
      <c r="AGS13" s="412"/>
      <c r="AGT13" s="412"/>
      <c r="AGU13" s="412"/>
      <c r="AGV13" s="412"/>
      <c r="AGW13" s="412"/>
      <c r="AGX13" s="412"/>
      <c r="AGY13" s="412"/>
      <c r="AGZ13" s="412"/>
      <c r="AHA13" s="412"/>
      <c r="AHB13" s="412"/>
      <c r="AHC13" s="412"/>
      <c r="AHD13" s="412"/>
      <c r="AHE13" s="412"/>
      <c r="AHF13" s="412"/>
      <c r="AHG13" s="412"/>
      <c r="AHH13" s="412"/>
      <c r="AHI13" s="412"/>
      <c r="AHJ13" s="412"/>
      <c r="AHK13" s="412"/>
      <c r="AHL13" s="412"/>
      <c r="AHM13" s="412"/>
      <c r="AHN13" s="412"/>
      <c r="AHO13" s="412"/>
      <c r="AHP13" s="412"/>
      <c r="AHQ13" s="412"/>
      <c r="AHR13" s="412"/>
      <c r="AHS13" s="412"/>
      <c r="AHT13" s="412"/>
      <c r="AHU13" s="412"/>
      <c r="AHV13" s="412"/>
      <c r="AHW13" s="412"/>
      <c r="AHX13" s="412"/>
      <c r="AHY13" s="412"/>
      <c r="AHZ13" s="412"/>
      <c r="AIA13" s="412"/>
      <c r="AIB13" s="412"/>
      <c r="AIC13" s="412"/>
      <c r="AID13" s="412"/>
      <c r="AIE13" s="412"/>
      <c r="AIF13" s="412"/>
      <c r="AIG13" s="412"/>
      <c r="AIH13" s="412"/>
      <c r="AII13" s="412"/>
      <c r="AIJ13" s="412"/>
      <c r="AIK13" s="412"/>
      <c r="AIL13" s="412"/>
      <c r="AIM13" s="412"/>
      <c r="AIN13" s="412"/>
      <c r="AIO13" s="412"/>
      <c r="AIP13" s="412"/>
      <c r="AIQ13" s="412"/>
      <c r="AIR13" s="412"/>
      <c r="AIS13" s="412"/>
      <c r="AIT13" s="412"/>
      <c r="AIU13" s="412"/>
      <c r="AIV13" s="412"/>
      <c r="AIW13" s="412"/>
      <c r="AIX13" s="412"/>
      <c r="AIY13" s="412"/>
      <c r="AIZ13" s="412"/>
      <c r="AJA13" s="412"/>
      <c r="AJB13" s="412"/>
      <c r="AJC13" s="412"/>
      <c r="AJD13" s="412"/>
      <c r="AJE13" s="412"/>
      <c r="AJF13" s="412"/>
      <c r="AJG13" s="412"/>
      <c r="AJH13" s="412"/>
      <c r="AJI13" s="412"/>
      <c r="AJJ13" s="412"/>
      <c r="AJK13" s="412"/>
      <c r="AJL13" s="412"/>
      <c r="AJM13" s="412"/>
      <c r="AJN13" s="412"/>
      <c r="AJO13" s="412"/>
      <c r="AJP13" s="412"/>
      <c r="AJQ13" s="412"/>
      <c r="AJR13" s="412"/>
      <c r="AJS13" s="412"/>
      <c r="AJT13" s="412"/>
      <c r="AJU13" s="412"/>
      <c r="AJV13" s="412"/>
      <c r="AJW13" s="412"/>
      <c r="AJX13" s="412"/>
      <c r="AJY13" s="412"/>
      <c r="AJZ13" s="412"/>
      <c r="AKA13" s="412"/>
      <c r="AKB13" s="412"/>
      <c r="AKC13" s="412"/>
      <c r="AKD13" s="412"/>
      <c r="AKE13" s="412"/>
      <c r="AKF13" s="412"/>
      <c r="AKG13" s="412"/>
      <c r="AKH13" s="412"/>
      <c r="AKI13" s="412"/>
      <c r="AKJ13" s="412"/>
      <c r="AKK13" s="412"/>
      <c r="AKL13" s="412"/>
      <c r="AKM13" s="412"/>
      <c r="AKN13" s="412"/>
      <c r="AKO13" s="412"/>
      <c r="AKP13" s="412"/>
      <c r="AKQ13" s="412"/>
      <c r="AKR13" s="412"/>
      <c r="AKS13" s="412"/>
      <c r="AKT13" s="412"/>
      <c r="AKU13" s="412"/>
      <c r="AKV13" s="412"/>
      <c r="AKW13" s="412"/>
      <c r="AKX13" s="412"/>
      <c r="AKY13" s="412"/>
      <c r="AKZ13" s="412"/>
      <c r="ALA13" s="412"/>
      <c r="ALB13" s="412"/>
      <c r="ALC13" s="412"/>
      <c r="ALD13" s="412"/>
      <c r="ALE13" s="412"/>
      <c r="ALF13" s="412"/>
      <c r="ALG13" s="412"/>
      <c r="ALH13" s="412"/>
      <c r="ALI13" s="412"/>
      <c r="ALJ13" s="412"/>
      <c r="ALK13" s="412"/>
      <c r="ALL13" s="412"/>
      <c r="ALM13" s="412"/>
      <c r="ALN13" s="412"/>
      <c r="ALO13" s="412"/>
      <c r="ALP13" s="412"/>
      <c r="ALQ13" s="412"/>
      <c r="ALR13" s="412"/>
      <c r="ALS13" s="412"/>
      <c r="ALT13" s="412"/>
      <c r="ALU13" s="412"/>
      <c r="ALV13" s="412"/>
      <c r="ALW13" s="412"/>
      <c r="ALX13" s="412"/>
      <c r="ALY13" s="412"/>
      <c r="ALZ13" s="412"/>
      <c r="AMA13" s="412"/>
      <c r="AMB13" s="412"/>
      <c r="AMC13" s="412"/>
      <c r="AMD13" s="412"/>
      <c r="AME13" s="412"/>
      <c r="AMF13" s="412"/>
      <c r="AMG13" s="412"/>
      <c r="AMH13" s="412"/>
      <c r="AMI13" s="412"/>
      <c r="AMJ13" s="412"/>
      <c r="AMK13" s="412"/>
      <c r="AML13" s="412"/>
      <c r="AMM13" s="412"/>
      <c r="AMN13" s="412"/>
      <c r="AMO13" s="412"/>
      <c r="AMP13" s="412"/>
      <c r="AMQ13" s="412"/>
      <c r="AMR13" s="412"/>
      <c r="AMS13" s="412"/>
      <c r="AMT13" s="412"/>
      <c r="AMU13" s="412"/>
      <c r="AMV13" s="412"/>
      <c r="AMW13" s="412"/>
      <c r="AMX13" s="412"/>
      <c r="AMY13" s="412"/>
      <c r="AMZ13" s="412"/>
      <c r="ANA13" s="412"/>
      <c r="ANB13" s="412"/>
      <c r="ANC13" s="412"/>
      <c r="AND13" s="412"/>
      <c r="ANE13" s="412"/>
      <c r="ANF13" s="412"/>
      <c r="ANG13" s="412"/>
      <c r="ANH13" s="412"/>
      <c r="ANI13" s="412"/>
      <c r="ANJ13" s="412"/>
      <c r="ANK13" s="412"/>
      <c r="ANL13" s="412"/>
      <c r="ANM13" s="412"/>
      <c r="ANN13" s="412"/>
      <c r="ANO13" s="412"/>
      <c r="ANP13" s="412"/>
      <c r="ANQ13" s="412"/>
      <c r="ANR13" s="412"/>
      <c r="ANS13" s="412"/>
      <c r="ANT13" s="412"/>
      <c r="ANU13" s="412"/>
      <c r="ANV13" s="412"/>
      <c r="ANW13" s="412"/>
      <c r="ANX13" s="412"/>
      <c r="ANY13" s="412"/>
      <c r="ANZ13" s="412"/>
      <c r="AOA13" s="412"/>
      <c r="AOB13" s="412"/>
      <c r="AOC13" s="412"/>
      <c r="AOD13" s="412"/>
      <c r="AOE13" s="412"/>
      <c r="AOF13" s="412"/>
      <c r="AOG13" s="412"/>
      <c r="AOH13" s="412"/>
      <c r="AOI13" s="412"/>
      <c r="AOJ13" s="412"/>
      <c r="AOK13" s="412"/>
      <c r="AOL13" s="412"/>
      <c r="AOM13" s="412"/>
      <c r="AON13" s="412"/>
      <c r="AOO13" s="412"/>
      <c r="AOP13" s="412"/>
      <c r="AOQ13" s="412"/>
      <c r="AOR13" s="412"/>
      <c r="AOS13" s="412"/>
      <c r="AOT13" s="412"/>
      <c r="AOU13" s="412"/>
      <c r="AOV13" s="412"/>
      <c r="AOW13" s="412"/>
      <c r="AOX13" s="412"/>
      <c r="AOY13" s="412"/>
      <c r="AOZ13" s="412"/>
      <c r="APA13" s="412"/>
      <c r="APB13" s="412"/>
      <c r="APC13" s="412"/>
      <c r="APD13" s="412"/>
      <c r="APE13" s="412"/>
      <c r="APF13" s="412"/>
      <c r="APG13" s="412"/>
      <c r="APH13" s="412"/>
      <c r="API13" s="412"/>
      <c r="APJ13" s="412"/>
      <c r="APK13" s="412"/>
      <c r="APL13" s="412"/>
      <c r="APM13" s="412"/>
      <c r="APN13" s="412"/>
      <c r="APO13" s="412"/>
      <c r="APP13" s="412"/>
      <c r="APQ13" s="412"/>
      <c r="APR13" s="412"/>
      <c r="APS13" s="412"/>
      <c r="APT13" s="412"/>
      <c r="APU13" s="412"/>
      <c r="APV13" s="412"/>
      <c r="APW13" s="412"/>
      <c r="APX13" s="412"/>
      <c r="APY13" s="412"/>
      <c r="APZ13" s="412"/>
      <c r="AQA13" s="412"/>
      <c r="AQB13" s="412"/>
      <c r="AQC13" s="412"/>
      <c r="AQD13" s="412"/>
      <c r="AQE13" s="412"/>
      <c r="AQF13" s="412"/>
      <c r="AQG13" s="412"/>
      <c r="AQH13" s="412"/>
      <c r="AQI13" s="412"/>
      <c r="AQJ13" s="412"/>
      <c r="AQK13" s="412"/>
      <c r="AQL13" s="412"/>
      <c r="AQM13" s="412"/>
      <c r="AQN13" s="412"/>
      <c r="AQO13" s="412"/>
      <c r="AQP13" s="412"/>
      <c r="AQQ13" s="412"/>
      <c r="AQR13" s="412"/>
      <c r="AQS13" s="412"/>
      <c r="AQT13" s="412"/>
      <c r="AQU13" s="412"/>
      <c r="AQV13" s="412"/>
      <c r="AQW13" s="412"/>
      <c r="AQX13" s="412"/>
      <c r="AQY13" s="412"/>
      <c r="AQZ13" s="412"/>
      <c r="ARA13" s="412"/>
      <c r="ARB13" s="412"/>
      <c r="ARC13" s="412"/>
      <c r="ARD13" s="412"/>
      <c r="ARE13" s="412"/>
      <c r="ARF13" s="412"/>
      <c r="ARG13" s="412"/>
      <c r="ARH13" s="412"/>
      <c r="ARI13" s="412"/>
      <c r="ARJ13" s="412"/>
      <c r="ARK13" s="412"/>
      <c r="ARL13" s="412"/>
      <c r="ARM13" s="412"/>
      <c r="ARN13" s="412"/>
      <c r="ARO13" s="412"/>
      <c r="ARP13" s="412"/>
      <c r="ARQ13" s="412"/>
      <c r="ARR13" s="412"/>
      <c r="ARS13" s="412"/>
      <c r="ART13" s="412"/>
      <c r="ARU13" s="412"/>
      <c r="ARV13" s="412"/>
      <c r="ARW13" s="412"/>
      <c r="ARX13" s="412"/>
      <c r="ARY13" s="412"/>
      <c r="ARZ13" s="412"/>
      <c r="ASA13" s="412"/>
      <c r="ASB13" s="412"/>
      <c r="ASC13" s="412"/>
      <c r="ASD13" s="412"/>
      <c r="ASE13" s="412"/>
      <c r="ASF13" s="412"/>
      <c r="ASG13" s="412"/>
      <c r="ASH13" s="412"/>
      <c r="ASI13" s="412"/>
      <c r="ASJ13" s="412"/>
      <c r="ASK13" s="412"/>
      <c r="ASL13" s="412"/>
      <c r="ASM13" s="412"/>
      <c r="ASN13" s="412"/>
      <c r="ASO13" s="412"/>
      <c r="ASP13" s="412"/>
      <c r="ASQ13" s="412"/>
      <c r="ASR13" s="412"/>
      <c r="ASS13" s="412"/>
      <c r="AST13" s="412"/>
      <c r="ASU13" s="412"/>
      <c r="ASV13" s="412"/>
      <c r="ASW13" s="412"/>
      <c r="ASX13" s="412"/>
      <c r="ASY13" s="412"/>
      <c r="ASZ13" s="412"/>
      <c r="ATA13" s="412"/>
      <c r="ATB13" s="412"/>
      <c r="ATC13" s="412"/>
      <c r="ATD13" s="412"/>
      <c r="ATE13" s="412"/>
      <c r="ATF13" s="412"/>
      <c r="ATG13" s="412"/>
      <c r="ATH13" s="412"/>
      <c r="ATI13" s="412"/>
      <c r="ATJ13" s="412"/>
      <c r="ATK13" s="412"/>
      <c r="ATL13" s="412"/>
      <c r="ATM13" s="412"/>
      <c r="ATN13" s="412"/>
      <c r="ATO13" s="412"/>
      <c r="ATP13" s="412"/>
      <c r="ATQ13" s="412"/>
      <c r="ATR13" s="412"/>
      <c r="ATS13" s="412"/>
      <c r="ATT13" s="412"/>
      <c r="ATU13" s="412"/>
      <c r="ATV13" s="412"/>
      <c r="ATW13" s="412"/>
      <c r="ATX13" s="412"/>
      <c r="ATY13" s="412"/>
      <c r="ATZ13" s="412"/>
      <c r="AUA13" s="412"/>
      <c r="AUB13" s="412"/>
      <c r="AUC13" s="412"/>
      <c r="AUD13" s="412"/>
      <c r="AUE13" s="412"/>
      <c r="AUF13" s="412"/>
      <c r="AUG13" s="412"/>
      <c r="AUH13" s="412"/>
      <c r="AUI13" s="412"/>
      <c r="AUJ13" s="412"/>
      <c r="AUK13" s="412"/>
      <c r="AUL13" s="412"/>
      <c r="AUM13" s="412"/>
      <c r="AUN13" s="412"/>
      <c r="AUO13" s="412"/>
      <c r="AUP13" s="412"/>
      <c r="AUQ13" s="412"/>
      <c r="AUR13" s="412"/>
      <c r="AUS13" s="412"/>
      <c r="AUT13" s="412"/>
      <c r="AUU13" s="412"/>
      <c r="AUV13" s="412"/>
      <c r="AUW13" s="412"/>
      <c r="AUX13" s="412"/>
      <c r="AUY13" s="412"/>
      <c r="AUZ13" s="412"/>
      <c r="AVA13" s="412"/>
      <c r="AVB13" s="412"/>
      <c r="AVC13" s="412"/>
      <c r="AVD13" s="412"/>
      <c r="AVE13" s="412"/>
      <c r="AVF13" s="412"/>
      <c r="AVG13" s="412"/>
      <c r="AVH13" s="412"/>
      <c r="AVI13" s="412"/>
      <c r="AVJ13" s="412"/>
      <c r="AVK13" s="412"/>
      <c r="AVL13" s="412"/>
      <c r="AVM13" s="412"/>
      <c r="AVN13" s="412"/>
      <c r="AVO13" s="412"/>
      <c r="AVP13" s="412"/>
      <c r="AVQ13" s="412"/>
      <c r="AVR13" s="412"/>
      <c r="AVS13" s="412"/>
      <c r="AVT13" s="412"/>
      <c r="AVU13" s="412"/>
      <c r="AVV13" s="412"/>
      <c r="AVW13" s="412"/>
      <c r="AVX13" s="412"/>
      <c r="AVY13" s="412"/>
      <c r="AVZ13" s="412"/>
      <c r="AWA13" s="412"/>
      <c r="AWB13" s="412"/>
      <c r="AWC13" s="412"/>
      <c r="AWD13" s="412"/>
      <c r="AWE13" s="412"/>
      <c r="AWF13" s="412"/>
      <c r="AWG13" s="412"/>
      <c r="AWH13" s="412"/>
      <c r="AWI13" s="412"/>
      <c r="AWJ13" s="412"/>
      <c r="AWK13" s="412"/>
      <c r="AWL13" s="412"/>
      <c r="AWM13" s="412"/>
      <c r="AWN13" s="412"/>
      <c r="AWO13" s="412"/>
      <c r="AWP13" s="412"/>
      <c r="AWQ13" s="412"/>
      <c r="AWR13" s="412"/>
      <c r="AWS13" s="412"/>
      <c r="AWT13" s="412"/>
      <c r="AWU13" s="412"/>
      <c r="AWV13" s="412"/>
      <c r="AWW13" s="412"/>
      <c r="AWX13" s="412"/>
      <c r="AWY13" s="412"/>
      <c r="AWZ13" s="412"/>
      <c r="AXA13" s="412"/>
      <c r="AXB13" s="412"/>
      <c r="AXC13" s="412"/>
      <c r="AXD13" s="412"/>
      <c r="AXE13" s="412"/>
      <c r="AXF13" s="412"/>
      <c r="AXG13" s="412"/>
      <c r="AXH13" s="412"/>
      <c r="AXI13" s="412"/>
      <c r="AXJ13" s="412"/>
      <c r="AXK13" s="412"/>
      <c r="AXL13" s="412"/>
      <c r="AXM13" s="412"/>
      <c r="AXN13" s="412"/>
      <c r="AXO13" s="412"/>
      <c r="AXP13" s="412"/>
      <c r="AXQ13" s="412"/>
      <c r="AXR13" s="412"/>
      <c r="AXS13" s="412"/>
      <c r="AXT13" s="412"/>
      <c r="AXU13" s="412"/>
      <c r="AXV13" s="412"/>
      <c r="AXW13" s="412"/>
      <c r="AXX13" s="412"/>
      <c r="AXY13" s="412"/>
      <c r="AXZ13" s="412"/>
      <c r="AYA13" s="412"/>
      <c r="AYB13" s="412"/>
      <c r="AYC13" s="412"/>
      <c r="AYD13" s="412"/>
      <c r="AYE13" s="412"/>
      <c r="AYF13" s="412"/>
      <c r="AYG13" s="412"/>
      <c r="AYH13" s="412"/>
      <c r="AYI13" s="412"/>
      <c r="AYJ13" s="412"/>
      <c r="AYK13" s="412"/>
      <c r="AYL13" s="412"/>
      <c r="AYM13" s="412"/>
      <c r="AYN13" s="412"/>
      <c r="AYO13" s="412"/>
      <c r="AYP13" s="412"/>
      <c r="AYQ13" s="412"/>
      <c r="AYR13" s="412"/>
      <c r="AYS13" s="412"/>
      <c r="AYT13" s="412"/>
      <c r="AYU13" s="412"/>
      <c r="AYV13" s="412"/>
      <c r="AYW13" s="412"/>
      <c r="AYX13" s="412"/>
      <c r="AYY13" s="412"/>
      <c r="AYZ13" s="412"/>
      <c r="AZA13" s="412"/>
      <c r="AZB13" s="412"/>
      <c r="AZC13" s="412"/>
      <c r="AZD13" s="412"/>
      <c r="AZE13" s="412"/>
      <c r="AZF13" s="412"/>
      <c r="AZG13" s="412"/>
      <c r="AZH13" s="412"/>
      <c r="AZI13" s="412"/>
      <c r="AZJ13" s="412"/>
      <c r="AZK13" s="412"/>
      <c r="AZL13" s="412"/>
      <c r="AZM13" s="412"/>
      <c r="AZN13" s="412"/>
      <c r="AZO13" s="412"/>
      <c r="AZP13" s="412"/>
      <c r="AZQ13" s="412"/>
      <c r="AZR13" s="412"/>
      <c r="AZS13" s="412"/>
      <c r="AZT13" s="412"/>
      <c r="AZU13" s="412"/>
      <c r="AZV13" s="412"/>
      <c r="AZW13" s="412"/>
      <c r="AZX13" s="412"/>
      <c r="AZY13" s="412"/>
      <c r="AZZ13" s="412"/>
      <c r="BAA13" s="412"/>
      <c r="BAB13" s="412"/>
      <c r="BAC13" s="412"/>
      <c r="BAD13" s="412"/>
      <c r="BAE13" s="412"/>
      <c r="BAF13" s="412"/>
      <c r="BAG13" s="412"/>
      <c r="BAH13" s="412"/>
      <c r="BAI13" s="412"/>
      <c r="BAJ13" s="412"/>
      <c r="BAK13" s="412"/>
      <c r="BAL13" s="412"/>
      <c r="BAM13" s="412"/>
      <c r="BAN13" s="412"/>
      <c r="BAO13" s="412"/>
      <c r="BAP13" s="412"/>
      <c r="BAQ13" s="412"/>
      <c r="BAR13" s="412"/>
      <c r="BAS13" s="412"/>
      <c r="BAT13" s="412"/>
      <c r="BAU13" s="412"/>
      <c r="BAV13" s="412"/>
      <c r="BAW13" s="412"/>
      <c r="BAX13" s="412"/>
      <c r="BAY13" s="412"/>
      <c r="BAZ13" s="412"/>
      <c r="BBA13" s="412"/>
      <c r="BBB13" s="412"/>
      <c r="BBC13" s="412"/>
      <c r="BBD13" s="412"/>
      <c r="BBE13" s="412"/>
      <c r="BBF13" s="412"/>
      <c r="BBG13" s="412"/>
      <c r="BBH13" s="412"/>
      <c r="BBI13" s="412"/>
      <c r="BBJ13" s="412"/>
      <c r="BBK13" s="412"/>
      <c r="BBL13" s="412"/>
      <c r="BBM13" s="412"/>
      <c r="BBN13" s="412"/>
      <c r="BBO13" s="412"/>
      <c r="BBP13" s="412"/>
      <c r="BBQ13" s="412"/>
      <c r="BBR13" s="412"/>
      <c r="BBS13" s="412"/>
      <c r="BBT13" s="412"/>
      <c r="BBU13" s="412"/>
      <c r="BBV13" s="412"/>
      <c r="BBW13" s="412"/>
      <c r="BBX13" s="412"/>
      <c r="BBY13" s="412"/>
      <c r="BBZ13" s="412"/>
      <c r="BCA13" s="412"/>
      <c r="BCB13" s="412"/>
      <c r="BCC13" s="412"/>
      <c r="BCD13" s="412"/>
      <c r="BCE13" s="412"/>
      <c r="BCF13" s="412"/>
      <c r="BCG13" s="412"/>
      <c r="BCH13" s="412"/>
      <c r="BCI13" s="412"/>
      <c r="BCJ13" s="412"/>
      <c r="BCK13" s="412"/>
      <c r="BCL13" s="412"/>
      <c r="BCM13" s="412"/>
      <c r="BCN13" s="412"/>
      <c r="BCO13" s="412"/>
      <c r="BCP13" s="412"/>
      <c r="BCQ13" s="412"/>
      <c r="BCR13" s="412"/>
      <c r="BCS13" s="412"/>
      <c r="BCT13" s="412"/>
      <c r="BCU13" s="412"/>
      <c r="BCV13" s="412"/>
      <c r="BCW13" s="412"/>
      <c r="BCX13" s="412"/>
      <c r="BCY13" s="412"/>
      <c r="BCZ13" s="412"/>
      <c r="BDA13" s="412"/>
      <c r="BDB13" s="412"/>
      <c r="BDC13" s="412"/>
      <c r="BDD13" s="412"/>
      <c r="BDE13" s="412"/>
      <c r="BDF13" s="412"/>
      <c r="BDG13" s="412"/>
      <c r="BDH13" s="412"/>
      <c r="BDI13" s="412"/>
      <c r="BDJ13" s="412"/>
      <c r="BDK13" s="412"/>
      <c r="BDL13" s="412"/>
      <c r="BDM13" s="412"/>
      <c r="BDN13" s="412"/>
      <c r="BDO13" s="412"/>
      <c r="BDP13" s="412"/>
      <c r="BDQ13" s="412"/>
      <c r="BDR13" s="412"/>
      <c r="BDS13" s="412"/>
      <c r="BDT13" s="412"/>
      <c r="BDU13" s="412"/>
      <c r="BDV13" s="412"/>
      <c r="BDW13" s="412"/>
      <c r="BDX13" s="412"/>
      <c r="BDY13" s="412"/>
      <c r="BDZ13" s="412"/>
      <c r="BEA13" s="412"/>
      <c r="BEB13" s="412"/>
      <c r="BEC13" s="412"/>
      <c r="BED13" s="412"/>
      <c r="BEE13" s="412"/>
      <c r="BEF13" s="412"/>
      <c r="BEG13" s="412"/>
      <c r="BEH13" s="412"/>
      <c r="BEI13" s="412"/>
      <c r="BEJ13" s="412"/>
      <c r="BEK13" s="412"/>
      <c r="BEL13" s="412"/>
      <c r="BEM13" s="412"/>
      <c r="BEN13" s="412"/>
      <c r="BEO13" s="412"/>
      <c r="BEP13" s="412"/>
      <c r="BEQ13" s="412"/>
      <c r="BER13" s="412"/>
      <c r="BES13" s="412"/>
      <c r="BET13" s="412"/>
      <c r="BEU13" s="412"/>
      <c r="BEV13" s="412"/>
      <c r="BEW13" s="412"/>
      <c r="BEX13" s="412"/>
      <c r="BEY13" s="412"/>
      <c r="BEZ13" s="412"/>
      <c r="BFA13" s="412"/>
      <c r="BFB13" s="412"/>
      <c r="BFC13" s="412"/>
      <c r="BFD13" s="412"/>
      <c r="BFE13" s="412"/>
      <c r="BFF13" s="412"/>
      <c r="BFG13" s="412"/>
      <c r="BFH13" s="412"/>
      <c r="BFI13" s="412"/>
      <c r="BFJ13" s="412"/>
      <c r="BFK13" s="412"/>
      <c r="BFL13" s="412"/>
      <c r="BFM13" s="412"/>
      <c r="BFN13" s="412"/>
      <c r="BFO13" s="412"/>
      <c r="BFP13" s="412"/>
      <c r="BFQ13" s="412"/>
      <c r="BFR13" s="412"/>
      <c r="BFS13" s="412"/>
      <c r="BFT13" s="412"/>
      <c r="BFU13" s="412"/>
      <c r="BFV13" s="412"/>
      <c r="BFW13" s="412"/>
      <c r="BFX13" s="412"/>
      <c r="BFY13" s="412"/>
      <c r="BFZ13" s="412"/>
      <c r="BGA13" s="412"/>
      <c r="BGB13" s="412"/>
      <c r="BGC13" s="412"/>
      <c r="BGD13" s="412"/>
      <c r="BGE13" s="412"/>
      <c r="BGF13" s="412"/>
      <c r="BGG13" s="412"/>
      <c r="BGH13" s="412"/>
      <c r="BGI13" s="412"/>
      <c r="BGJ13" s="412"/>
      <c r="BGK13" s="412"/>
      <c r="BGL13" s="412"/>
      <c r="BGM13" s="412"/>
      <c r="BGN13" s="412"/>
      <c r="BGO13" s="412"/>
      <c r="BGP13" s="412"/>
      <c r="BGQ13" s="412"/>
      <c r="BGR13" s="412"/>
      <c r="BGS13" s="412"/>
      <c r="BGT13" s="412"/>
      <c r="BGU13" s="412"/>
      <c r="BGV13" s="412"/>
      <c r="BGW13" s="412"/>
      <c r="BGX13" s="412"/>
      <c r="BGY13" s="412"/>
      <c r="BGZ13" s="412"/>
      <c r="BHA13" s="412"/>
      <c r="BHB13" s="412"/>
      <c r="BHC13" s="412"/>
      <c r="BHD13" s="412"/>
      <c r="BHE13" s="412"/>
      <c r="BHF13" s="412"/>
      <c r="BHG13" s="412"/>
      <c r="BHH13" s="412"/>
      <c r="BHI13" s="412"/>
      <c r="BHJ13" s="412"/>
      <c r="BHK13" s="412"/>
      <c r="BHL13" s="412"/>
      <c r="BHM13" s="412"/>
      <c r="BHN13" s="412"/>
      <c r="BHO13" s="412"/>
      <c r="BHP13" s="412"/>
      <c r="BHQ13" s="412"/>
      <c r="BHR13" s="412"/>
      <c r="BHS13" s="412"/>
      <c r="BHT13" s="412"/>
      <c r="BHU13" s="412"/>
      <c r="BHV13" s="412"/>
      <c r="BHW13" s="412"/>
      <c r="BHX13" s="412"/>
      <c r="BHY13" s="412"/>
      <c r="BHZ13" s="412"/>
      <c r="BIA13" s="412"/>
      <c r="BIB13" s="412"/>
      <c r="BIC13" s="412"/>
      <c r="BID13" s="412"/>
      <c r="BIE13" s="412"/>
      <c r="BIF13" s="412"/>
      <c r="BIG13" s="412"/>
      <c r="BIH13" s="412"/>
      <c r="BII13" s="412"/>
      <c r="BIJ13" s="412"/>
      <c r="BIK13" s="412"/>
      <c r="BIL13" s="412"/>
      <c r="BIM13" s="412"/>
      <c r="BIN13" s="412"/>
      <c r="BIO13" s="412"/>
      <c r="BIP13" s="412"/>
      <c r="BIQ13" s="412"/>
      <c r="BIR13" s="412"/>
      <c r="BIS13" s="412"/>
      <c r="BIT13" s="412"/>
      <c r="BIU13" s="412"/>
      <c r="BIV13" s="412"/>
      <c r="BIW13" s="412"/>
      <c r="BIX13" s="412"/>
      <c r="BIY13" s="412"/>
      <c r="BIZ13" s="412"/>
      <c r="BJA13" s="412"/>
      <c r="BJB13" s="412"/>
      <c r="BJC13" s="412"/>
      <c r="BJD13" s="412"/>
      <c r="BJE13" s="412"/>
      <c r="BJF13" s="412"/>
      <c r="BJG13" s="412"/>
      <c r="BJH13" s="412"/>
      <c r="BJI13" s="412"/>
      <c r="BJJ13" s="412"/>
      <c r="BJK13" s="412"/>
      <c r="BJL13" s="412"/>
      <c r="BJM13" s="412"/>
      <c r="BJN13" s="412"/>
      <c r="BJO13" s="412"/>
      <c r="BJP13" s="412"/>
      <c r="BJQ13" s="412"/>
      <c r="BJR13" s="412"/>
      <c r="BJS13" s="412"/>
      <c r="BJT13" s="412"/>
      <c r="BJU13" s="412"/>
      <c r="BJV13" s="412"/>
      <c r="BJW13" s="412"/>
      <c r="BJX13" s="412"/>
      <c r="BJY13" s="412"/>
      <c r="BJZ13" s="412"/>
      <c r="BKA13" s="412"/>
      <c r="BKB13" s="412"/>
      <c r="BKC13" s="412"/>
      <c r="BKD13" s="412"/>
      <c r="BKE13" s="412"/>
      <c r="BKF13" s="412"/>
      <c r="BKG13" s="412"/>
      <c r="BKH13" s="412"/>
      <c r="BKI13" s="412"/>
      <c r="BKJ13" s="412"/>
      <c r="BKK13" s="412"/>
      <c r="BKL13" s="412"/>
      <c r="BKM13" s="412"/>
      <c r="BKN13" s="412"/>
      <c r="BKO13" s="412"/>
      <c r="BKP13" s="412"/>
      <c r="BKQ13" s="412"/>
      <c r="BKR13" s="412"/>
      <c r="BKS13" s="412"/>
      <c r="BKT13" s="412"/>
      <c r="BKU13" s="412"/>
      <c r="BKV13" s="412"/>
      <c r="BKW13" s="412"/>
      <c r="BKX13" s="412"/>
      <c r="BKY13" s="412"/>
      <c r="BKZ13" s="412"/>
      <c r="BLA13" s="412"/>
      <c r="BLB13" s="412"/>
      <c r="BLC13" s="412"/>
      <c r="BLD13" s="412"/>
      <c r="BLE13" s="412"/>
      <c r="BLF13" s="412"/>
      <c r="BLG13" s="412"/>
      <c r="BLH13" s="412"/>
      <c r="BLI13" s="412"/>
      <c r="BLJ13" s="412"/>
      <c r="BLK13" s="412"/>
      <c r="BLL13" s="412"/>
      <c r="BLM13" s="412"/>
      <c r="BLN13" s="412"/>
      <c r="BLO13" s="412"/>
      <c r="BLP13" s="412"/>
      <c r="BLQ13" s="412"/>
      <c r="BLR13" s="412"/>
      <c r="BLS13" s="412"/>
      <c r="BLT13" s="412"/>
      <c r="BLU13" s="412"/>
      <c r="BLV13" s="412"/>
      <c r="BLW13" s="412"/>
      <c r="BLX13" s="412"/>
      <c r="BLY13" s="412"/>
      <c r="BLZ13" s="412"/>
      <c r="BMA13" s="412"/>
      <c r="BMB13" s="412"/>
      <c r="BMC13" s="412"/>
      <c r="BMD13" s="412"/>
      <c r="BME13" s="412"/>
      <c r="BMF13" s="412"/>
      <c r="BMG13" s="412"/>
      <c r="BMH13" s="412"/>
      <c r="BMI13" s="412"/>
      <c r="BMJ13" s="412"/>
      <c r="BMK13" s="412"/>
      <c r="BML13" s="412"/>
      <c r="BMM13" s="412"/>
      <c r="BMN13" s="412"/>
      <c r="BMO13" s="412"/>
      <c r="BMP13" s="412"/>
      <c r="BMQ13" s="412"/>
      <c r="BMR13" s="412"/>
      <c r="BMS13" s="412"/>
      <c r="BMT13" s="412"/>
      <c r="BMU13" s="412"/>
      <c r="BMV13" s="412"/>
      <c r="BMW13" s="412"/>
      <c r="BMX13" s="412"/>
      <c r="BMY13" s="412"/>
      <c r="BMZ13" s="412"/>
      <c r="BNA13" s="412"/>
      <c r="BNB13" s="412"/>
      <c r="BNC13" s="412"/>
      <c r="BND13" s="412"/>
      <c r="BNE13" s="412"/>
      <c r="BNF13" s="412"/>
      <c r="BNG13" s="412"/>
      <c r="BNH13" s="412"/>
      <c r="BNI13" s="412"/>
      <c r="BNJ13" s="412"/>
      <c r="BNK13" s="412"/>
      <c r="BNL13" s="412"/>
      <c r="BNM13" s="412"/>
      <c r="BNN13" s="412"/>
      <c r="BNO13" s="412"/>
      <c r="BNP13" s="412"/>
      <c r="BNQ13" s="412"/>
      <c r="BNR13" s="412"/>
      <c r="BNS13" s="412"/>
      <c r="BNT13" s="412"/>
      <c r="BNU13" s="412"/>
      <c r="BNV13" s="412"/>
      <c r="BNW13" s="412"/>
      <c r="BNX13" s="412"/>
      <c r="BNY13" s="412"/>
      <c r="BNZ13" s="412"/>
      <c r="BOA13" s="412"/>
      <c r="BOB13" s="412"/>
      <c r="BOC13" s="412"/>
      <c r="BOD13" s="412"/>
      <c r="BOE13" s="412"/>
      <c r="BOF13" s="412"/>
      <c r="BOG13" s="412"/>
      <c r="BOH13" s="412"/>
      <c r="BOI13" s="412"/>
      <c r="BOJ13" s="412"/>
      <c r="BOK13" s="412"/>
      <c r="BOL13" s="412"/>
      <c r="BOM13" s="412"/>
      <c r="BON13" s="412"/>
      <c r="BOO13" s="412"/>
      <c r="BOP13" s="412"/>
      <c r="BOQ13" s="412"/>
      <c r="BOR13" s="412"/>
      <c r="BOS13" s="412"/>
      <c r="BOT13" s="412"/>
      <c r="BOU13" s="412"/>
      <c r="BOV13" s="412"/>
      <c r="BOW13" s="412"/>
      <c r="BOX13" s="412"/>
      <c r="BOY13" s="412"/>
      <c r="BOZ13" s="412"/>
      <c r="BPA13" s="412"/>
      <c r="BPB13" s="412"/>
      <c r="BPC13" s="412"/>
      <c r="BPD13" s="412"/>
      <c r="BPE13" s="412"/>
      <c r="BPF13" s="412"/>
      <c r="BPG13" s="412"/>
      <c r="BPH13" s="412"/>
      <c r="BPI13" s="412"/>
      <c r="BPJ13" s="412"/>
      <c r="BPK13" s="412"/>
      <c r="BPL13" s="412"/>
      <c r="BPM13" s="412"/>
      <c r="BPN13" s="412"/>
      <c r="BPO13" s="412"/>
      <c r="BPP13" s="412"/>
      <c r="BPQ13" s="412"/>
      <c r="BPR13" s="412"/>
      <c r="BPS13" s="412"/>
      <c r="BPT13" s="412"/>
      <c r="BPU13" s="412"/>
      <c r="BPV13" s="412"/>
      <c r="BPW13" s="412"/>
      <c r="BPX13" s="412"/>
      <c r="BPY13" s="412"/>
      <c r="BPZ13" s="412"/>
      <c r="BQA13" s="412"/>
      <c r="BQB13" s="412"/>
      <c r="BQC13" s="412"/>
      <c r="BQD13" s="412"/>
      <c r="BQE13" s="412"/>
      <c r="BQF13" s="412"/>
      <c r="BQG13" s="412"/>
      <c r="BQH13" s="412"/>
      <c r="BQI13" s="412"/>
      <c r="BQJ13" s="412"/>
      <c r="BQK13" s="412"/>
      <c r="BQL13" s="412"/>
      <c r="BQM13" s="412"/>
      <c r="BQN13" s="412"/>
      <c r="BQO13" s="412"/>
      <c r="BQP13" s="412"/>
      <c r="BQQ13" s="412"/>
      <c r="BQR13" s="412"/>
      <c r="BQS13" s="412"/>
      <c r="BQT13" s="412"/>
      <c r="BQU13" s="412"/>
      <c r="BQV13" s="412"/>
      <c r="BQW13" s="412"/>
      <c r="BQX13" s="412"/>
      <c r="BQY13" s="412"/>
      <c r="BQZ13" s="412"/>
      <c r="BRA13" s="412"/>
      <c r="BRB13" s="412"/>
      <c r="BRC13" s="412"/>
      <c r="BRD13" s="412"/>
      <c r="BRE13" s="412"/>
      <c r="BRF13" s="412"/>
      <c r="BRG13" s="412"/>
      <c r="BRH13" s="412"/>
      <c r="BRI13" s="412"/>
      <c r="BRJ13" s="412"/>
      <c r="BRK13" s="412"/>
      <c r="BRL13" s="412"/>
      <c r="BRM13" s="412"/>
      <c r="BRN13" s="412"/>
      <c r="BRO13" s="412"/>
      <c r="BRP13" s="412"/>
      <c r="BRQ13" s="412"/>
      <c r="BRR13" s="412"/>
      <c r="BRS13" s="412"/>
      <c r="BRT13" s="412"/>
      <c r="BRU13" s="412"/>
      <c r="BRV13" s="412"/>
      <c r="BRW13" s="412"/>
      <c r="BRX13" s="412"/>
      <c r="BRY13" s="412"/>
      <c r="BRZ13" s="412"/>
      <c r="BSA13" s="412"/>
      <c r="BSB13" s="412"/>
      <c r="BSC13" s="412"/>
      <c r="BSD13" s="412"/>
      <c r="BSE13" s="412"/>
      <c r="BSF13" s="412"/>
      <c r="BSG13" s="412"/>
      <c r="BSH13" s="412"/>
      <c r="BSI13" s="412"/>
      <c r="BSJ13" s="412"/>
      <c r="BSK13" s="412"/>
      <c r="BSL13" s="412"/>
      <c r="BSM13" s="412"/>
      <c r="BSN13" s="412"/>
      <c r="BSO13" s="412"/>
      <c r="BSP13" s="412"/>
      <c r="BSQ13" s="412"/>
      <c r="BSR13" s="412"/>
      <c r="BSS13" s="412"/>
      <c r="BST13" s="412"/>
      <c r="BSU13" s="412"/>
      <c r="BSV13" s="412"/>
      <c r="BSW13" s="412"/>
      <c r="BSX13" s="412"/>
      <c r="BSY13" s="412"/>
      <c r="BSZ13" s="412"/>
      <c r="BTA13" s="412"/>
      <c r="BTB13" s="412"/>
      <c r="BTC13" s="412"/>
      <c r="BTD13" s="412"/>
      <c r="BTE13" s="412"/>
      <c r="BTF13" s="412"/>
      <c r="BTG13" s="412"/>
      <c r="BTH13" s="412"/>
      <c r="BTI13" s="412"/>
    </row>
    <row r="14" spans="1:1881" s="393" customFormat="1" ht="84" customHeight="1" thickBot="1" x14ac:dyDescent="0.3">
      <c r="A14" s="473">
        <v>628</v>
      </c>
      <c r="B14" s="474" t="s">
        <v>835</v>
      </c>
      <c r="C14" s="470" t="s">
        <v>136</v>
      </c>
      <c r="D14" s="471" t="s">
        <v>1087</v>
      </c>
      <c r="E14" s="893" t="s">
        <v>837</v>
      </c>
      <c r="F14" s="647"/>
      <c r="G14" s="475">
        <f>IF(F14&gt;F12,"Please review account numbers 628 &gt; 626",)</f>
        <v>0</v>
      </c>
      <c r="H14" s="456"/>
      <c r="I14" s="457"/>
      <c r="J14" s="368"/>
      <c r="K14" s="412"/>
      <c r="L14" s="865" t="s">
        <v>1112</v>
      </c>
      <c r="M14" s="633"/>
      <c r="N14" s="656"/>
      <c r="O14" s="412"/>
      <c r="P14" s="412"/>
      <c r="Q14" s="412"/>
      <c r="R14" s="412"/>
      <c r="S14" s="412"/>
      <c r="T14" s="412"/>
      <c r="U14" s="412"/>
      <c r="V14" s="412"/>
      <c r="W14" s="412"/>
      <c r="X14" s="412"/>
      <c r="Y14" s="412"/>
      <c r="Z14" s="412"/>
      <c r="AA14" s="412"/>
      <c r="AB14" s="412"/>
      <c r="AC14" s="412"/>
      <c r="AD14" s="412"/>
      <c r="AE14" s="412"/>
      <c r="AF14" s="412"/>
      <c r="AG14" s="412"/>
      <c r="AH14" s="412"/>
      <c r="AI14" s="412"/>
      <c r="AJ14" s="412"/>
      <c r="AK14" s="412"/>
      <c r="AL14" s="412"/>
      <c r="AM14" s="412"/>
      <c r="AN14" s="412"/>
      <c r="AO14" s="412"/>
      <c r="AP14" s="412"/>
      <c r="AQ14" s="412"/>
      <c r="AR14" s="412"/>
      <c r="AS14" s="412"/>
      <c r="AT14" s="412"/>
      <c r="AU14" s="412"/>
      <c r="AV14" s="412"/>
      <c r="AW14" s="412"/>
      <c r="AX14" s="412"/>
      <c r="AY14" s="412"/>
      <c r="AZ14" s="412"/>
      <c r="BA14" s="412"/>
      <c r="BB14" s="412"/>
      <c r="BC14" s="412"/>
      <c r="BD14" s="412"/>
      <c r="BE14" s="412"/>
      <c r="BF14" s="412"/>
      <c r="BG14" s="412"/>
      <c r="BH14" s="412"/>
      <c r="BI14" s="412"/>
      <c r="BJ14" s="412"/>
      <c r="BK14" s="412"/>
      <c r="BL14" s="412"/>
      <c r="BM14" s="412"/>
      <c r="BN14" s="412"/>
      <c r="BO14" s="412"/>
      <c r="BP14" s="412"/>
      <c r="BQ14" s="412"/>
      <c r="BR14" s="412"/>
      <c r="BS14" s="412"/>
      <c r="BT14" s="412"/>
      <c r="BU14" s="412"/>
      <c r="BV14" s="412"/>
      <c r="BW14" s="412"/>
      <c r="BX14" s="412"/>
      <c r="BY14" s="412"/>
      <c r="BZ14" s="412"/>
      <c r="CA14" s="412"/>
      <c r="CB14" s="412"/>
      <c r="CC14" s="412"/>
      <c r="CD14" s="412"/>
      <c r="CE14" s="412"/>
      <c r="CF14" s="412"/>
      <c r="CG14" s="412"/>
      <c r="CH14" s="412"/>
      <c r="CI14" s="412"/>
      <c r="CJ14" s="412"/>
      <c r="CK14" s="412"/>
      <c r="CL14" s="412"/>
      <c r="CM14" s="412"/>
      <c r="CN14" s="412"/>
      <c r="CO14" s="412"/>
      <c r="CP14" s="412"/>
      <c r="CQ14" s="412"/>
      <c r="CR14" s="412"/>
      <c r="CS14" s="412"/>
      <c r="CT14" s="412"/>
      <c r="CU14" s="412"/>
      <c r="CV14" s="412"/>
      <c r="CW14" s="412"/>
      <c r="CX14" s="412"/>
      <c r="CY14" s="412"/>
      <c r="CZ14" s="412"/>
      <c r="DA14" s="412"/>
      <c r="DB14" s="412"/>
      <c r="DC14" s="412"/>
      <c r="DD14" s="412"/>
      <c r="DE14" s="412"/>
      <c r="DF14" s="412"/>
      <c r="DG14" s="412"/>
      <c r="DH14" s="412"/>
      <c r="DI14" s="412"/>
      <c r="DJ14" s="412"/>
      <c r="DK14" s="412"/>
      <c r="DL14" s="412"/>
      <c r="DM14" s="412"/>
      <c r="DN14" s="412"/>
      <c r="DO14" s="412"/>
      <c r="DP14" s="412"/>
      <c r="DQ14" s="412"/>
      <c r="DR14" s="412"/>
      <c r="DS14" s="412"/>
      <c r="DT14" s="412"/>
      <c r="DU14" s="412"/>
      <c r="DV14" s="412"/>
      <c r="DW14" s="412"/>
      <c r="DX14" s="412"/>
      <c r="DY14" s="412"/>
      <c r="DZ14" s="412"/>
      <c r="EA14" s="412"/>
      <c r="EB14" s="412"/>
      <c r="EC14" s="412"/>
      <c r="ED14" s="412"/>
      <c r="EE14" s="412"/>
      <c r="EF14" s="412"/>
      <c r="EG14" s="412"/>
      <c r="EH14" s="412"/>
      <c r="EI14" s="412"/>
      <c r="EJ14" s="412"/>
      <c r="EK14" s="412"/>
      <c r="EL14" s="412"/>
      <c r="EM14" s="412"/>
      <c r="EN14" s="412"/>
      <c r="EO14" s="412"/>
      <c r="EP14" s="412"/>
      <c r="EQ14" s="412"/>
      <c r="ER14" s="412"/>
      <c r="ES14" s="412"/>
      <c r="ET14" s="412"/>
      <c r="EU14" s="412"/>
      <c r="EV14" s="412"/>
      <c r="EW14" s="412"/>
      <c r="EX14" s="412"/>
      <c r="EY14" s="412"/>
      <c r="EZ14" s="412"/>
      <c r="FA14" s="412"/>
      <c r="FB14" s="412"/>
      <c r="FC14" s="412"/>
      <c r="FD14" s="412"/>
      <c r="FE14" s="412"/>
      <c r="FF14" s="412"/>
      <c r="FG14" s="412"/>
      <c r="FH14" s="412"/>
      <c r="FI14" s="412"/>
      <c r="FJ14" s="412"/>
      <c r="FK14" s="412"/>
      <c r="FL14" s="412"/>
      <c r="FM14" s="412"/>
      <c r="FN14" s="412"/>
      <c r="FO14" s="412"/>
      <c r="FP14" s="412"/>
      <c r="FQ14" s="412"/>
      <c r="FR14" s="412"/>
      <c r="FS14" s="412"/>
      <c r="FT14" s="412"/>
      <c r="FU14" s="412"/>
      <c r="FV14" s="412"/>
      <c r="FW14" s="412"/>
      <c r="FX14" s="412"/>
      <c r="FY14" s="412"/>
      <c r="FZ14" s="412"/>
      <c r="GA14" s="412"/>
      <c r="GB14" s="412"/>
      <c r="GC14" s="412"/>
      <c r="GD14" s="412"/>
      <c r="GE14" s="412"/>
      <c r="GF14" s="412"/>
      <c r="GG14" s="412"/>
      <c r="GH14" s="412"/>
      <c r="GI14" s="412"/>
      <c r="GJ14" s="412"/>
      <c r="GK14" s="412"/>
      <c r="GL14" s="412"/>
      <c r="GM14" s="412"/>
      <c r="GN14" s="412"/>
      <c r="GO14" s="412"/>
      <c r="GP14" s="412"/>
      <c r="GQ14" s="412"/>
      <c r="GR14" s="412"/>
      <c r="GS14" s="412"/>
      <c r="GT14" s="412"/>
      <c r="GU14" s="412"/>
      <c r="GV14" s="412"/>
      <c r="GW14" s="412"/>
      <c r="GX14" s="412"/>
      <c r="GY14" s="412"/>
      <c r="GZ14" s="412"/>
      <c r="HA14" s="412"/>
      <c r="HB14" s="412"/>
      <c r="HC14" s="412"/>
      <c r="HD14" s="412"/>
      <c r="HE14" s="412"/>
      <c r="HF14" s="412"/>
      <c r="HG14" s="412"/>
      <c r="HH14" s="412"/>
      <c r="HI14" s="412"/>
      <c r="HJ14" s="412"/>
      <c r="HK14" s="412"/>
      <c r="HL14" s="412"/>
      <c r="HM14" s="412"/>
      <c r="HN14" s="412"/>
      <c r="HO14" s="412"/>
      <c r="HP14" s="412"/>
      <c r="HQ14" s="412"/>
      <c r="HR14" s="412"/>
      <c r="HS14" s="412"/>
      <c r="HT14" s="412"/>
      <c r="HU14" s="412"/>
      <c r="HV14" s="412"/>
      <c r="HW14" s="412"/>
      <c r="HX14" s="412"/>
      <c r="HY14" s="412"/>
      <c r="HZ14" s="412"/>
      <c r="IA14" s="412"/>
      <c r="IB14" s="412"/>
      <c r="IC14" s="412"/>
      <c r="ID14" s="412"/>
      <c r="IE14" s="412"/>
      <c r="IF14" s="412"/>
      <c r="IG14" s="412"/>
      <c r="IH14" s="412"/>
      <c r="II14" s="412"/>
      <c r="IJ14" s="412"/>
      <c r="IK14" s="412"/>
      <c r="IL14" s="412"/>
      <c r="IM14" s="412"/>
      <c r="IN14" s="412"/>
      <c r="IO14" s="412"/>
      <c r="IP14" s="412"/>
      <c r="IQ14" s="412"/>
      <c r="IR14" s="412"/>
      <c r="IS14" s="412"/>
      <c r="IT14" s="412"/>
      <c r="IU14" s="412"/>
      <c r="IV14" s="412"/>
      <c r="IW14" s="412"/>
      <c r="IX14" s="412"/>
      <c r="IY14" s="412"/>
      <c r="IZ14" s="412"/>
      <c r="JA14" s="412"/>
      <c r="JB14" s="412"/>
      <c r="JC14" s="412"/>
      <c r="JD14" s="412"/>
      <c r="JE14" s="412"/>
      <c r="JF14" s="412"/>
      <c r="JG14" s="412"/>
      <c r="JH14" s="412"/>
      <c r="JI14" s="412"/>
      <c r="JJ14" s="412"/>
      <c r="JK14" s="412"/>
      <c r="JL14" s="412"/>
      <c r="JM14" s="412"/>
      <c r="JN14" s="412"/>
      <c r="JO14" s="412"/>
      <c r="JP14" s="412"/>
      <c r="JQ14" s="412"/>
      <c r="JR14" s="412"/>
      <c r="JS14" s="412"/>
      <c r="JT14" s="412"/>
      <c r="JU14" s="412"/>
      <c r="JV14" s="412"/>
      <c r="JW14" s="412"/>
      <c r="JX14" s="412"/>
      <c r="JY14" s="412"/>
      <c r="JZ14" s="412"/>
      <c r="KA14" s="412"/>
      <c r="KB14" s="412"/>
      <c r="KC14" s="412"/>
      <c r="KD14" s="412"/>
      <c r="KE14" s="412"/>
      <c r="KF14" s="412"/>
      <c r="KG14" s="412"/>
      <c r="KH14" s="412"/>
      <c r="KI14" s="412"/>
      <c r="KJ14" s="412"/>
      <c r="KK14" s="412"/>
      <c r="KL14" s="412"/>
      <c r="KM14" s="412"/>
      <c r="KN14" s="412"/>
      <c r="KO14" s="412"/>
      <c r="KP14" s="412"/>
      <c r="KQ14" s="412"/>
      <c r="KR14" s="412"/>
      <c r="KS14" s="412"/>
      <c r="KT14" s="412"/>
      <c r="KU14" s="412"/>
      <c r="KV14" s="412"/>
      <c r="KW14" s="412"/>
      <c r="KX14" s="412"/>
      <c r="KY14" s="412"/>
      <c r="KZ14" s="412"/>
      <c r="LA14" s="412"/>
      <c r="LB14" s="412"/>
      <c r="LC14" s="412"/>
      <c r="LD14" s="412"/>
      <c r="LE14" s="412"/>
      <c r="LF14" s="412"/>
      <c r="LG14" s="412"/>
      <c r="LH14" s="412"/>
      <c r="LI14" s="412"/>
      <c r="LJ14" s="412"/>
      <c r="LK14" s="412"/>
      <c r="LL14" s="412"/>
      <c r="LM14" s="412"/>
      <c r="LN14" s="412"/>
      <c r="LO14" s="412"/>
      <c r="LP14" s="412"/>
      <c r="LQ14" s="412"/>
      <c r="LR14" s="412"/>
      <c r="LS14" s="412"/>
      <c r="LT14" s="412"/>
      <c r="LU14" s="412"/>
      <c r="LV14" s="412"/>
      <c r="LW14" s="412"/>
      <c r="LX14" s="412"/>
      <c r="LY14" s="412"/>
      <c r="LZ14" s="412"/>
      <c r="MA14" s="412"/>
      <c r="MB14" s="412"/>
      <c r="MC14" s="412"/>
      <c r="MD14" s="412"/>
      <c r="ME14" s="412"/>
      <c r="MF14" s="412"/>
      <c r="MG14" s="412"/>
      <c r="MH14" s="412"/>
      <c r="MI14" s="412"/>
      <c r="MJ14" s="412"/>
      <c r="MK14" s="412"/>
      <c r="ML14" s="412"/>
      <c r="MM14" s="412"/>
      <c r="MN14" s="412"/>
      <c r="MO14" s="412"/>
      <c r="MP14" s="412"/>
      <c r="MQ14" s="412"/>
      <c r="MR14" s="412"/>
      <c r="MS14" s="412"/>
      <c r="MT14" s="412"/>
      <c r="MU14" s="412"/>
      <c r="MV14" s="412"/>
      <c r="MW14" s="412"/>
      <c r="MX14" s="412"/>
      <c r="MY14" s="412"/>
      <c r="MZ14" s="412"/>
      <c r="NA14" s="412"/>
      <c r="NB14" s="412"/>
      <c r="NC14" s="412"/>
      <c r="ND14" s="412"/>
      <c r="NE14" s="412"/>
      <c r="NF14" s="412"/>
      <c r="NG14" s="412"/>
      <c r="NH14" s="412"/>
      <c r="NI14" s="412"/>
      <c r="NJ14" s="412"/>
      <c r="NK14" s="412"/>
      <c r="NL14" s="412"/>
      <c r="NM14" s="412"/>
      <c r="NN14" s="412"/>
      <c r="NO14" s="412"/>
      <c r="NP14" s="412"/>
      <c r="NQ14" s="412"/>
      <c r="NR14" s="412"/>
      <c r="NS14" s="412"/>
      <c r="NT14" s="412"/>
      <c r="NU14" s="412"/>
      <c r="NV14" s="412"/>
      <c r="NW14" s="412"/>
      <c r="NX14" s="412"/>
      <c r="NY14" s="412"/>
      <c r="NZ14" s="412"/>
      <c r="OA14" s="412"/>
      <c r="OB14" s="412"/>
      <c r="OC14" s="412"/>
      <c r="OD14" s="412"/>
      <c r="OE14" s="412"/>
      <c r="OF14" s="412"/>
      <c r="OG14" s="412"/>
      <c r="OH14" s="412"/>
      <c r="OI14" s="412"/>
      <c r="OJ14" s="412"/>
      <c r="OK14" s="412"/>
      <c r="OL14" s="412"/>
      <c r="OM14" s="412"/>
      <c r="ON14" s="412"/>
      <c r="OO14" s="412"/>
      <c r="OP14" s="412"/>
      <c r="OQ14" s="412"/>
      <c r="OR14" s="412"/>
      <c r="OS14" s="412"/>
      <c r="OT14" s="412"/>
      <c r="OU14" s="412"/>
      <c r="OV14" s="412"/>
      <c r="OW14" s="412"/>
      <c r="OX14" s="412"/>
      <c r="OY14" s="412"/>
      <c r="OZ14" s="412"/>
      <c r="PA14" s="412"/>
      <c r="PB14" s="412"/>
      <c r="PC14" s="412"/>
      <c r="PD14" s="412"/>
      <c r="PE14" s="412"/>
      <c r="PF14" s="412"/>
      <c r="PG14" s="412"/>
      <c r="PH14" s="412"/>
      <c r="PI14" s="412"/>
      <c r="PJ14" s="412"/>
      <c r="PK14" s="412"/>
      <c r="PL14" s="412"/>
      <c r="PM14" s="412"/>
      <c r="PN14" s="412"/>
      <c r="PO14" s="412"/>
      <c r="PP14" s="412"/>
      <c r="PQ14" s="412"/>
      <c r="PR14" s="412"/>
      <c r="PS14" s="412"/>
      <c r="PT14" s="412"/>
      <c r="PU14" s="412"/>
      <c r="PV14" s="412"/>
      <c r="PW14" s="412"/>
      <c r="PX14" s="412"/>
      <c r="PY14" s="412"/>
      <c r="PZ14" s="412"/>
      <c r="QA14" s="412"/>
      <c r="QB14" s="412"/>
      <c r="QC14" s="412"/>
      <c r="QD14" s="412"/>
      <c r="QE14" s="412"/>
      <c r="QF14" s="412"/>
      <c r="QG14" s="412"/>
      <c r="QH14" s="412"/>
      <c r="QI14" s="412"/>
      <c r="QJ14" s="412"/>
      <c r="QK14" s="412"/>
      <c r="QL14" s="412"/>
      <c r="QM14" s="412"/>
      <c r="QN14" s="412"/>
      <c r="QO14" s="412"/>
      <c r="QP14" s="412"/>
      <c r="QQ14" s="412"/>
      <c r="QR14" s="412"/>
      <c r="QS14" s="412"/>
      <c r="QT14" s="412"/>
      <c r="QU14" s="412"/>
      <c r="QV14" s="412"/>
      <c r="QW14" s="412"/>
      <c r="QX14" s="412"/>
      <c r="QY14" s="412"/>
      <c r="QZ14" s="412"/>
      <c r="RA14" s="412"/>
      <c r="RB14" s="412"/>
      <c r="RC14" s="412"/>
      <c r="RD14" s="412"/>
      <c r="RE14" s="412"/>
      <c r="RF14" s="412"/>
      <c r="RG14" s="412"/>
      <c r="RH14" s="412"/>
      <c r="RI14" s="412"/>
      <c r="RJ14" s="412"/>
      <c r="RK14" s="412"/>
      <c r="RL14" s="412"/>
      <c r="RM14" s="412"/>
      <c r="RN14" s="412"/>
      <c r="RO14" s="412"/>
      <c r="RP14" s="412"/>
      <c r="RQ14" s="412"/>
      <c r="RR14" s="412"/>
      <c r="RS14" s="412"/>
      <c r="RT14" s="412"/>
      <c r="RU14" s="412"/>
      <c r="RV14" s="412"/>
      <c r="RW14" s="412"/>
      <c r="RX14" s="412"/>
      <c r="RY14" s="412"/>
      <c r="RZ14" s="412"/>
      <c r="SA14" s="412"/>
      <c r="SB14" s="412"/>
      <c r="SC14" s="412"/>
      <c r="SD14" s="412"/>
      <c r="SE14" s="412"/>
      <c r="SF14" s="412"/>
      <c r="SG14" s="412"/>
      <c r="SH14" s="412"/>
      <c r="SI14" s="412"/>
      <c r="SJ14" s="412"/>
      <c r="SK14" s="412"/>
      <c r="SL14" s="412"/>
      <c r="SM14" s="412"/>
      <c r="SN14" s="412"/>
      <c r="SO14" s="412"/>
      <c r="SP14" s="412"/>
      <c r="SQ14" s="412"/>
      <c r="SR14" s="412"/>
      <c r="SS14" s="412"/>
      <c r="ST14" s="412"/>
      <c r="SU14" s="412"/>
      <c r="SV14" s="412"/>
      <c r="SW14" s="412"/>
      <c r="SX14" s="412"/>
      <c r="SY14" s="412"/>
      <c r="SZ14" s="412"/>
      <c r="TA14" s="412"/>
      <c r="TB14" s="412"/>
      <c r="TC14" s="412"/>
      <c r="TD14" s="412"/>
      <c r="TE14" s="412"/>
      <c r="TF14" s="412"/>
      <c r="TG14" s="412"/>
      <c r="TH14" s="412"/>
      <c r="TI14" s="412"/>
      <c r="TJ14" s="412"/>
      <c r="TK14" s="412"/>
      <c r="TL14" s="412"/>
      <c r="TM14" s="412"/>
      <c r="TN14" s="412"/>
      <c r="TO14" s="412"/>
      <c r="TP14" s="412"/>
      <c r="TQ14" s="412"/>
      <c r="TR14" s="412"/>
      <c r="TS14" s="412"/>
      <c r="TT14" s="412"/>
      <c r="TU14" s="412"/>
      <c r="TV14" s="412"/>
      <c r="TW14" s="412"/>
      <c r="TX14" s="412"/>
      <c r="TY14" s="412"/>
      <c r="TZ14" s="412"/>
      <c r="UA14" s="412"/>
      <c r="UB14" s="412"/>
      <c r="UC14" s="412"/>
      <c r="UD14" s="412"/>
      <c r="UE14" s="412"/>
      <c r="UF14" s="412"/>
      <c r="UG14" s="412"/>
      <c r="UH14" s="412"/>
      <c r="UI14" s="412"/>
      <c r="UJ14" s="412"/>
      <c r="UK14" s="412"/>
      <c r="UL14" s="412"/>
      <c r="UM14" s="412"/>
      <c r="UN14" s="412"/>
      <c r="UO14" s="412"/>
      <c r="UP14" s="412"/>
      <c r="UQ14" s="412"/>
      <c r="UR14" s="412"/>
      <c r="US14" s="412"/>
      <c r="UT14" s="412"/>
      <c r="UU14" s="412"/>
      <c r="UV14" s="412"/>
      <c r="UW14" s="412"/>
      <c r="UX14" s="412"/>
      <c r="UY14" s="412"/>
      <c r="UZ14" s="412"/>
      <c r="VA14" s="412"/>
      <c r="VB14" s="412"/>
      <c r="VC14" s="412"/>
      <c r="VD14" s="412"/>
      <c r="VE14" s="412"/>
      <c r="VF14" s="412"/>
      <c r="VG14" s="412"/>
      <c r="VH14" s="412"/>
      <c r="VI14" s="412"/>
      <c r="VJ14" s="412"/>
      <c r="VK14" s="412"/>
      <c r="VL14" s="412"/>
      <c r="VM14" s="412"/>
      <c r="VN14" s="412"/>
      <c r="VO14" s="412"/>
      <c r="VP14" s="412"/>
      <c r="VQ14" s="412"/>
      <c r="VR14" s="412"/>
      <c r="VS14" s="412"/>
      <c r="VT14" s="412"/>
      <c r="VU14" s="412"/>
      <c r="VV14" s="412"/>
      <c r="VW14" s="412"/>
      <c r="VX14" s="412"/>
      <c r="VY14" s="412"/>
      <c r="VZ14" s="412"/>
      <c r="WA14" s="412"/>
      <c r="WB14" s="412"/>
      <c r="WC14" s="412"/>
      <c r="WD14" s="412"/>
      <c r="WE14" s="412"/>
      <c r="WF14" s="412"/>
      <c r="WG14" s="412"/>
      <c r="WH14" s="412"/>
      <c r="WI14" s="412"/>
      <c r="WJ14" s="412"/>
      <c r="WK14" s="412"/>
      <c r="WL14" s="412"/>
      <c r="WM14" s="412"/>
      <c r="WN14" s="412"/>
      <c r="WO14" s="412"/>
      <c r="WP14" s="412"/>
      <c r="WQ14" s="412"/>
      <c r="WR14" s="412"/>
      <c r="WS14" s="412"/>
      <c r="WT14" s="412"/>
      <c r="WU14" s="412"/>
      <c r="WV14" s="412"/>
      <c r="WW14" s="412"/>
      <c r="WX14" s="412"/>
      <c r="WY14" s="412"/>
      <c r="WZ14" s="412"/>
      <c r="XA14" s="412"/>
      <c r="XB14" s="412"/>
      <c r="XC14" s="412"/>
      <c r="XD14" s="412"/>
      <c r="XE14" s="412"/>
      <c r="XF14" s="412"/>
      <c r="XG14" s="412"/>
      <c r="XH14" s="412"/>
      <c r="XI14" s="412"/>
      <c r="XJ14" s="412"/>
      <c r="XK14" s="412"/>
      <c r="XL14" s="412"/>
      <c r="XM14" s="412"/>
      <c r="XN14" s="412"/>
      <c r="XO14" s="412"/>
      <c r="XP14" s="412"/>
      <c r="XQ14" s="412"/>
      <c r="XR14" s="412"/>
      <c r="XS14" s="412"/>
      <c r="XT14" s="412"/>
      <c r="XU14" s="412"/>
      <c r="XV14" s="412"/>
      <c r="XW14" s="412"/>
      <c r="XX14" s="412"/>
      <c r="XY14" s="412"/>
      <c r="XZ14" s="412"/>
      <c r="YA14" s="412"/>
      <c r="YB14" s="412"/>
      <c r="YC14" s="412"/>
      <c r="YD14" s="412"/>
      <c r="YE14" s="412"/>
      <c r="YF14" s="412"/>
      <c r="YG14" s="412"/>
      <c r="YH14" s="412"/>
      <c r="YI14" s="412"/>
      <c r="YJ14" s="412"/>
      <c r="YK14" s="412"/>
      <c r="YL14" s="412"/>
      <c r="YM14" s="412"/>
      <c r="YN14" s="412"/>
      <c r="YO14" s="412"/>
      <c r="YP14" s="412"/>
      <c r="YQ14" s="412"/>
      <c r="YR14" s="412"/>
      <c r="YS14" s="412"/>
      <c r="YT14" s="412"/>
      <c r="YU14" s="412"/>
      <c r="YV14" s="412"/>
      <c r="YW14" s="412"/>
      <c r="YX14" s="412"/>
      <c r="YY14" s="412"/>
      <c r="YZ14" s="412"/>
      <c r="ZA14" s="412"/>
      <c r="ZB14" s="412"/>
      <c r="ZC14" s="412"/>
      <c r="ZD14" s="412"/>
      <c r="ZE14" s="412"/>
      <c r="ZF14" s="412"/>
      <c r="ZG14" s="412"/>
      <c r="ZH14" s="412"/>
      <c r="ZI14" s="412"/>
      <c r="ZJ14" s="412"/>
      <c r="ZK14" s="412"/>
      <c r="ZL14" s="412"/>
      <c r="ZM14" s="412"/>
      <c r="ZN14" s="412"/>
      <c r="ZO14" s="412"/>
      <c r="ZP14" s="412"/>
      <c r="ZQ14" s="412"/>
      <c r="ZR14" s="412"/>
      <c r="ZS14" s="412"/>
      <c r="ZT14" s="412"/>
      <c r="ZU14" s="412"/>
      <c r="ZV14" s="412"/>
      <c r="ZW14" s="412"/>
      <c r="ZX14" s="412"/>
      <c r="ZY14" s="412"/>
      <c r="ZZ14" s="412"/>
      <c r="AAA14" s="412"/>
      <c r="AAB14" s="412"/>
      <c r="AAC14" s="412"/>
      <c r="AAD14" s="412"/>
      <c r="AAE14" s="412"/>
      <c r="AAF14" s="412"/>
      <c r="AAG14" s="412"/>
      <c r="AAH14" s="412"/>
      <c r="AAI14" s="412"/>
      <c r="AAJ14" s="412"/>
      <c r="AAK14" s="412"/>
      <c r="AAL14" s="412"/>
      <c r="AAM14" s="412"/>
      <c r="AAN14" s="412"/>
      <c r="AAO14" s="412"/>
      <c r="AAP14" s="412"/>
      <c r="AAQ14" s="412"/>
      <c r="AAR14" s="412"/>
      <c r="AAS14" s="412"/>
      <c r="AAT14" s="412"/>
      <c r="AAU14" s="412"/>
      <c r="AAV14" s="412"/>
      <c r="AAW14" s="412"/>
      <c r="AAX14" s="412"/>
      <c r="AAY14" s="412"/>
      <c r="AAZ14" s="412"/>
      <c r="ABA14" s="412"/>
      <c r="ABB14" s="412"/>
      <c r="ABC14" s="412"/>
      <c r="ABD14" s="412"/>
      <c r="ABE14" s="412"/>
      <c r="ABF14" s="412"/>
      <c r="ABG14" s="412"/>
      <c r="ABH14" s="412"/>
      <c r="ABI14" s="412"/>
      <c r="ABJ14" s="412"/>
      <c r="ABK14" s="412"/>
      <c r="ABL14" s="412"/>
      <c r="ABM14" s="412"/>
      <c r="ABN14" s="412"/>
      <c r="ABO14" s="412"/>
      <c r="ABP14" s="412"/>
      <c r="ABQ14" s="412"/>
      <c r="ABR14" s="412"/>
      <c r="ABS14" s="412"/>
      <c r="ABT14" s="412"/>
      <c r="ABU14" s="412"/>
      <c r="ABV14" s="412"/>
      <c r="ABW14" s="412"/>
      <c r="ABX14" s="412"/>
      <c r="ABY14" s="412"/>
      <c r="ABZ14" s="412"/>
      <c r="ACA14" s="412"/>
      <c r="ACB14" s="412"/>
      <c r="ACC14" s="412"/>
      <c r="ACD14" s="412"/>
      <c r="ACE14" s="412"/>
      <c r="ACF14" s="412"/>
      <c r="ACG14" s="412"/>
      <c r="ACH14" s="412"/>
      <c r="ACI14" s="412"/>
      <c r="ACJ14" s="412"/>
      <c r="ACK14" s="412"/>
      <c r="ACL14" s="412"/>
      <c r="ACM14" s="412"/>
      <c r="ACN14" s="412"/>
      <c r="ACO14" s="412"/>
      <c r="ACP14" s="412"/>
      <c r="ACQ14" s="412"/>
      <c r="ACR14" s="412"/>
      <c r="ACS14" s="412"/>
      <c r="ACT14" s="412"/>
      <c r="ACU14" s="412"/>
      <c r="ACV14" s="412"/>
      <c r="ACW14" s="412"/>
      <c r="ACX14" s="412"/>
      <c r="ACY14" s="412"/>
      <c r="ACZ14" s="412"/>
      <c r="ADA14" s="412"/>
      <c r="ADB14" s="412"/>
      <c r="ADC14" s="412"/>
      <c r="ADD14" s="412"/>
      <c r="ADE14" s="412"/>
      <c r="ADF14" s="412"/>
      <c r="ADG14" s="412"/>
      <c r="ADH14" s="412"/>
      <c r="ADI14" s="412"/>
      <c r="ADJ14" s="412"/>
      <c r="ADK14" s="412"/>
      <c r="ADL14" s="412"/>
      <c r="ADM14" s="412"/>
      <c r="ADN14" s="412"/>
      <c r="ADO14" s="412"/>
      <c r="ADP14" s="412"/>
      <c r="ADQ14" s="412"/>
      <c r="ADR14" s="412"/>
      <c r="ADS14" s="412"/>
      <c r="ADT14" s="412"/>
      <c r="ADU14" s="412"/>
      <c r="ADV14" s="412"/>
      <c r="ADW14" s="412"/>
      <c r="ADX14" s="412"/>
      <c r="ADY14" s="412"/>
      <c r="ADZ14" s="412"/>
      <c r="AEA14" s="412"/>
      <c r="AEB14" s="412"/>
      <c r="AEC14" s="412"/>
      <c r="AED14" s="412"/>
      <c r="AEE14" s="412"/>
      <c r="AEF14" s="412"/>
      <c r="AEG14" s="412"/>
      <c r="AEH14" s="412"/>
      <c r="AEI14" s="412"/>
      <c r="AEJ14" s="412"/>
      <c r="AEK14" s="412"/>
      <c r="AEL14" s="412"/>
      <c r="AEM14" s="412"/>
      <c r="AEN14" s="412"/>
      <c r="AEO14" s="412"/>
      <c r="AEP14" s="412"/>
      <c r="AEQ14" s="412"/>
      <c r="AER14" s="412"/>
      <c r="AES14" s="412"/>
      <c r="AET14" s="412"/>
      <c r="AEU14" s="412"/>
      <c r="AEV14" s="412"/>
      <c r="AEW14" s="412"/>
      <c r="AEX14" s="412"/>
      <c r="AEY14" s="412"/>
      <c r="AEZ14" s="412"/>
      <c r="AFA14" s="412"/>
      <c r="AFB14" s="412"/>
      <c r="AFC14" s="412"/>
      <c r="AFD14" s="412"/>
      <c r="AFE14" s="412"/>
      <c r="AFF14" s="412"/>
      <c r="AFG14" s="412"/>
      <c r="AFH14" s="412"/>
      <c r="AFI14" s="412"/>
      <c r="AFJ14" s="412"/>
      <c r="AFK14" s="412"/>
      <c r="AFL14" s="412"/>
      <c r="AFM14" s="412"/>
      <c r="AFN14" s="412"/>
      <c r="AFO14" s="412"/>
      <c r="AFP14" s="412"/>
      <c r="AFQ14" s="412"/>
      <c r="AFR14" s="412"/>
      <c r="AFS14" s="412"/>
      <c r="AFT14" s="412"/>
      <c r="AFU14" s="412"/>
      <c r="AFV14" s="412"/>
      <c r="AFW14" s="412"/>
      <c r="AFX14" s="412"/>
      <c r="AFY14" s="412"/>
      <c r="AFZ14" s="412"/>
      <c r="AGA14" s="412"/>
      <c r="AGB14" s="412"/>
      <c r="AGC14" s="412"/>
      <c r="AGD14" s="412"/>
      <c r="AGE14" s="412"/>
      <c r="AGF14" s="412"/>
      <c r="AGG14" s="412"/>
      <c r="AGH14" s="412"/>
      <c r="AGI14" s="412"/>
      <c r="AGJ14" s="412"/>
      <c r="AGK14" s="412"/>
      <c r="AGL14" s="412"/>
      <c r="AGM14" s="412"/>
      <c r="AGN14" s="412"/>
      <c r="AGO14" s="412"/>
      <c r="AGP14" s="412"/>
      <c r="AGQ14" s="412"/>
      <c r="AGR14" s="412"/>
      <c r="AGS14" s="412"/>
      <c r="AGT14" s="412"/>
      <c r="AGU14" s="412"/>
      <c r="AGV14" s="412"/>
      <c r="AGW14" s="412"/>
      <c r="AGX14" s="412"/>
      <c r="AGY14" s="412"/>
      <c r="AGZ14" s="412"/>
      <c r="AHA14" s="412"/>
      <c r="AHB14" s="412"/>
      <c r="AHC14" s="412"/>
      <c r="AHD14" s="412"/>
      <c r="AHE14" s="412"/>
      <c r="AHF14" s="412"/>
      <c r="AHG14" s="412"/>
      <c r="AHH14" s="412"/>
      <c r="AHI14" s="412"/>
      <c r="AHJ14" s="412"/>
      <c r="AHK14" s="412"/>
      <c r="AHL14" s="412"/>
      <c r="AHM14" s="412"/>
      <c r="AHN14" s="412"/>
      <c r="AHO14" s="412"/>
      <c r="AHP14" s="412"/>
      <c r="AHQ14" s="412"/>
      <c r="AHR14" s="412"/>
      <c r="AHS14" s="412"/>
      <c r="AHT14" s="412"/>
      <c r="AHU14" s="412"/>
      <c r="AHV14" s="412"/>
      <c r="AHW14" s="412"/>
      <c r="AHX14" s="412"/>
      <c r="AHY14" s="412"/>
      <c r="AHZ14" s="412"/>
      <c r="AIA14" s="412"/>
      <c r="AIB14" s="412"/>
      <c r="AIC14" s="412"/>
      <c r="AID14" s="412"/>
      <c r="AIE14" s="412"/>
      <c r="AIF14" s="412"/>
      <c r="AIG14" s="412"/>
      <c r="AIH14" s="412"/>
      <c r="AII14" s="412"/>
      <c r="AIJ14" s="412"/>
      <c r="AIK14" s="412"/>
      <c r="AIL14" s="412"/>
      <c r="AIM14" s="412"/>
      <c r="AIN14" s="412"/>
      <c r="AIO14" s="412"/>
      <c r="AIP14" s="412"/>
      <c r="AIQ14" s="412"/>
      <c r="AIR14" s="412"/>
      <c r="AIS14" s="412"/>
      <c r="AIT14" s="412"/>
      <c r="AIU14" s="412"/>
      <c r="AIV14" s="412"/>
      <c r="AIW14" s="412"/>
      <c r="AIX14" s="412"/>
      <c r="AIY14" s="412"/>
      <c r="AIZ14" s="412"/>
      <c r="AJA14" s="412"/>
      <c r="AJB14" s="412"/>
      <c r="AJC14" s="412"/>
      <c r="AJD14" s="412"/>
      <c r="AJE14" s="412"/>
      <c r="AJF14" s="412"/>
      <c r="AJG14" s="412"/>
      <c r="AJH14" s="412"/>
      <c r="AJI14" s="412"/>
      <c r="AJJ14" s="412"/>
      <c r="AJK14" s="412"/>
      <c r="AJL14" s="412"/>
      <c r="AJM14" s="412"/>
      <c r="AJN14" s="412"/>
      <c r="AJO14" s="412"/>
      <c r="AJP14" s="412"/>
      <c r="AJQ14" s="412"/>
      <c r="AJR14" s="412"/>
      <c r="AJS14" s="412"/>
      <c r="AJT14" s="412"/>
      <c r="AJU14" s="412"/>
      <c r="AJV14" s="412"/>
      <c r="AJW14" s="412"/>
      <c r="AJX14" s="412"/>
      <c r="AJY14" s="412"/>
      <c r="AJZ14" s="412"/>
      <c r="AKA14" s="412"/>
      <c r="AKB14" s="412"/>
      <c r="AKC14" s="412"/>
      <c r="AKD14" s="412"/>
      <c r="AKE14" s="412"/>
      <c r="AKF14" s="412"/>
      <c r="AKG14" s="412"/>
      <c r="AKH14" s="412"/>
      <c r="AKI14" s="412"/>
      <c r="AKJ14" s="412"/>
      <c r="AKK14" s="412"/>
      <c r="AKL14" s="412"/>
      <c r="AKM14" s="412"/>
      <c r="AKN14" s="412"/>
      <c r="AKO14" s="412"/>
      <c r="AKP14" s="412"/>
      <c r="AKQ14" s="412"/>
      <c r="AKR14" s="412"/>
      <c r="AKS14" s="412"/>
      <c r="AKT14" s="412"/>
      <c r="AKU14" s="412"/>
      <c r="AKV14" s="412"/>
      <c r="AKW14" s="412"/>
      <c r="AKX14" s="412"/>
      <c r="AKY14" s="412"/>
      <c r="AKZ14" s="412"/>
      <c r="ALA14" s="412"/>
      <c r="ALB14" s="412"/>
      <c r="ALC14" s="412"/>
      <c r="ALD14" s="412"/>
      <c r="ALE14" s="412"/>
      <c r="ALF14" s="412"/>
      <c r="ALG14" s="412"/>
      <c r="ALH14" s="412"/>
      <c r="ALI14" s="412"/>
      <c r="ALJ14" s="412"/>
      <c r="ALK14" s="412"/>
      <c r="ALL14" s="412"/>
      <c r="ALM14" s="412"/>
      <c r="ALN14" s="412"/>
      <c r="ALO14" s="412"/>
      <c r="ALP14" s="412"/>
      <c r="ALQ14" s="412"/>
      <c r="ALR14" s="412"/>
      <c r="ALS14" s="412"/>
      <c r="ALT14" s="412"/>
      <c r="ALU14" s="412"/>
      <c r="ALV14" s="412"/>
      <c r="ALW14" s="412"/>
      <c r="ALX14" s="412"/>
      <c r="ALY14" s="412"/>
      <c r="ALZ14" s="412"/>
      <c r="AMA14" s="412"/>
      <c r="AMB14" s="412"/>
      <c r="AMC14" s="412"/>
      <c r="AMD14" s="412"/>
      <c r="AME14" s="412"/>
      <c r="AMF14" s="412"/>
      <c r="AMG14" s="412"/>
      <c r="AMH14" s="412"/>
      <c r="AMI14" s="412"/>
      <c r="AMJ14" s="412"/>
      <c r="AMK14" s="412"/>
      <c r="AML14" s="412"/>
      <c r="AMM14" s="412"/>
      <c r="AMN14" s="412"/>
      <c r="AMO14" s="412"/>
      <c r="AMP14" s="412"/>
      <c r="AMQ14" s="412"/>
      <c r="AMR14" s="412"/>
      <c r="AMS14" s="412"/>
      <c r="AMT14" s="412"/>
      <c r="AMU14" s="412"/>
      <c r="AMV14" s="412"/>
      <c r="AMW14" s="412"/>
      <c r="AMX14" s="412"/>
      <c r="AMY14" s="412"/>
      <c r="AMZ14" s="412"/>
      <c r="ANA14" s="412"/>
      <c r="ANB14" s="412"/>
      <c r="ANC14" s="412"/>
      <c r="AND14" s="412"/>
      <c r="ANE14" s="412"/>
      <c r="ANF14" s="412"/>
      <c r="ANG14" s="412"/>
      <c r="ANH14" s="412"/>
      <c r="ANI14" s="412"/>
      <c r="ANJ14" s="412"/>
      <c r="ANK14" s="412"/>
      <c r="ANL14" s="412"/>
      <c r="ANM14" s="412"/>
      <c r="ANN14" s="412"/>
      <c r="ANO14" s="412"/>
      <c r="ANP14" s="412"/>
      <c r="ANQ14" s="412"/>
      <c r="ANR14" s="412"/>
      <c r="ANS14" s="412"/>
      <c r="ANT14" s="412"/>
      <c r="ANU14" s="412"/>
      <c r="ANV14" s="412"/>
      <c r="ANW14" s="412"/>
      <c r="ANX14" s="412"/>
      <c r="ANY14" s="412"/>
      <c r="ANZ14" s="412"/>
      <c r="AOA14" s="412"/>
      <c r="AOB14" s="412"/>
      <c r="AOC14" s="412"/>
      <c r="AOD14" s="412"/>
      <c r="AOE14" s="412"/>
      <c r="AOF14" s="412"/>
      <c r="AOG14" s="412"/>
      <c r="AOH14" s="412"/>
      <c r="AOI14" s="412"/>
      <c r="AOJ14" s="412"/>
      <c r="AOK14" s="412"/>
      <c r="AOL14" s="412"/>
      <c r="AOM14" s="412"/>
      <c r="AON14" s="412"/>
      <c r="AOO14" s="412"/>
      <c r="AOP14" s="412"/>
      <c r="AOQ14" s="412"/>
      <c r="AOR14" s="412"/>
      <c r="AOS14" s="412"/>
      <c r="AOT14" s="412"/>
      <c r="AOU14" s="412"/>
      <c r="AOV14" s="412"/>
      <c r="AOW14" s="412"/>
      <c r="AOX14" s="412"/>
      <c r="AOY14" s="412"/>
      <c r="AOZ14" s="412"/>
      <c r="APA14" s="412"/>
      <c r="APB14" s="412"/>
      <c r="APC14" s="412"/>
      <c r="APD14" s="412"/>
      <c r="APE14" s="412"/>
      <c r="APF14" s="412"/>
      <c r="APG14" s="412"/>
      <c r="APH14" s="412"/>
      <c r="API14" s="412"/>
      <c r="APJ14" s="412"/>
      <c r="APK14" s="412"/>
      <c r="APL14" s="412"/>
      <c r="APM14" s="412"/>
      <c r="APN14" s="412"/>
      <c r="APO14" s="412"/>
      <c r="APP14" s="412"/>
      <c r="APQ14" s="412"/>
      <c r="APR14" s="412"/>
      <c r="APS14" s="412"/>
      <c r="APT14" s="412"/>
      <c r="APU14" s="412"/>
      <c r="APV14" s="412"/>
      <c r="APW14" s="412"/>
      <c r="APX14" s="412"/>
      <c r="APY14" s="412"/>
      <c r="APZ14" s="412"/>
      <c r="AQA14" s="412"/>
      <c r="AQB14" s="412"/>
      <c r="AQC14" s="412"/>
      <c r="AQD14" s="412"/>
      <c r="AQE14" s="412"/>
      <c r="AQF14" s="412"/>
      <c r="AQG14" s="412"/>
      <c r="AQH14" s="412"/>
      <c r="AQI14" s="412"/>
      <c r="AQJ14" s="412"/>
      <c r="AQK14" s="412"/>
      <c r="AQL14" s="412"/>
      <c r="AQM14" s="412"/>
      <c r="AQN14" s="412"/>
      <c r="AQO14" s="412"/>
      <c r="AQP14" s="412"/>
      <c r="AQQ14" s="412"/>
      <c r="AQR14" s="412"/>
      <c r="AQS14" s="412"/>
      <c r="AQT14" s="412"/>
      <c r="AQU14" s="412"/>
      <c r="AQV14" s="412"/>
      <c r="AQW14" s="412"/>
      <c r="AQX14" s="412"/>
      <c r="AQY14" s="412"/>
      <c r="AQZ14" s="412"/>
      <c r="ARA14" s="412"/>
      <c r="ARB14" s="412"/>
      <c r="ARC14" s="412"/>
      <c r="ARD14" s="412"/>
      <c r="ARE14" s="412"/>
      <c r="ARF14" s="412"/>
      <c r="ARG14" s="412"/>
      <c r="ARH14" s="412"/>
      <c r="ARI14" s="412"/>
      <c r="ARJ14" s="412"/>
      <c r="ARK14" s="412"/>
      <c r="ARL14" s="412"/>
      <c r="ARM14" s="412"/>
      <c r="ARN14" s="412"/>
      <c r="ARO14" s="412"/>
      <c r="ARP14" s="412"/>
      <c r="ARQ14" s="412"/>
      <c r="ARR14" s="412"/>
      <c r="ARS14" s="412"/>
      <c r="ART14" s="412"/>
      <c r="ARU14" s="412"/>
      <c r="ARV14" s="412"/>
      <c r="ARW14" s="412"/>
      <c r="ARX14" s="412"/>
      <c r="ARY14" s="412"/>
      <c r="ARZ14" s="412"/>
      <c r="ASA14" s="412"/>
      <c r="ASB14" s="412"/>
      <c r="ASC14" s="412"/>
      <c r="ASD14" s="412"/>
      <c r="ASE14" s="412"/>
      <c r="ASF14" s="412"/>
      <c r="ASG14" s="412"/>
      <c r="ASH14" s="412"/>
      <c r="ASI14" s="412"/>
      <c r="ASJ14" s="412"/>
      <c r="ASK14" s="412"/>
      <c r="ASL14" s="412"/>
      <c r="ASM14" s="412"/>
      <c r="ASN14" s="412"/>
      <c r="ASO14" s="412"/>
      <c r="ASP14" s="412"/>
      <c r="ASQ14" s="412"/>
      <c r="ASR14" s="412"/>
      <c r="ASS14" s="412"/>
      <c r="AST14" s="412"/>
      <c r="ASU14" s="412"/>
      <c r="ASV14" s="412"/>
      <c r="ASW14" s="412"/>
      <c r="ASX14" s="412"/>
      <c r="ASY14" s="412"/>
      <c r="ASZ14" s="412"/>
      <c r="ATA14" s="412"/>
      <c r="ATB14" s="412"/>
      <c r="ATC14" s="412"/>
      <c r="ATD14" s="412"/>
      <c r="ATE14" s="412"/>
      <c r="ATF14" s="412"/>
      <c r="ATG14" s="412"/>
      <c r="ATH14" s="412"/>
      <c r="ATI14" s="412"/>
      <c r="ATJ14" s="412"/>
      <c r="ATK14" s="412"/>
      <c r="ATL14" s="412"/>
      <c r="ATM14" s="412"/>
      <c r="ATN14" s="412"/>
      <c r="ATO14" s="412"/>
      <c r="ATP14" s="412"/>
      <c r="ATQ14" s="412"/>
      <c r="ATR14" s="412"/>
      <c r="ATS14" s="412"/>
      <c r="ATT14" s="412"/>
      <c r="ATU14" s="412"/>
      <c r="ATV14" s="412"/>
      <c r="ATW14" s="412"/>
      <c r="ATX14" s="412"/>
      <c r="ATY14" s="412"/>
      <c r="ATZ14" s="412"/>
      <c r="AUA14" s="412"/>
      <c r="AUB14" s="412"/>
      <c r="AUC14" s="412"/>
      <c r="AUD14" s="412"/>
      <c r="AUE14" s="412"/>
      <c r="AUF14" s="412"/>
      <c r="AUG14" s="412"/>
      <c r="AUH14" s="412"/>
      <c r="AUI14" s="412"/>
      <c r="AUJ14" s="412"/>
      <c r="AUK14" s="412"/>
      <c r="AUL14" s="412"/>
      <c r="AUM14" s="412"/>
      <c r="AUN14" s="412"/>
      <c r="AUO14" s="412"/>
      <c r="AUP14" s="412"/>
      <c r="AUQ14" s="412"/>
      <c r="AUR14" s="412"/>
      <c r="AUS14" s="412"/>
      <c r="AUT14" s="412"/>
      <c r="AUU14" s="412"/>
      <c r="AUV14" s="412"/>
      <c r="AUW14" s="412"/>
      <c r="AUX14" s="412"/>
      <c r="AUY14" s="412"/>
      <c r="AUZ14" s="412"/>
      <c r="AVA14" s="412"/>
      <c r="AVB14" s="412"/>
      <c r="AVC14" s="412"/>
      <c r="AVD14" s="412"/>
      <c r="AVE14" s="412"/>
      <c r="AVF14" s="412"/>
      <c r="AVG14" s="412"/>
      <c r="AVH14" s="412"/>
      <c r="AVI14" s="412"/>
      <c r="AVJ14" s="412"/>
      <c r="AVK14" s="412"/>
      <c r="AVL14" s="412"/>
      <c r="AVM14" s="412"/>
      <c r="AVN14" s="412"/>
      <c r="AVO14" s="412"/>
      <c r="AVP14" s="412"/>
      <c r="AVQ14" s="412"/>
      <c r="AVR14" s="412"/>
      <c r="AVS14" s="412"/>
      <c r="AVT14" s="412"/>
      <c r="AVU14" s="412"/>
      <c r="AVV14" s="412"/>
      <c r="AVW14" s="412"/>
      <c r="AVX14" s="412"/>
      <c r="AVY14" s="412"/>
      <c r="AVZ14" s="412"/>
      <c r="AWA14" s="412"/>
      <c r="AWB14" s="412"/>
      <c r="AWC14" s="412"/>
      <c r="AWD14" s="412"/>
      <c r="AWE14" s="412"/>
      <c r="AWF14" s="412"/>
      <c r="AWG14" s="412"/>
      <c r="AWH14" s="412"/>
      <c r="AWI14" s="412"/>
      <c r="AWJ14" s="412"/>
      <c r="AWK14" s="412"/>
      <c r="AWL14" s="412"/>
      <c r="AWM14" s="412"/>
      <c r="AWN14" s="412"/>
      <c r="AWO14" s="412"/>
      <c r="AWP14" s="412"/>
      <c r="AWQ14" s="412"/>
      <c r="AWR14" s="412"/>
      <c r="AWS14" s="412"/>
      <c r="AWT14" s="412"/>
      <c r="AWU14" s="412"/>
      <c r="AWV14" s="412"/>
      <c r="AWW14" s="412"/>
      <c r="AWX14" s="412"/>
      <c r="AWY14" s="412"/>
      <c r="AWZ14" s="412"/>
      <c r="AXA14" s="412"/>
      <c r="AXB14" s="412"/>
      <c r="AXC14" s="412"/>
      <c r="AXD14" s="412"/>
      <c r="AXE14" s="412"/>
      <c r="AXF14" s="412"/>
      <c r="AXG14" s="412"/>
      <c r="AXH14" s="412"/>
      <c r="AXI14" s="412"/>
      <c r="AXJ14" s="412"/>
      <c r="AXK14" s="412"/>
      <c r="AXL14" s="412"/>
      <c r="AXM14" s="412"/>
      <c r="AXN14" s="412"/>
      <c r="AXO14" s="412"/>
      <c r="AXP14" s="412"/>
      <c r="AXQ14" s="412"/>
      <c r="AXR14" s="412"/>
      <c r="AXS14" s="412"/>
      <c r="AXT14" s="412"/>
      <c r="AXU14" s="412"/>
      <c r="AXV14" s="412"/>
      <c r="AXW14" s="412"/>
      <c r="AXX14" s="412"/>
      <c r="AXY14" s="412"/>
      <c r="AXZ14" s="412"/>
      <c r="AYA14" s="412"/>
      <c r="AYB14" s="412"/>
      <c r="AYC14" s="412"/>
      <c r="AYD14" s="412"/>
      <c r="AYE14" s="412"/>
      <c r="AYF14" s="412"/>
      <c r="AYG14" s="412"/>
      <c r="AYH14" s="412"/>
      <c r="AYI14" s="412"/>
      <c r="AYJ14" s="412"/>
      <c r="AYK14" s="412"/>
      <c r="AYL14" s="412"/>
      <c r="AYM14" s="412"/>
      <c r="AYN14" s="412"/>
      <c r="AYO14" s="412"/>
      <c r="AYP14" s="412"/>
      <c r="AYQ14" s="412"/>
      <c r="AYR14" s="412"/>
      <c r="AYS14" s="412"/>
      <c r="AYT14" s="412"/>
      <c r="AYU14" s="412"/>
      <c r="AYV14" s="412"/>
      <c r="AYW14" s="412"/>
      <c r="AYX14" s="412"/>
      <c r="AYY14" s="412"/>
      <c r="AYZ14" s="412"/>
      <c r="AZA14" s="412"/>
      <c r="AZB14" s="412"/>
      <c r="AZC14" s="412"/>
      <c r="AZD14" s="412"/>
      <c r="AZE14" s="412"/>
      <c r="AZF14" s="412"/>
      <c r="AZG14" s="412"/>
      <c r="AZH14" s="412"/>
      <c r="AZI14" s="412"/>
      <c r="AZJ14" s="412"/>
      <c r="AZK14" s="412"/>
      <c r="AZL14" s="412"/>
      <c r="AZM14" s="412"/>
      <c r="AZN14" s="412"/>
      <c r="AZO14" s="412"/>
      <c r="AZP14" s="412"/>
      <c r="AZQ14" s="412"/>
      <c r="AZR14" s="412"/>
      <c r="AZS14" s="412"/>
      <c r="AZT14" s="412"/>
      <c r="AZU14" s="412"/>
      <c r="AZV14" s="412"/>
      <c r="AZW14" s="412"/>
      <c r="AZX14" s="412"/>
      <c r="AZY14" s="412"/>
      <c r="AZZ14" s="412"/>
      <c r="BAA14" s="412"/>
      <c r="BAB14" s="412"/>
      <c r="BAC14" s="412"/>
      <c r="BAD14" s="412"/>
      <c r="BAE14" s="412"/>
      <c r="BAF14" s="412"/>
      <c r="BAG14" s="412"/>
      <c r="BAH14" s="412"/>
      <c r="BAI14" s="412"/>
      <c r="BAJ14" s="412"/>
      <c r="BAK14" s="412"/>
      <c r="BAL14" s="412"/>
      <c r="BAM14" s="412"/>
      <c r="BAN14" s="412"/>
      <c r="BAO14" s="412"/>
      <c r="BAP14" s="412"/>
      <c r="BAQ14" s="412"/>
      <c r="BAR14" s="412"/>
      <c r="BAS14" s="412"/>
      <c r="BAT14" s="412"/>
      <c r="BAU14" s="412"/>
      <c r="BAV14" s="412"/>
      <c r="BAW14" s="412"/>
      <c r="BAX14" s="412"/>
      <c r="BAY14" s="412"/>
      <c r="BAZ14" s="412"/>
      <c r="BBA14" s="412"/>
      <c r="BBB14" s="412"/>
      <c r="BBC14" s="412"/>
      <c r="BBD14" s="412"/>
      <c r="BBE14" s="412"/>
      <c r="BBF14" s="412"/>
      <c r="BBG14" s="412"/>
      <c r="BBH14" s="412"/>
      <c r="BBI14" s="412"/>
      <c r="BBJ14" s="412"/>
      <c r="BBK14" s="412"/>
      <c r="BBL14" s="412"/>
      <c r="BBM14" s="412"/>
      <c r="BBN14" s="412"/>
      <c r="BBO14" s="412"/>
      <c r="BBP14" s="412"/>
      <c r="BBQ14" s="412"/>
      <c r="BBR14" s="412"/>
      <c r="BBS14" s="412"/>
      <c r="BBT14" s="412"/>
      <c r="BBU14" s="412"/>
      <c r="BBV14" s="412"/>
      <c r="BBW14" s="412"/>
      <c r="BBX14" s="412"/>
      <c r="BBY14" s="412"/>
      <c r="BBZ14" s="412"/>
      <c r="BCA14" s="412"/>
      <c r="BCB14" s="412"/>
      <c r="BCC14" s="412"/>
      <c r="BCD14" s="412"/>
      <c r="BCE14" s="412"/>
      <c r="BCF14" s="412"/>
      <c r="BCG14" s="412"/>
      <c r="BCH14" s="412"/>
      <c r="BCI14" s="412"/>
      <c r="BCJ14" s="412"/>
      <c r="BCK14" s="412"/>
      <c r="BCL14" s="412"/>
      <c r="BCM14" s="412"/>
      <c r="BCN14" s="412"/>
      <c r="BCO14" s="412"/>
      <c r="BCP14" s="412"/>
      <c r="BCQ14" s="412"/>
      <c r="BCR14" s="412"/>
      <c r="BCS14" s="412"/>
      <c r="BCT14" s="412"/>
      <c r="BCU14" s="412"/>
      <c r="BCV14" s="412"/>
      <c r="BCW14" s="412"/>
      <c r="BCX14" s="412"/>
      <c r="BCY14" s="412"/>
      <c r="BCZ14" s="412"/>
      <c r="BDA14" s="412"/>
      <c r="BDB14" s="412"/>
      <c r="BDC14" s="412"/>
      <c r="BDD14" s="412"/>
      <c r="BDE14" s="412"/>
      <c r="BDF14" s="412"/>
      <c r="BDG14" s="412"/>
      <c r="BDH14" s="412"/>
      <c r="BDI14" s="412"/>
      <c r="BDJ14" s="412"/>
      <c r="BDK14" s="412"/>
      <c r="BDL14" s="412"/>
      <c r="BDM14" s="412"/>
      <c r="BDN14" s="412"/>
      <c r="BDO14" s="412"/>
      <c r="BDP14" s="412"/>
      <c r="BDQ14" s="412"/>
      <c r="BDR14" s="412"/>
      <c r="BDS14" s="412"/>
      <c r="BDT14" s="412"/>
      <c r="BDU14" s="412"/>
      <c r="BDV14" s="412"/>
      <c r="BDW14" s="412"/>
      <c r="BDX14" s="412"/>
      <c r="BDY14" s="412"/>
      <c r="BDZ14" s="412"/>
      <c r="BEA14" s="412"/>
      <c r="BEB14" s="412"/>
      <c r="BEC14" s="412"/>
      <c r="BED14" s="412"/>
      <c r="BEE14" s="412"/>
      <c r="BEF14" s="412"/>
      <c r="BEG14" s="412"/>
      <c r="BEH14" s="412"/>
      <c r="BEI14" s="412"/>
      <c r="BEJ14" s="412"/>
      <c r="BEK14" s="412"/>
      <c r="BEL14" s="412"/>
      <c r="BEM14" s="412"/>
      <c r="BEN14" s="412"/>
      <c r="BEO14" s="412"/>
      <c r="BEP14" s="412"/>
      <c r="BEQ14" s="412"/>
      <c r="BER14" s="412"/>
      <c r="BES14" s="412"/>
      <c r="BET14" s="412"/>
      <c r="BEU14" s="412"/>
      <c r="BEV14" s="412"/>
      <c r="BEW14" s="412"/>
      <c r="BEX14" s="412"/>
      <c r="BEY14" s="412"/>
      <c r="BEZ14" s="412"/>
      <c r="BFA14" s="412"/>
      <c r="BFB14" s="412"/>
      <c r="BFC14" s="412"/>
      <c r="BFD14" s="412"/>
      <c r="BFE14" s="412"/>
      <c r="BFF14" s="412"/>
      <c r="BFG14" s="412"/>
      <c r="BFH14" s="412"/>
      <c r="BFI14" s="412"/>
      <c r="BFJ14" s="412"/>
      <c r="BFK14" s="412"/>
      <c r="BFL14" s="412"/>
      <c r="BFM14" s="412"/>
      <c r="BFN14" s="412"/>
      <c r="BFO14" s="412"/>
      <c r="BFP14" s="412"/>
      <c r="BFQ14" s="412"/>
      <c r="BFR14" s="412"/>
      <c r="BFS14" s="412"/>
      <c r="BFT14" s="412"/>
      <c r="BFU14" s="412"/>
      <c r="BFV14" s="412"/>
      <c r="BFW14" s="412"/>
      <c r="BFX14" s="412"/>
      <c r="BFY14" s="412"/>
      <c r="BFZ14" s="412"/>
      <c r="BGA14" s="412"/>
      <c r="BGB14" s="412"/>
      <c r="BGC14" s="412"/>
      <c r="BGD14" s="412"/>
      <c r="BGE14" s="412"/>
      <c r="BGF14" s="412"/>
      <c r="BGG14" s="412"/>
      <c r="BGH14" s="412"/>
      <c r="BGI14" s="412"/>
      <c r="BGJ14" s="412"/>
      <c r="BGK14" s="412"/>
      <c r="BGL14" s="412"/>
      <c r="BGM14" s="412"/>
      <c r="BGN14" s="412"/>
      <c r="BGO14" s="412"/>
      <c r="BGP14" s="412"/>
      <c r="BGQ14" s="412"/>
      <c r="BGR14" s="412"/>
      <c r="BGS14" s="412"/>
      <c r="BGT14" s="412"/>
      <c r="BGU14" s="412"/>
      <c r="BGV14" s="412"/>
      <c r="BGW14" s="412"/>
      <c r="BGX14" s="412"/>
      <c r="BGY14" s="412"/>
      <c r="BGZ14" s="412"/>
      <c r="BHA14" s="412"/>
      <c r="BHB14" s="412"/>
      <c r="BHC14" s="412"/>
      <c r="BHD14" s="412"/>
      <c r="BHE14" s="412"/>
      <c r="BHF14" s="412"/>
      <c r="BHG14" s="412"/>
      <c r="BHH14" s="412"/>
      <c r="BHI14" s="412"/>
      <c r="BHJ14" s="412"/>
      <c r="BHK14" s="412"/>
      <c r="BHL14" s="412"/>
      <c r="BHM14" s="412"/>
      <c r="BHN14" s="412"/>
      <c r="BHO14" s="412"/>
      <c r="BHP14" s="412"/>
      <c r="BHQ14" s="412"/>
      <c r="BHR14" s="412"/>
      <c r="BHS14" s="412"/>
      <c r="BHT14" s="412"/>
      <c r="BHU14" s="412"/>
      <c r="BHV14" s="412"/>
      <c r="BHW14" s="412"/>
      <c r="BHX14" s="412"/>
      <c r="BHY14" s="412"/>
      <c r="BHZ14" s="412"/>
      <c r="BIA14" s="412"/>
      <c r="BIB14" s="412"/>
      <c r="BIC14" s="412"/>
      <c r="BID14" s="412"/>
      <c r="BIE14" s="412"/>
      <c r="BIF14" s="412"/>
      <c r="BIG14" s="412"/>
      <c r="BIH14" s="412"/>
      <c r="BII14" s="412"/>
      <c r="BIJ14" s="412"/>
      <c r="BIK14" s="412"/>
      <c r="BIL14" s="412"/>
      <c r="BIM14" s="412"/>
      <c r="BIN14" s="412"/>
      <c r="BIO14" s="412"/>
      <c r="BIP14" s="412"/>
      <c r="BIQ14" s="412"/>
      <c r="BIR14" s="412"/>
      <c r="BIS14" s="412"/>
      <c r="BIT14" s="412"/>
      <c r="BIU14" s="412"/>
      <c r="BIV14" s="412"/>
      <c r="BIW14" s="412"/>
      <c r="BIX14" s="412"/>
      <c r="BIY14" s="412"/>
      <c r="BIZ14" s="412"/>
      <c r="BJA14" s="412"/>
      <c r="BJB14" s="412"/>
      <c r="BJC14" s="412"/>
      <c r="BJD14" s="412"/>
      <c r="BJE14" s="412"/>
      <c r="BJF14" s="412"/>
      <c r="BJG14" s="412"/>
      <c r="BJH14" s="412"/>
      <c r="BJI14" s="412"/>
      <c r="BJJ14" s="412"/>
      <c r="BJK14" s="412"/>
      <c r="BJL14" s="412"/>
      <c r="BJM14" s="412"/>
      <c r="BJN14" s="412"/>
      <c r="BJO14" s="412"/>
      <c r="BJP14" s="412"/>
      <c r="BJQ14" s="412"/>
      <c r="BJR14" s="412"/>
      <c r="BJS14" s="412"/>
      <c r="BJT14" s="412"/>
      <c r="BJU14" s="412"/>
      <c r="BJV14" s="412"/>
      <c r="BJW14" s="412"/>
      <c r="BJX14" s="412"/>
      <c r="BJY14" s="412"/>
      <c r="BJZ14" s="412"/>
      <c r="BKA14" s="412"/>
      <c r="BKB14" s="412"/>
      <c r="BKC14" s="412"/>
      <c r="BKD14" s="412"/>
      <c r="BKE14" s="412"/>
      <c r="BKF14" s="412"/>
      <c r="BKG14" s="412"/>
      <c r="BKH14" s="412"/>
      <c r="BKI14" s="412"/>
      <c r="BKJ14" s="412"/>
      <c r="BKK14" s="412"/>
      <c r="BKL14" s="412"/>
      <c r="BKM14" s="412"/>
      <c r="BKN14" s="412"/>
      <c r="BKO14" s="412"/>
      <c r="BKP14" s="412"/>
      <c r="BKQ14" s="412"/>
      <c r="BKR14" s="412"/>
      <c r="BKS14" s="412"/>
      <c r="BKT14" s="412"/>
      <c r="BKU14" s="412"/>
      <c r="BKV14" s="412"/>
      <c r="BKW14" s="412"/>
      <c r="BKX14" s="412"/>
      <c r="BKY14" s="412"/>
      <c r="BKZ14" s="412"/>
      <c r="BLA14" s="412"/>
      <c r="BLB14" s="412"/>
      <c r="BLC14" s="412"/>
      <c r="BLD14" s="412"/>
      <c r="BLE14" s="412"/>
      <c r="BLF14" s="412"/>
      <c r="BLG14" s="412"/>
      <c r="BLH14" s="412"/>
      <c r="BLI14" s="412"/>
      <c r="BLJ14" s="412"/>
      <c r="BLK14" s="412"/>
      <c r="BLL14" s="412"/>
      <c r="BLM14" s="412"/>
      <c r="BLN14" s="412"/>
      <c r="BLO14" s="412"/>
      <c r="BLP14" s="412"/>
      <c r="BLQ14" s="412"/>
      <c r="BLR14" s="412"/>
      <c r="BLS14" s="412"/>
      <c r="BLT14" s="412"/>
      <c r="BLU14" s="412"/>
      <c r="BLV14" s="412"/>
      <c r="BLW14" s="412"/>
      <c r="BLX14" s="412"/>
      <c r="BLY14" s="412"/>
      <c r="BLZ14" s="412"/>
      <c r="BMA14" s="412"/>
      <c r="BMB14" s="412"/>
      <c r="BMC14" s="412"/>
      <c r="BMD14" s="412"/>
      <c r="BME14" s="412"/>
      <c r="BMF14" s="412"/>
      <c r="BMG14" s="412"/>
      <c r="BMH14" s="412"/>
      <c r="BMI14" s="412"/>
      <c r="BMJ14" s="412"/>
      <c r="BMK14" s="412"/>
      <c r="BML14" s="412"/>
      <c r="BMM14" s="412"/>
      <c r="BMN14" s="412"/>
      <c r="BMO14" s="412"/>
      <c r="BMP14" s="412"/>
      <c r="BMQ14" s="412"/>
      <c r="BMR14" s="412"/>
      <c r="BMS14" s="412"/>
      <c r="BMT14" s="412"/>
      <c r="BMU14" s="412"/>
      <c r="BMV14" s="412"/>
      <c r="BMW14" s="412"/>
      <c r="BMX14" s="412"/>
      <c r="BMY14" s="412"/>
      <c r="BMZ14" s="412"/>
      <c r="BNA14" s="412"/>
      <c r="BNB14" s="412"/>
      <c r="BNC14" s="412"/>
      <c r="BND14" s="412"/>
      <c r="BNE14" s="412"/>
      <c r="BNF14" s="412"/>
      <c r="BNG14" s="412"/>
      <c r="BNH14" s="412"/>
      <c r="BNI14" s="412"/>
      <c r="BNJ14" s="412"/>
      <c r="BNK14" s="412"/>
      <c r="BNL14" s="412"/>
      <c r="BNM14" s="412"/>
      <c r="BNN14" s="412"/>
      <c r="BNO14" s="412"/>
      <c r="BNP14" s="412"/>
      <c r="BNQ14" s="412"/>
      <c r="BNR14" s="412"/>
      <c r="BNS14" s="412"/>
      <c r="BNT14" s="412"/>
      <c r="BNU14" s="412"/>
      <c r="BNV14" s="412"/>
      <c r="BNW14" s="412"/>
      <c r="BNX14" s="412"/>
      <c r="BNY14" s="412"/>
      <c r="BNZ14" s="412"/>
      <c r="BOA14" s="412"/>
      <c r="BOB14" s="412"/>
      <c r="BOC14" s="412"/>
      <c r="BOD14" s="412"/>
      <c r="BOE14" s="412"/>
      <c r="BOF14" s="412"/>
      <c r="BOG14" s="412"/>
      <c r="BOH14" s="412"/>
      <c r="BOI14" s="412"/>
      <c r="BOJ14" s="412"/>
      <c r="BOK14" s="412"/>
      <c r="BOL14" s="412"/>
      <c r="BOM14" s="412"/>
      <c r="BON14" s="412"/>
      <c r="BOO14" s="412"/>
      <c r="BOP14" s="412"/>
      <c r="BOQ14" s="412"/>
      <c r="BOR14" s="412"/>
      <c r="BOS14" s="412"/>
      <c r="BOT14" s="412"/>
      <c r="BOU14" s="412"/>
      <c r="BOV14" s="412"/>
      <c r="BOW14" s="412"/>
      <c r="BOX14" s="412"/>
      <c r="BOY14" s="412"/>
      <c r="BOZ14" s="412"/>
      <c r="BPA14" s="412"/>
      <c r="BPB14" s="412"/>
      <c r="BPC14" s="412"/>
      <c r="BPD14" s="412"/>
      <c r="BPE14" s="412"/>
      <c r="BPF14" s="412"/>
      <c r="BPG14" s="412"/>
      <c r="BPH14" s="412"/>
      <c r="BPI14" s="412"/>
      <c r="BPJ14" s="412"/>
      <c r="BPK14" s="412"/>
      <c r="BPL14" s="412"/>
      <c r="BPM14" s="412"/>
      <c r="BPN14" s="412"/>
      <c r="BPO14" s="412"/>
      <c r="BPP14" s="412"/>
      <c r="BPQ14" s="412"/>
      <c r="BPR14" s="412"/>
      <c r="BPS14" s="412"/>
      <c r="BPT14" s="412"/>
      <c r="BPU14" s="412"/>
      <c r="BPV14" s="412"/>
      <c r="BPW14" s="412"/>
      <c r="BPX14" s="412"/>
      <c r="BPY14" s="412"/>
      <c r="BPZ14" s="412"/>
      <c r="BQA14" s="412"/>
      <c r="BQB14" s="412"/>
      <c r="BQC14" s="412"/>
      <c r="BQD14" s="412"/>
      <c r="BQE14" s="412"/>
      <c r="BQF14" s="412"/>
      <c r="BQG14" s="412"/>
      <c r="BQH14" s="412"/>
      <c r="BQI14" s="412"/>
      <c r="BQJ14" s="412"/>
      <c r="BQK14" s="412"/>
      <c r="BQL14" s="412"/>
      <c r="BQM14" s="412"/>
      <c r="BQN14" s="412"/>
      <c r="BQO14" s="412"/>
      <c r="BQP14" s="412"/>
      <c r="BQQ14" s="412"/>
      <c r="BQR14" s="412"/>
      <c r="BQS14" s="412"/>
      <c r="BQT14" s="412"/>
      <c r="BQU14" s="412"/>
      <c r="BQV14" s="412"/>
      <c r="BQW14" s="412"/>
      <c r="BQX14" s="412"/>
      <c r="BQY14" s="412"/>
      <c r="BQZ14" s="412"/>
      <c r="BRA14" s="412"/>
      <c r="BRB14" s="412"/>
      <c r="BRC14" s="412"/>
      <c r="BRD14" s="412"/>
      <c r="BRE14" s="412"/>
      <c r="BRF14" s="412"/>
      <c r="BRG14" s="412"/>
      <c r="BRH14" s="412"/>
      <c r="BRI14" s="412"/>
      <c r="BRJ14" s="412"/>
      <c r="BRK14" s="412"/>
      <c r="BRL14" s="412"/>
      <c r="BRM14" s="412"/>
      <c r="BRN14" s="412"/>
      <c r="BRO14" s="412"/>
      <c r="BRP14" s="412"/>
      <c r="BRQ14" s="412"/>
      <c r="BRR14" s="412"/>
      <c r="BRS14" s="412"/>
      <c r="BRT14" s="412"/>
      <c r="BRU14" s="412"/>
      <c r="BRV14" s="412"/>
      <c r="BRW14" s="412"/>
      <c r="BRX14" s="412"/>
      <c r="BRY14" s="412"/>
      <c r="BRZ14" s="412"/>
      <c r="BSA14" s="412"/>
      <c r="BSB14" s="412"/>
      <c r="BSC14" s="412"/>
      <c r="BSD14" s="412"/>
      <c r="BSE14" s="412"/>
      <c r="BSF14" s="412"/>
      <c r="BSG14" s="412"/>
      <c r="BSH14" s="412"/>
      <c r="BSI14" s="412"/>
      <c r="BSJ14" s="412"/>
      <c r="BSK14" s="412"/>
      <c r="BSL14" s="412"/>
      <c r="BSM14" s="412"/>
      <c r="BSN14" s="412"/>
      <c r="BSO14" s="412"/>
      <c r="BSP14" s="412"/>
      <c r="BSQ14" s="412"/>
      <c r="BSR14" s="412"/>
      <c r="BSS14" s="412"/>
      <c r="BST14" s="412"/>
      <c r="BSU14" s="412"/>
      <c r="BSV14" s="412"/>
      <c r="BSW14" s="412"/>
      <c r="BSX14" s="412"/>
      <c r="BSY14" s="412"/>
      <c r="BSZ14" s="412"/>
      <c r="BTA14" s="412"/>
      <c r="BTB14" s="412"/>
      <c r="BTC14" s="412"/>
      <c r="BTD14" s="412"/>
      <c r="BTE14" s="412"/>
      <c r="BTF14" s="412"/>
      <c r="BTG14" s="412"/>
      <c r="BTH14" s="412"/>
      <c r="BTI14" s="412"/>
    </row>
    <row r="15" spans="1:1881" s="393" customFormat="1" ht="86.25" customHeight="1" thickBot="1" x14ac:dyDescent="0.3">
      <c r="A15" s="473">
        <v>629</v>
      </c>
      <c r="B15" s="474" t="s">
        <v>835</v>
      </c>
      <c r="C15" s="470" t="s">
        <v>136</v>
      </c>
      <c r="D15" s="471" t="s">
        <v>1088</v>
      </c>
      <c r="E15" s="893" t="s">
        <v>837</v>
      </c>
      <c r="F15" s="647"/>
      <c r="G15" s="475">
        <f>IF(F15&gt;F12,"Please review account numbers 629 &gt; 626",)</f>
        <v>0</v>
      </c>
      <c r="H15" s="456"/>
      <c r="I15" s="457"/>
      <c r="J15" s="368"/>
      <c r="K15" s="412"/>
      <c r="L15" s="865" t="s">
        <v>1113</v>
      </c>
      <c r="M15" s="633"/>
      <c r="N15" s="656"/>
      <c r="O15" s="412"/>
      <c r="P15" s="412"/>
      <c r="Q15" s="412"/>
      <c r="R15" s="412"/>
      <c r="S15" s="412"/>
      <c r="T15" s="412"/>
      <c r="U15" s="412"/>
      <c r="V15" s="412"/>
      <c r="W15" s="412"/>
      <c r="X15" s="412"/>
      <c r="Y15" s="412"/>
      <c r="Z15" s="412"/>
      <c r="AA15" s="412"/>
      <c r="AB15" s="412"/>
      <c r="AC15" s="412"/>
      <c r="AD15" s="412"/>
      <c r="AE15" s="412"/>
      <c r="AF15" s="412"/>
      <c r="AG15" s="412"/>
      <c r="AH15" s="412"/>
      <c r="AI15" s="412"/>
      <c r="AJ15" s="412"/>
      <c r="AK15" s="412"/>
      <c r="AL15" s="412"/>
      <c r="AM15" s="412"/>
      <c r="AN15" s="412"/>
      <c r="AO15" s="412"/>
      <c r="AP15" s="412"/>
      <c r="AQ15" s="412"/>
      <c r="AR15" s="412"/>
      <c r="AS15" s="412"/>
      <c r="AT15" s="412"/>
      <c r="AU15" s="412"/>
      <c r="AV15" s="412"/>
      <c r="AW15" s="412"/>
      <c r="AX15" s="412"/>
      <c r="AY15" s="412"/>
      <c r="AZ15" s="412"/>
      <c r="BA15" s="412"/>
      <c r="BB15" s="412"/>
      <c r="BC15" s="412"/>
      <c r="BD15" s="412"/>
      <c r="BE15" s="412"/>
      <c r="BF15" s="412"/>
      <c r="BG15" s="412"/>
      <c r="BH15" s="412"/>
      <c r="BI15" s="412"/>
      <c r="BJ15" s="412"/>
      <c r="BK15" s="412"/>
      <c r="BL15" s="412"/>
      <c r="BM15" s="412"/>
      <c r="BN15" s="412"/>
      <c r="BO15" s="412"/>
      <c r="BP15" s="412"/>
      <c r="BQ15" s="412"/>
      <c r="BR15" s="412"/>
      <c r="BS15" s="412"/>
      <c r="BT15" s="412"/>
      <c r="BU15" s="412"/>
      <c r="BV15" s="412"/>
      <c r="BW15" s="412"/>
      <c r="BX15" s="412"/>
      <c r="BY15" s="412"/>
      <c r="BZ15" s="412"/>
      <c r="CA15" s="412"/>
      <c r="CB15" s="412"/>
      <c r="CC15" s="412"/>
      <c r="CD15" s="412"/>
      <c r="CE15" s="412"/>
      <c r="CF15" s="412"/>
      <c r="CG15" s="412"/>
      <c r="CH15" s="412"/>
      <c r="CI15" s="412"/>
      <c r="CJ15" s="412"/>
      <c r="CK15" s="412"/>
      <c r="CL15" s="412"/>
      <c r="CM15" s="412"/>
      <c r="CN15" s="412"/>
      <c r="CO15" s="412"/>
      <c r="CP15" s="412"/>
      <c r="CQ15" s="412"/>
      <c r="CR15" s="412"/>
      <c r="CS15" s="412"/>
      <c r="CT15" s="412"/>
      <c r="CU15" s="412"/>
      <c r="CV15" s="412"/>
      <c r="CW15" s="412"/>
      <c r="CX15" s="412"/>
      <c r="CY15" s="412"/>
      <c r="CZ15" s="412"/>
      <c r="DA15" s="412"/>
      <c r="DB15" s="412"/>
      <c r="DC15" s="412"/>
      <c r="DD15" s="412"/>
      <c r="DE15" s="412"/>
      <c r="DF15" s="412"/>
      <c r="DG15" s="412"/>
      <c r="DH15" s="412"/>
      <c r="DI15" s="412"/>
      <c r="DJ15" s="412"/>
      <c r="DK15" s="412"/>
      <c r="DL15" s="412"/>
      <c r="DM15" s="412"/>
      <c r="DN15" s="412"/>
      <c r="DO15" s="412"/>
      <c r="DP15" s="412"/>
      <c r="DQ15" s="412"/>
      <c r="DR15" s="412"/>
      <c r="DS15" s="412"/>
      <c r="DT15" s="412"/>
      <c r="DU15" s="412"/>
      <c r="DV15" s="412"/>
      <c r="DW15" s="412"/>
      <c r="DX15" s="412"/>
      <c r="DY15" s="412"/>
      <c r="DZ15" s="412"/>
      <c r="EA15" s="412"/>
      <c r="EB15" s="412"/>
      <c r="EC15" s="412"/>
      <c r="ED15" s="412"/>
      <c r="EE15" s="412"/>
      <c r="EF15" s="412"/>
      <c r="EG15" s="412"/>
      <c r="EH15" s="412"/>
      <c r="EI15" s="412"/>
      <c r="EJ15" s="412"/>
      <c r="EK15" s="412"/>
      <c r="EL15" s="412"/>
      <c r="EM15" s="412"/>
      <c r="EN15" s="412"/>
      <c r="EO15" s="412"/>
      <c r="EP15" s="412"/>
      <c r="EQ15" s="412"/>
      <c r="ER15" s="412"/>
      <c r="ES15" s="412"/>
      <c r="ET15" s="412"/>
      <c r="EU15" s="412"/>
      <c r="EV15" s="412"/>
      <c r="EW15" s="412"/>
      <c r="EX15" s="412"/>
      <c r="EY15" s="412"/>
      <c r="EZ15" s="412"/>
      <c r="FA15" s="412"/>
      <c r="FB15" s="412"/>
      <c r="FC15" s="412"/>
      <c r="FD15" s="412"/>
      <c r="FE15" s="412"/>
      <c r="FF15" s="412"/>
      <c r="FG15" s="412"/>
      <c r="FH15" s="412"/>
      <c r="FI15" s="412"/>
      <c r="FJ15" s="412"/>
      <c r="FK15" s="412"/>
      <c r="FL15" s="412"/>
      <c r="FM15" s="412"/>
      <c r="FN15" s="412"/>
      <c r="FO15" s="412"/>
      <c r="FP15" s="412"/>
      <c r="FQ15" s="412"/>
      <c r="FR15" s="412"/>
      <c r="FS15" s="412"/>
      <c r="FT15" s="412"/>
      <c r="FU15" s="412"/>
      <c r="FV15" s="412"/>
      <c r="FW15" s="412"/>
      <c r="FX15" s="412"/>
      <c r="FY15" s="412"/>
      <c r="FZ15" s="412"/>
      <c r="GA15" s="412"/>
      <c r="GB15" s="412"/>
      <c r="GC15" s="412"/>
      <c r="GD15" s="412"/>
      <c r="GE15" s="412"/>
      <c r="GF15" s="412"/>
      <c r="GG15" s="412"/>
      <c r="GH15" s="412"/>
      <c r="GI15" s="412"/>
      <c r="GJ15" s="412"/>
      <c r="GK15" s="412"/>
      <c r="GL15" s="412"/>
      <c r="GM15" s="412"/>
      <c r="GN15" s="412"/>
      <c r="GO15" s="412"/>
      <c r="GP15" s="412"/>
      <c r="GQ15" s="412"/>
      <c r="GR15" s="412"/>
      <c r="GS15" s="412"/>
      <c r="GT15" s="412"/>
      <c r="GU15" s="412"/>
      <c r="GV15" s="412"/>
      <c r="GW15" s="412"/>
      <c r="GX15" s="412"/>
      <c r="GY15" s="412"/>
      <c r="GZ15" s="412"/>
      <c r="HA15" s="412"/>
      <c r="HB15" s="412"/>
      <c r="HC15" s="412"/>
      <c r="HD15" s="412"/>
      <c r="HE15" s="412"/>
      <c r="HF15" s="412"/>
      <c r="HG15" s="412"/>
      <c r="HH15" s="412"/>
      <c r="HI15" s="412"/>
      <c r="HJ15" s="412"/>
      <c r="HK15" s="412"/>
      <c r="HL15" s="412"/>
      <c r="HM15" s="412"/>
      <c r="HN15" s="412"/>
      <c r="HO15" s="412"/>
      <c r="HP15" s="412"/>
      <c r="HQ15" s="412"/>
      <c r="HR15" s="412"/>
      <c r="HS15" s="412"/>
      <c r="HT15" s="412"/>
      <c r="HU15" s="412"/>
      <c r="HV15" s="412"/>
      <c r="HW15" s="412"/>
      <c r="HX15" s="412"/>
      <c r="HY15" s="412"/>
      <c r="HZ15" s="412"/>
      <c r="IA15" s="412"/>
      <c r="IB15" s="412"/>
      <c r="IC15" s="412"/>
      <c r="ID15" s="412"/>
      <c r="IE15" s="412"/>
      <c r="IF15" s="412"/>
      <c r="IG15" s="412"/>
      <c r="IH15" s="412"/>
      <c r="II15" s="412"/>
      <c r="IJ15" s="412"/>
      <c r="IK15" s="412"/>
      <c r="IL15" s="412"/>
      <c r="IM15" s="412"/>
      <c r="IN15" s="412"/>
      <c r="IO15" s="412"/>
      <c r="IP15" s="412"/>
      <c r="IQ15" s="412"/>
      <c r="IR15" s="412"/>
      <c r="IS15" s="412"/>
      <c r="IT15" s="412"/>
      <c r="IU15" s="412"/>
      <c r="IV15" s="412"/>
      <c r="IW15" s="412"/>
      <c r="IX15" s="412"/>
      <c r="IY15" s="412"/>
      <c r="IZ15" s="412"/>
      <c r="JA15" s="412"/>
      <c r="JB15" s="412"/>
      <c r="JC15" s="412"/>
      <c r="JD15" s="412"/>
      <c r="JE15" s="412"/>
      <c r="JF15" s="412"/>
      <c r="JG15" s="412"/>
      <c r="JH15" s="412"/>
      <c r="JI15" s="412"/>
      <c r="JJ15" s="412"/>
      <c r="JK15" s="412"/>
      <c r="JL15" s="412"/>
      <c r="JM15" s="412"/>
      <c r="JN15" s="412"/>
      <c r="JO15" s="412"/>
      <c r="JP15" s="412"/>
      <c r="JQ15" s="412"/>
      <c r="JR15" s="412"/>
      <c r="JS15" s="412"/>
      <c r="JT15" s="412"/>
      <c r="JU15" s="412"/>
      <c r="JV15" s="412"/>
      <c r="JW15" s="412"/>
      <c r="JX15" s="412"/>
      <c r="JY15" s="412"/>
      <c r="JZ15" s="412"/>
      <c r="KA15" s="412"/>
      <c r="KB15" s="412"/>
      <c r="KC15" s="412"/>
      <c r="KD15" s="412"/>
      <c r="KE15" s="412"/>
      <c r="KF15" s="412"/>
      <c r="KG15" s="412"/>
      <c r="KH15" s="412"/>
      <c r="KI15" s="412"/>
      <c r="KJ15" s="412"/>
      <c r="KK15" s="412"/>
      <c r="KL15" s="412"/>
      <c r="KM15" s="412"/>
      <c r="KN15" s="412"/>
      <c r="KO15" s="412"/>
      <c r="KP15" s="412"/>
      <c r="KQ15" s="412"/>
      <c r="KR15" s="412"/>
      <c r="KS15" s="412"/>
      <c r="KT15" s="412"/>
      <c r="KU15" s="412"/>
      <c r="KV15" s="412"/>
      <c r="KW15" s="412"/>
      <c r="KX15" s="412"/>
      <c r="KY15" s="412"/>
      <c r="KZ15" s="412"/>
      <c r="LA15" s="412"/>
      <c r="LB15" s="412"/>
      <c r="LC15" s="412"/>
      <c r="LD15" s="412"/>
      <c r="LE15" s="412"/>
      <c r="LF15" s="412"/>
      <c r="LG15" s="412"/>
      <c r="LH15" s="412"/>
      <c r="LI15" s="412"/>
      <c r="LJ15" s="412"/>
      <c r="LK15" s="412"/>
      <c r="LL15" s="412"/>
      <c r="LM15" s="412"/>
      <c r="LN15" s="412"/>
      <c r="LO15" s="412"/>
      <c r="LP15" s="412"/>
      <c r="LQ15" s="412"/>
      <c r="LR15" s="412"/>
      <c r="LS15" s="412"/>
      <c r="LT15" s="412"/>
      <c r="LU15" s="412"/>
      <c r="LV15" s="412"/>
      <c r="LW15" s="412"/>
      <c r="LX15" s="412"/>
      <c r="LY15" s="412"/>
      <c r="LZ15" s="412"/>
      <c r="MA15" s="412"/>
      <c r="MB15" s="412"/>
      <c r="MC15" s="412"/>
      <c r="MD15" s="412"/>
      <c r="ME15" s="412"/>
      <c r="MF15" s="412"/>
      <c r="MG15" s="412"/>
      <c r="MH15" s="412"/>
      <c r="MI15" s="412"/>
      <c r="MJ15" s="412"/>
      <c r="MK15" s="412"/>
      <c r="ML15" s="412"/>
      <c r="MM15" s="412"/>
      <c r="MN15" s="412"/>
      <c r="MO15" s="412"/>
      <c r="MP15" s="412"/>
      <c r="MQ15" s="412"/>
      <c r="MR15" s="412"/>
      <c r="MS15" s="412"/>
      <c r="MT15" s="412"/>
      <c r="MU15" s="412"/>
      <c r="MV15" s="412"/>
      <c r="MW15" s="412"/>
      <c r="MX15" s="412"/>
      <c r="MY15" s="412"/>
      <c r="MZ15" s="412"/>
      <c r="NA15" s="412"/>
      <c r="NB15" s="412"/>
      <c r="NC15" s="412"/>
      <c r="ND15" s="412"/>
      <c r="NE15" s="412"/>
      <c r="NF15" s="412"/>
      <c r="NG15" s="412"/>
      <c r="NH15" s="412"/>
      <c r="NI15" s="412"/>
      <c r="NJ15" s="412"/>
      <c r="NK15" s="412"/>
      <c r="NL15" s="412"/>
      <c r="NM15" s="412"/>
      <c r="NN15" s="412"/>
      <c r="NO15" s="412"/>
      <c r="NP15" s="412"/>
      <c r="NQ15" s="412"/>
      <c r="NR15" s="412"/>
      <c r="NS15" s="412"/>
      <c r="NT15" s="412"/>
      <c r="NU15" s="412"/>
      <c r="NV15" s="412"/>
      <c r="NW15" s="412"/>
      <c r="NX15" s="412"/>
      <c r="NY15" s="412"/>
      <c r="NZ15" s="412"/>
      <c r="OA15" s="412"/>
      <c r="OB15" s="412"/>
      <c r="OC15" s="412"/>
      <c r="OD15" s="412"/>
      <c r="OE15" s="412"/>
      <c r="OF15" s="412"/>
      <c r="OG15" s="412"/>
      <c r="OH15" s="412"/>
      <c r="OI15" s="412"/>
      <c r="OJ15" s="412"/>
      <c r="OK15" s="412"/>
      <c r="OL15" s="412"/>
      <c r="OM15" s="412"/>
      <c r="ON15" s="412"/>
      <c r="OO15" s="412"/>
      <c r="OP15" s="412"/>
      <c r="OQ15" s="412"/>
      <c r="OR15" s="412"/>
      <c r="OS15" s="412"/>
      <c r="OT15" s="412"/>
      <c r="OU15" s="412"/>
      <c r="OV15" s="412"/>
      <c r="OW15" s="412"/>
      <c r="OX15" s="412"/>
      <c r="OY15" s="412"/>
      <c r="OZ15" s="412"/>
      <c r="PA15" s="412"/>
      <c r="PB15" s="412"/>
      <c r="PC15" s="412"/>
      <c r="PD15" s="412"/>
      <c r="PE15" s="412"/>
      <c r="PF15" s="412"/>
      <c r="PG15" s="412"/>
      <c r="PH15" s="412"/>
      <c r="PI15" s="412"/>
      <c r="PJ15" s="412"/>
      <c r="PK15" s="412"/>
      <c r="PL15" s="412"/>
      <c r="PM15" s="412"/>
      <c r="PN15" s="412"/>
      <c r="PO15" s="412"/>
      <c r="PP15" s="412"/>
      <c r="PQ15" s="412"/>
      <c r="PR15" s="412"/>
      <c r="PS15" s="412"/>
      <c r="PT15" s="412"/>
      <c r="PU15" s="412"/>
      <c r="PV15" s="412"/>
      <c r="PW15" s="412"/>
      <c r="PX15" s="412"/>
      <c r="PY15" s="412"/>
      <c r="PZ15" s="412"/>
      <c r="QA15" s="412"/>
      <c r="QB15" s="412"/>
      <c r="QC15" s="412"/>
      <c r="QD15" s="412"/>
      <c r="QE15" s="412"/>
      <c r="QF15" s="412"/>
      <c r="QG15" s="412"/>
      <c r="QH15" s="412"/>
      <c r="QI15" s="412"/>
      <c r="QJ15" s="412"/>
      <c r="QK15" s="412"/>
      <c r="QL15" s="412"/>
      <c r="QM15" s="412"/>
      <c r="QN15" s="412"/>
      <c r="QO15" s="412"/>
      <c r="QP15" s="412"/>
      <c r="QQ15" s="412"/>
      <c r="QR15" s="412"/>
      <c r="QS15" s="412"/>
      <c r="QT15" s="412"/>
      <c r="QU15" s="412"/>
      <c r="QV15" s="412"/>
      <c r="QW15" s="412"/>
      <c r="QX15" s="412"/>
      <c r="QY15" s="412"/>
      <c r="QZ15" s="412"/>
      <c r="RA15" s="412"/>
      <c r="RB15" s="412"/>
      <c r="RC15" s="412"/>
      <c r="RD15" s="412"/>
      <c r="RE15" s="412"/>
      <c r="RF15" s="412"/>
      <c r="RG15" s="412"/>
      <c r="RH15" s="412"/>
      <c r="RI15" s="412"/>
      <c r="RJ15" s="412"/>
      <c r="RK15" s="412"/>
      <c r="RL15" s="412"/>
      <c r="RM15" s="412"/>
      <c r="RN15" s="412"/>
      <c r="RO15" s="412"/>
      <c r="RP15" s="412"/>
      <c r="RQ15" s="412"/>
      <c r="RR15" s="412"/>
      <c r="RS15" s="412"/>
      <c r="RT15" s="412"/>
      <c r="RU15" s="412"/>
      <c r="RV15" s="412"/>
      <c r="RW15" s="412"/>
      <c r="RX15" s="412"/>
      <c r="RY15" s="412"/>
      <c r="RZ15" s="412"/>
      <c r="SA15" s="412"/>
      <c r="SB15" s="412"/>
      <c r="SC15" s="412"/>
      <c r="SD15" s="412"/>
      <c r="SE15" s="412"/>
      <c r="SF15" s="412"/>
      <c r="SG15" s="412"/>
      <c r="SH15" s="412"/>
      <c r="SI15" s="412"/>
      <c r="SJ15" s="412"/>
      <c r="SK15" s="412"/>
      <c r="SL15" s="412"/>
      <c r="SM15" s="412"/>
      <c r="SN15" s="412"/>
      <c r="SO15" s="412"/>
      <c r="SP15" s="412"/>
      <c r="SQ15" s="412"/>
      <c r="SR15" s="412"/>
      <c r="SS15" s="412"/>
      <c r="ST15" s="412"/>
      <c r="SU15" s="412"/>
      <c r="SV15" s="412"/>
      <c r="SW15" s="412"/>
      <c r="SX15" s="412"/>
      <c r="SY15" s="412"/>
      <c r="SZ15" s="412"/>
      <c r="TA15" s="412"/>
      <c r="TB15" s="412"/>
      <c r="TC15" s="412"/>
      <c r="TD15" s="412"/>
      <c r="TE15" s="412"/>
      <c r="TF15" s="412"/>
      <c r="TG15" s="412"/>
      <c r="TH15" s="412"/>
      <c r="TI15" s="412"/>
      <c r="TJ15" s="412"/>
      <c r="TK15" s="412"/>
      <c r="TL15" s="412"/>
      <c r="TM15" s="412"/>
      <c r="TN15" s="412"/>
      <c r="TO15" s="412"/>
      <c r="TP15" s="412"/>
      <c r="TQ15" s="412"/>
      <c r="TR15" s="412"/>
      <c r="TS15" s="412"/>
      <c r="TT15" s="412"/>
      <c r="TU15" s="412"/>
      <c r="TV15" s="412"/>
      <c r="TW15" s="412"/>
      <c r="TX15" s="412"/>
      <c r="TY15" s="412"/>
      <c r="TZ15" s="412"/>
      <c r="UA15" s="412"/>
      <c r="UB15" s="412"/>
      <c r="UC15" s="412"/>
      <c r="UD15" s="412"/>
      <c r="UE15" s="412"/>
      <c r="UF15" s="412"/>
      <c r="UG15" s="412"/>
      <c r="UH15" s="412"/>
      <c r="UI15" s="412"/>
      <c r="UJ15" s="412"/>
      <c r="UK15" s="412"/>
      <c r="UL15" s="412"/>
      <c r="UM15" s="412"/>
      <c r="UN15" s="412"/>
      <c r="UO15" s="412"/>
      <c r="UP15" s="412"/>
      <c r="UQ15" s="412"/>
      <c r="UR15" s="412"/>
      <c r="US15" s="412"/>
      <c r="UT15" s="412"/>
      <c r="UU15" s="412"/>
      <c r="UV15" s="412"/>
      <c r="UW15" s="412"/>
      <c r="UX15" s="412"/>
      <c r="UY15" s="412"/>
      <c r="UZ15" s="412"/>
      <c r="VA15" s="412"/>
      <c r="VB15" s="412"/>
      <c r="VC15" s="412"/>
      <c r="VD15" s="412"/>
      <c r="VE15" s="412"/>
      <c r="VF15" s="412"/>
      <c r="VG15" s="412"/>
      <c r="VH15" s="412"/>
      <c r="VI15" s="412"/>
      <c r="VJ15" s="412"/>
      <c r="VK15" s="412"/>
      <c r="VL15" s="412"/>
      <c r="VM15" s="412"/>
      <c r="VN15" s="412"/>
      <c r="VO15" s="412"/>
      <c r="VP15" s="412"/>
      <c r="VQ15" s="412"/>
      <c r="VR15" s="412"/>
      <c r="VS15" s="412"/>
      <c r="VT15" s="412"/>
      <c r="VU15" s="412"/>
      <c r="VV15" s="412"/>
      <c r="VW15" s="412"/>
      <c r="VX15" s="412"/>
      <c r="VY15" s="412"/>
      <c r="VZ15" s="412"/>
      <c r="WA15" s="412"/>
      <c r="WB15" s="412"/>
      <c r="WC15" s="412"/>
      <c r="WD15" s="412"/>
      <c r="WE15" s="412"/>
      <c r="WF15" s="412"/>
      <c r="WG15" s="412"/>
      <c r="WH15" s="412"/>
      <c r="WI15" s="412"/>
      <c r="WJ15" s="412"/>
      <c r="WK15" s="412"/>
      <c r="WL15" s="412"/>
      <c r="WM15" s="412"/>
      <c r="WN15" s="412"/>
      <c r="WO15" s="412"/>
      <c r="WP15" s="412"/>
      <c r="WQ15" s="412"/>
      <c r="WR15" s="412"/>
      <c r="WS15" s="412"/>
      <c r="WT15" s="412"/>
      <c r="WU15" s="412"/>
      <c r="WV15" s="412"/>
      <c r="WW15" s="412"/>
      <c r="WX15" s="412"/>
      <c r="WY15" s="412"/>
      <c r="WZ15" s="412"/>
      <c r="XA15" s="412"/>
      <c r="XB15" s="412"/>
      <c r="XC15" s="412"/>
      <c r="XD15" s="412"/>
      <c r="XE15" s="412"/>
      <c r="XF15" s="412"/>
      <c r="XG15" s="412"/>
      <c r="XH15" s="412"/>
      <c r="XI15" s="412"/>
      <c r="XJ15" s="412"/>
      <c r="XK15" s="412"/>
      <c r="XL15" s="412"/>
      <c r="XM15" s="412"/>
      <c r="XN15" s="412"/>
      <c r="XO15" s="412"/>
      <c r="XP15" s="412"/>
      <c r="XQ15" s="412"/>
      <c r="XR15" s="412"/>
      <c r="XS15" s="412"/>
      <c r="XT15" s="412"/>
      <c r="XU15" s="412"/>
      <c r="XV15" s="412"/>
      <c r="XW15" s="412"/>
      <c r="XX15" s="412"/>
      <c r="XY15" s="412"/>
      <c r="XZ15" s="412"/>
      <c r="YA15" s="412"/>
      <c r="YB15" s="412"/>
      <c r="YC15" s="412"/>
      <c r="YD15" s="412"/>
      <c r="YE15" s="412"/>
      <c r="YF15" s="412"/>
      <c r="YG15" s="412"/>
      <c r="YH15" s="412"/>
      <c r="YI15" s="412"/>
      <c r="YJ15" s="412"/>
      <c r="YK15" s="412"/>
      <c r="YL15" s="412"/>
      <c r="YM15" s="412"/>
      <c r="YN15" s="412"/>
      <c r="YO15" s="412"/>
      <c r="YP15" s="412"/>
      <c r="YQ15" s="412"/>
      <c r="YR15" s="412"/>
      <c r="YS15" s="412"/>
      <c r="YT15" s="412"/>
      <c r="YU15" s="412"/>
      <c r="YV15" s="412"/>
      <c r="YW15" s="412"/>
      <c r="YX15" s="412"/>
      <c r="YY15" s="412"/>
      <c r="YZ15" s="412"/>
      <c r="ZA15" s="412"/>
      <c r="ZB15" s="412"/>
      <c r="ZC15" s="412"/>
      <c r="ZD15" s="412"/>
      <c r="ZE15" s="412"/>
      <c r="ZF15" s="412"/>
      <c r="ZG15" s="412"/>
      <c r="ZH15" s="412"/>
      <c r="ZI15" s="412"/>
      <c r="ZJ15" s="412"/>
      <c r="ZK15" s="412"/>
      <c r="ZL15" s="412"/>
      <c r="ZM15" s="412"/>
      <c r="ZN15" s="412"/>
      <c r="ZO15" s="412"/>
      <c r="ZP15" s="412"/>
      <c r="ZQ15" s="412"/>
      <c r="ZR15" s="412"/>
      <c r="ZS15" s="412"/>
      <c r="ZT15" s="412"/>
      <c r="ZU15" s="412"/>
      <c r="ZV15" s="412"/>
      <c r="ZW15" s="412"/>
      <c r="ZX15" s="412"/>
      <c r="ZY15" s="412"/>
      <c r="ZZ15" s="412"/>
      <c r="AAA15" s="412"/>
      <c r="AAB15" s="412"/>
      <c r="AAC15" s="412"/>
      <c r="AAD15" s="412"/>
      <c r="AAE15" s="412"/>
      <c r="AAF15" s="412"/>
      <c r="AAG15" s="412"/>
      <c r="AAH15" s="412"/>
      <c r="AAI15" s="412"/>
      <c r="AAJ15" s="412"/>
      <c r="AAK15" s="412"/>
      <c r="AAL15" s="412"/>
      <c r="AAM15" s="412"/>
      <c r="AAN15" s="412"/>
      <c r="AAO15" s="412"/>
      <c r="AAP15" s="412"/>
      <c r="AAQ15" s="412"/>
      <c r="AAR15" s="412"/>
      <c r="AAS15" s="412"/>
      <c r="AAT15" s="412"/>
      <c r="AAU15" s="412"/>
      <c r="AAV15" s="412"/>
      <c r="AAW15" s="412"/>
      <c r="AAX15" s="412"/>
      <c r="AAY15" s="412"/>
      <c r="AAZ15" s="412"/>
      <c r="ABA15" s="412"/>
      <c r="ABB15" s="412"/>
      <c r="ABC15" s="412"/>
      <c r="ABD15" s="412"/>
      <c r="ABE15" s="412"/>
      <c r="ABF15" s="412"/>
      <c r="ABG15" s="412"/>
      <c r="ABH15" s="412"/>
      <c r="ABI15" s="412"/>
      <c r="ABJ15" s="412"/>
      <c r="ABK15" s="412"/>
      <c r="ABL15" s="412"/>
      <c r="ABM15" s="412"/>
      <c r="ABN15" s="412"/>
      <c r="ABO15" s="412"/>
      <c r="ABP15" s="412"/>
      <c r="ABQ15" s="412"/>
      <c r="ABR15" s="412"/>
      <c r="ABS15" s="412"/>
      <c r="ABT15" s="412"/>
      <c r="ABU15" s="412"/>
      <c r="ABV15" s="412"/>
      <c r="ABW15" s="412"/>
      <c r="ABX15" s="412"/>
      <c r="ABY15" s="412"/>
      <c r="ABZ15" s="412"/>
      <c r="ACA15" s="412"/>
      <c r="ACB15" s="412"/>
      <c r="ACC15" s="412"/>
      <c r="ACD15" s="412"/>
      <c r="ACE15" s="412"/>
      <c r="ACF15" s="412"/>
      <c r="ACG15" s="412"/>
      <c r="ACH15" s="412"/>
      <c r="ACI15" s="412"/>
      <c r="ACJ15" s="412"/>
      <c r="ACK15" s="412"/>
      <c r="ACL15" s="412"/>
      <c r="ACM15" s="412"/>
      <c r="ACN15" s="412"/>
      <c r="ACO15" s="412"/>
      <c r="ACP15" s="412"/>
      <c r="ACQ15" s="412"/>
      <c r="ACR15" s="412"/>
      <c r="ACS15" s="412"/>
      <c r="ACT15" s="412"/>
      <c r="ACU15" s="412"/>
      <c r="ACV15" s="412"/>
      <c r="ACW15" s="412"/>
      <c r="ACX15" s="412"/>
      <c r="ACY15" s="412"/>
      <c r="ACZ15" s="412"/>
      <c r="ADA15" s="412"/>
      <c r="ADB15" s="412"/>
      <c r="ADC15" s="412"/>
      <c r="ADD15" s="412"/>
      <c r="ADE15" s="412"/>
      <c r="ADF15" s="412"/>
      <c r="ADG15" s="412"/>
      <c r="ADH15" s="412"/>
      <c r="ADI15" s="412"/>
      <c r="ADJ15" s="412"/>
      <c r="ADK15" s="412"/>
      <c r="ADL15" s="412"/>
      <c r="ADM15" s="412"/>
      <c r="ADN15" s="412"/>
      <c r="ADO15" s="412"/>
      <c r="ADP15" s="412"/>
      <c r="ADQ15" s="412"/>
      <c r="ADR15" s="412"/>
      <c r="ADS15" s="412"/>
      <c r="ADT15" s="412"/>
      <c r="ADU15" s="412"/>
      <c r="ADV15" s="412"/>
      <c r="ADW15" s="412"/>
      <c r="ADX15" s="412"/>
      <c r="ADY15" s="412"/>
      <c r="ADZ15" s="412"/>
      <c r="AEA15" s="412"/>
      <c r="AEB15" s="412"/>
      <c r="AEC15" s="412"/>
      <c r="AED15" s="412"/>
      <c r="AEE15" s="412"/>
      <c r="AEF15" s="412"/>
      <c r="AEG15" s="412"/>
      <c r="AEH15" s="412"/>
      <c r="AEI15" s="412"/>
      <c r="AEJ15" s="412"/>
      <c r="AEK15" s="412"/>
      <c r="AEL15" s="412"/>
      <c r="AEM15" s="412"/>
      <c r="AEN15" s="412"/>
      <c r="AEO15" s="412"/>
      <c r="AEP15" s="412"/>
      <c r="AEQ15" s="412"/>
      <c r="AER15" s="412"/>
      <c r="AES15" s="412"/>
      <c r="AET15" s="412"/>
      <c r="AEU15" s="412"/>
      <c r="AEV15" s="412"/>
      <c r="AEW15" s="412"/>
      <c r="AEX15" s="412"/>
      <c r="AEY15" s="412"/>
      <c r="AEZ15" s="412"/>
      <c r="AFA15" s="412"/>
      <c r="AFB15" s="412"/>
      <c r="AFC15" s="412"/>
      <c r="AFD15" s="412"/>
      <c r="AFE15" s="412"/>
      <c r="AFF15" s="412"/>
      <c r="AFG15" s="412"/>
      <c r="AFH15" s="412"/>
      <c r="AFI15" s="412"/>
      <c r="AFJ15" s="412"/>
      <c r="AFK15" s="412"/>
      <c r="AFL15" s="412"/>
      <c r="AFM15" s="412"/>
      <c r="AFN15" s="412"/>
      <c r="AFO15" s="412"/>
      <c r="AFP15" s="412"/>
      <c r="AFQ15" s="412"/>
      <c r="AFR15" s="412"/>
      <c r="AFS15" s="412"/>
      <c r="AFT15" s="412"/>
      <c r="AFU15" s="412"/>
      <c r="AFV15" s="412"/>
      <c r="AFW15" s="412"/>
      <c r="AFX15" s="412"/>
      <c r="AFY15" s="412"/>
      <c r="AFZ15" s="412"/>
      <c r="AGA15" s="412"/>
      <c r="AGB15" s="412"/>
      <c r="AGC15" s="412"/>
      <c r="AGD15" s="412"/>
      <c r="AGE15" s="412"/>
      <c r="AGF15" s="412"/>
      <c r="AGG15" s="412"/>
      <c r="AGH15" s="412"/>
      <c r="AGI15" s="412"/>
      <c r="AGJ15" s="412"/>
      <c r="AGK15" s="412"/>
      <c r="AGL15" s="412"/>
      <c r="AGM15" s="412"/>
      <c r="AGN15" s="412"/>
      <c r="AGO15" s="412"/>
      <c r="AGP15" s="412"/>
      <c r="AGQ15" s="412"/>
      <c r="AGR15" s="412"/>
      <c r="AGS15" s="412"/>
      <c r="AGT15" s="412"/>
      <c r="AGU15" s="412"/>
      <c r="AGV15" s="412"/>
      <c r="AGW15" s="412"/>
      <c r="AGX15" s="412"/>
      <c r="AGY15" s="412"/>
      <c r="AGZ15" s="412"/>
      <c r="AHA15" s="412"/>
      <c r="AHB15" s="412"/>
      <c r="AHC15" s="412"/>
      <c r="AHD15" s="412"/>
      <c r="AHE15" s="412"/>
      <c r="AHF15" s="412"/>
      <c r="AHG15" s="412"/>
      <c r="AHH15" s="412"/>
      <c r="AHI15" s="412"/>
      <c r="AHJ15" s="412"/>
      <c r="AHK15" s="412"/>
      <c r="AHL15" s="412"/>
      <c r="AHM15" s="412"/>
      <c r="AHN15" s="412"/>
      <c r="AHO15" s="412"/>
      <c r="AHP15" s="412"/>
      <c r="AHQ15" s="412"/>
      <c r="AHR15" s="412"/>
      <c r="AHS15" s="412"/>
      <c r="AHT15" s="412"/>
      <c r="AHU15" s="412"/>
      <c r="AHV15" s="412"/>
      <c r="AHW15" s="412"/>
      <c r="AHX15" s="412"/>
      <c r="AHY15" s="412"/>
      <c r="AHZ15" s="412"/>
      <c r="AIA15" s="412"/>
      <c r="AIB15" s="412"/>
      <c r="AIC15" s="412"/>
      <c r="AID15" s="412"/>
      <c r="AIE15" s="412"/>
      <c r="AIF15" s="412"/>
      <c r="AIG15" s="412"/>
      <c r="AIH15" s="412"/>
      <c r="AII15" s="412"/>
      <c r="AIJ15" s="412"/>
      <c r="AIK15" s="412"/>
      <c r="AIL15" s="412"/>
      <c r="AIM15" s="412"/>
      <c r="AIN15" s="412"/>
      <c r="AIO15" s="412"/>
      <c r="AIP15" s="412"/>
      <c r="AIQ15" s="412"/>
      <c r="AIR15" s="412"/>
      <c r="AIS15" s="412"/>
      <c r="AIT15" s="412"/>
      <c r="AIU15" s="412"/>
      <c r="AIV15" s="412"/>
      <c r="AIW15" s="412"/>
      <c r="AIX15" s="412"/>
      <c r="AIY15" s="412"/>
      <c r="AIZ15" s="412"/>
      <c r="AJA15" s="412"/>
      <c r="AJB15" s="412"/>
      <c r="AJC15" s="412"/>
      <c r="AJD15" s="412"/>
      <c r="AJE15" s="412"/>
      <c r="AJF15" s="412"/>
      <c r="AJG15" s="412"/>
      <c r="AJH15" s="412"/>
      <c r="AJI15" s="412"/>
      <c r="AJJ15" s="412"/>
      <c r="AJK15" s="412"/>
      <c r="AJL15" s="412"/>
      <c r="AJM15" s="412"/>
      <c r="AJN15" s="412"/>
      <c r="AJO15" s="412"/>
      <c r="AJP15" s="412"/>
      <c r="AJQ15" s="412"/>
      <c r="AJR15" s="412"/>
      <c r="AJS15" s="412"/>
      <c r="AJT15" s="412"/>
      <c r="AJU15" s="412"/>
      <c r="AJV15" s="412"/>
      <c r="AJW15" s="412"/>
      <c r="AJX15" s="412"/>
      <c r="AJY15" s="412"/>
      <c r="AJZ15" s="412"/>
      <c r="AKA15" s="412"/>
      <c r="AKB15" s="412"/>
      <c r="AKC15" s="412"/>
      <c r="AKD15" s="412"/>
      <c r="AKE15" s="412"/>
      <c r="AKF15" s="412"/>
      <c r="AKG15" s="412"/>
      <c r="AKH15" s="412"/>
      <c r="AKI15" s="412"/>
      <c r="AKJ15" s="412"/>
      <c r="AKK15" s="412"/>
      <c r="AKL15" s="412"/>
      <c r="AKM15" s="412"/>
      <c r="AKN15" s="412"/>
      <c r="AKO15" s="412"/>
      <c r="AKP15" s="412"/>
      <c r="AKQ15" s="412"/>
      <c r="AKR15" s="412"/>
      <c r="AKS15" s="412"/>
      <c r="AKT15" s="412"/>
      <c r="AKU15" s="412"/>
      <c r="AKV15" s="412"/>
      <c r="AKW15" s="412"/>
      <c r="AKX15" s="412"/>
      <c r="AKY15" s="412"/>
      <c r="AKZ15" s="412"/>
      <c r="ALA15" s="412"/>
      <c r="ALB15" s="412"/>
      <c r="ALC15" s="412"/>
      <c r="ALD15" s="412"/>
      <c r="ALE15" s="412"/>
      <c r="ALF15" s="412"/>
      <c r="ALG15" s="412"/>
      <c r="ALH15" s="412"/>
      <c r="ALI15" s="412"/>
      <c r="ALJ15" s="412"/>
      <c r="ALK15" s="412"/>
      <c r="ALL15" s="412"/>
      <c r="ALM15" s="412"/>
      <c r="ALN15" s="412"/>
      <c r="ALO15" s="412"/>
      <c r="ALP15" s="412"/>
      <c r="ALQ15" s="412"/>
      <c r="ALR15" s="412"/>
      <c r="ALS15" s="412"/>
      <c r="ALT15" s="412"/>
      <c r="ALU15" s="412"/>
      <c r="ALV15" s="412"/>
      <c r="ALW15" s="412"/>
      <c r="ALX15" s="412"/>
      <c r="ALY15" s="412"/>
      <c r="ALZ15" s="412"/>
      <c r="AMA15" s="412"/>
      <c r="AMB15" s="412"/>
      <c r="AMC15" s="412"/>
      <c r="AMD15" s="412"/>
      <c r="AME15" s="412"/>
      <c r="AMF15" s="412"/>
      <c r="AMG15" s="412"/>
      <c r="AMH15" s="412"/>
      <c r="AMI15" s="412"/>
      <c r="AMJ15" s="412"/>
      <c r="AMK15" s="412"/>
      <c r="AML15" s="412"/>
      <c r="AMM15" s="412"/>
      <c r="AMN15" s="412"/>
      <c r="AMO15" s="412"/>
      <c r="AMP15" s="412"/>
      <c r="AMQ15" s="412"/>
      <c r="AMR15" s="412"/>
      <c r="AMS15" s="412"/>
      <c r="AMT15" s="412"/>
      <c r="AMU15" s="412"/>
      <c r="AMV15" s="412"/>
      <c r="AMW15" s="412"/>
      <c r="AMX15" s="412"/>
      <c r="AMY15" s="412"/>
      <c r="AMZ15" s="412"/>
      <c r="ANA15" s="412"/>
      <c r="ANB15" s="412"/>
      <c r="ANC15" s="412"/>
      <c r="AND15" s="412"/>
      <c r="ANE15" s="412"/>
      <c r="ANF15" s="412"/>
      <c r="ANG15" s="412"/>
      <c r="ANH15" s="412"/>
      <c r="ANI15" s="412"/>
      <c r="ANJ15" s="412"/>
      <c r="ANK15" s="412"/>
      <c r="ANL15" s="412"/>
      <c r="ANM15" s="412"/>
      <c r="ANN15" s="412"/>
      <c r="ANO15" s="412"/>
      <c r="ANP15" s="412"/>
      <c r="ANQ15" s="412"/>
      <c r="ANR15" s="412"/>
      <c r="ANS15" s="412"/>
      <c r="ANT15" s="412"/>
      <c r="ANU15" s="412"/>
      <c r="ANV15" s="412"/>
      <c r="ANW15" s="412"/>
      <c r="ANX15" s="412"/>
      <c r="ANY15" s="412"/>
      <c r="ANZ15" s="412"/>
      <c r="AOA15" s="412"/>
      <c r="AOB15" s="412"/>
      <c r="AOC15" s="412"/>
      <c r="AOD15" s="412"/>
      <c r="AOE15" s="412"/>
      <c r="AOF15" s="412"/>
      <c r="AOG15" s="412"/>
      <c r="AOH15" s="412"/>
      <c r="AOI15" s="412"/>
      <c r="AOJ15" s="412"/>
      <c r="AOK15" s="412"/>
      <c r="AOL15" s="412"/>
      <c r="AOM15" s="412"/>
      <c r="AON15" s="412"/>
      <c r="AOO15" s="412"/>
      <c r="AOP15" s="412"/>
      <c r="AOQ15" s="412"/>
      <c r="AOR15" s="412"/>
      <c r="AOS15" s="412"/>
      <c r="AOT15" s="412"/>
      <c r="AOU15" s="412"/>
      <c r="AOV15" s="412"/>
      <c r="AOW15" s="412"/>
      <c r="AOX15" s="412"/>
      <c r="AOY15" s="412"/>
      <c r="AOZ15" s="412"/>
      <c r="APA15" s="412"/>
      <c r="APB15" s="412"/>
      <c r="APC15" s="412"/>
      <c r="APD15" s="412"/>
      <c r="APE15" s="412"/>
      <c r="APF15" s="412"/>
      <c r="APG15" s="412"/>
      <c r="APH15" s="412"/>
      <c r="API15" s="412"/>
      <c r="APJ15" s="412"/>
      <c r="APK15" s="412"/>
      <c r="APL15" s="412"/>
      <c r="APM15" s="412"/>
      <c r="APN15" s="412"/>
      <c r="APO15" s="412"/>
      <c r="APP15" s="412"/>
      <c r="APQ15" s="412"/>
      <c r="APR15" s="412"/>
      <c r="APS15" s="412"/>
      <c r="APT15" s="412"/>
      <c r="APU15" s="412"/>
      <c r="APV15" s="412"/>
      <c r="APW15" s="412"/>
      <c r="APX15" s="412"/>
      <c r="APY15" s="412"/>
      <c r="APZ15" s="412"/>
      <c r="AQA15" s="412"/>
      <c r="AQB15" s="412"/>
      <c r="AQC15" s="412"/>
      <c r="AQD15" s="412"/>
      <c r="AQE15" s="412"/>
      <c r="AQF15" s="412"/>
      <c r="AQG15" s="412"/>
      <c r="AQH15" s="412"/>
      <c r="AQI15" s="412"/>
      <c r="AQJ15" s="412"/>
      <c r="AQK15" s="412"/>
      <c r="AQL15" s="412"/>
      <c r="AQM15" s="412"/>
      <c r="AQN15" s="412"/>
      <c r="AQO15" s="412"/>
      <c r="AQP15" s="412"/>
      <c r="AQQ15" s="412"/>
      <c r="AQR15" s="412"/>
      <c r="AQS15" s="412"/>
      <c r="AQT15" s="412"/>
      <c r="AQU15" s="412"/>
      <c r="AQV15" s="412"/>
      <c r="AQW15" s="412"/>
      <c r="AQX15" s="412"/>
      <c r="AQY15" s="412"/>
      <c r="AQZ15" s="412"/>
      <c r="ARA15" s="412"/>
      <c r="ARB15" s="412"/>
      <c r="ARC15" s="412"/>
      <c r="ARD15" s="412"/>
      <c r="ARE15" s="412"/>
      <c r="ARF15" s="412"/>
      <c r="ARG15" s="412"/>
      <c r="ARH15" s="412"/>
      <c r="ARI15" s="412"/>
      <c r="ARJ15" s="412"/>
      <c r="ARK15" s="412"/>
      <c r="ARL15" s="412"/>
      <c r="ARM15" s="412"/>
      <c r="ARN15" s="412"/>
      <c r="ARO15" s="412"/>
      <c r="ARP15" s="412"/>
      <c r="ARQ15" s="412"/>
      <c r="ARR15" s="412"/>
      <c r="ARS15" s="412"/>
      <c r="ART15" s="412"/>
      <c r="ARU15" s="412"/>
      <c r="ARV15" s="412"/>
      <c r="ARW15" s="412"/>
      <c r="ARX15" s="412"/>
      <c r="ARY15" s="412"/>
      <c r="ARZ15" s="412"/>
      <c r="ASA15" s="412"/>
      <c r="ASB15" s="412"/>
      <c r="ASC15" s="412"/>
      <c r="ASD15" s="412"/>
      <c r="ASE15" s="412"/>
      <c r="ASF15" s="412"/>
      <c r="ASG15" s="412"/>
      <c r="ASH15" s="412"/>
      <c r="ASI15" s="412"/>
      <c r="ASJ15" s="412"/>
      <c r="ASK15" s="412"/>
      <c r="ASL15" s="412"/>
      <c r="ASM15" s="412"/>
      <c r="ASN15" s="412"/>
      <c r="ASO15" s="412"/>
      <c r="ASP15" s="412"/>
      <c r="ASQ15" s="412"/>
      <c r="ASR15" s="412"/>
      <c r="ASS15" s="412"/>
      <c r="AST15" s="412"/>
      <c r="ASU15" s="412"/>
      <c r="ASV15" s="412"/>
      <c r="ASW15" s="412"/>
      <c r="ASX15" s="412"/>
      <c r="ASY15" s="412"/>
      <c r="ASZ15" s="412"/>
      <c r="ATA15" s="412"/>
      <c r="ATB15" s="412"/>
      <c r="ATC15" s="412"/>
      <c r="ATD15" s="412"/>
      <c r="ATE15" s="412"/>
      <c r="ATF15" s="412"/>
      <c r="ATG15" s="412"/>
      <c r="ATH15" s="412"/>
      <c r="ATI15" s="412"/>
      <c r="ATJ15" s="412"/>
      <c r="ATK15" s="412"/>
      <c r="ATL15" s="412"/>
      <c r="ATM15" s="412"/>
      <c r="ATN15" s="412"/>
      <c r="ATO15" s="412"/>
      <c r="ATP15" s="412"/>
      <c r="ATQ15" s="412"/>
      <c r="ATR15" s="412"/>
      <c r="ATS15" s="412"/>
      <c r="ATT15" s="412"/>
      <c r="ATU15" s="412"/>
      <c r="ATV15" s="412"/>
      <c r="ATW15" s="412"/>
      <c r="ATX15" s="412"/>
      <c r="ATY15" s="412"/>
      <c r="ATZ15" s="412"/>
      <c r="AUA15" s="412"/>
      <c r="AUB15" s="412"/>
      <c r="AUC15" s="412"/>
      <c r="AUD15" s="412"/>
      <c r="AUE15" s="412"/>
      <c r="AUF15" s="412"/>
      <c r="AUG15" s="412"/>
      <c r="AUH15" s="412"/>
      <c r="AUI15" s="412"/>
      <c r="AUJ15" s="412"/>
      <c r="AUK15" s="412"/>
      <c r="AUL15" s="412"/>
      <c r="AUM15" s="412"/>
      <c r="AUN15" s="412"/>
      <c r="AUO15" s="412"/>
      <c r="AUP15" s="412"/>
      <c r="AUQ15" s="412"/>
      <c r="AUR15" s="412"/>
      <c r="AUS15" s="412"/>
      <c r="AUT15" s="412"/>
      <c r="AUU15" s="412"/>
      <c r="AUV15" s="412"/>
      <c r="AUW15" s="412"/>
      <c r="AUX15" s="412"/>
      <c r="AUY15" s="412"/>
      <c r="AUZ15" s="412"/>
      <c r="AVA15" s="412"/>
      <c r="AVB15" s="412"/>
      <c r="AVC15" s="412"/>
      <c r="AVD15" s="412"/>
      <c r="AVE15" s="412"/>
      <c r="AVF15" s="412"/>
      <c r="AVG15" s="412"/>
      <c r="AVH15" s="412"/>
      <c r="AVI15" s="412"/>
      <c r="AVJ15" s="412"/>
      <c r="AVK15" s="412"/>
      <c r="AVL15" s="412"/>
      <c r="AVM15" s="412"/>
      <c r="AVN15" s="412"/>
      <c r="AVO15" s="412"/>
      <c r="AVP15" s="412"/>
      <c r="AVQ15" s="412"/>
      <c r="AVR15" s="412"/>
      <c r="AVS15" s="412"/>
      <c r="AVT15" s="412"/>
      <c r="AVU15" s="412"/>
      <c r="AVV15" s="412"/>
      <c r="AVW15" s="412"/>
      <c r="AVX15" s="412"/>
      <c r="AVY15" s="412"/>
      <c r="AVZ15" s="412"/>
      <c r="AWA15" s="412"/>
      <c r="AWB15" s="412"/>
      <c r="AWC15" s="412"/>
      <c r="AWD15" s="412"/>
      <c r="AWE15" s="412"/>
      <c r="AWF15" s="412"/>
      <c r="AWG15" s="412"/>
      <c r="AWH15" s="412"/>
      <c r="AWI15" s="412"/>
      <c r="AWJ15" s="412"/>
      <c r="AWK15" s="412"/>
      <c r="AWL15" s="412"/>
      <c r="AWM15" s="412"/>
      <c r="AWN15" s="412"/>
      <c r="AWO15" s="412"/>
      <c r="AWP15" s="412"/>
      <c r="AWQ15" s="412"/>
      <c r="AWR15" s="412"/>
      <c r="AWS15" s="412"/>
      <c r="AWT15" s="412"/>
      <c r="AWU15" s="412"/>
      <c r="AWV15" s="412"/>
      <c r="AWW15" s="412"/>
      <c r="AWX15" s="412"/>
      <c r="AWY15" s="412"/>
      <c r="AWZ15" s="412"/>
      <c r="AXA15" s="412"/>
      <c r="AXB15" s="412"/>
      <c r="AXC15" s="412"/>
      <c r="AXD15" s="412"/>
      <c r="AXE15" s="412"/>
      <c r="AXF15" s="412"/>
      <c r="AXG15" s="412"/>
      <c r="AXH15" s="412"/>
      <c r="AXI15" s="412"/>
      <c r="AXJ15" s="412"/>
      <c r="AXK15" s="412"/>
      <c r="AXL15" s="412"/>
      <c r="AXM15" s="412"/>
      <c r="AXN15" s="412"/>
      <c r="AXO15" s="412"/>
      <c r="AXP15" s="412"/>
      <c r="AXQ15" s="412"/>
      <c r="AXR15" s="412"/>
      <c r="AXS15" s="412"/>
      <c r="AXT15" s="412"/>
      <c r="AXU15" s="412"/>
      <c r="AXV15" s="412"/>
      <c r="AXW15" s="412"/>
      <c r="AXX15" s="412"/>
      <c r="AXY15" s="412"/>
      <c r="AXZ15" s="412"/>
      <c r="AYA15" s="412"/>
      <c r="AYB15" s="412"/>
      <c r="AYC15" s="412"/>
      <c r="AYD15" s="412"/>
      <c r="AYE15" s="412"/>
      <c r="AYF15" s="412"/>
      <c r="AYG15" s="412"/>
      <c r="AYH15" s="412"/>
      <c r="AYI15" s="412"/>
      <c r="AYJ15" s="412"/>
      <c r="AYK15" s="412"/>
      <c r="AYL15" s="412"/>
      <c r="AYM15" s="412"/>
      <c r="AYN15" s="412"/>
      <c r="AYO15" s="412"/>
      <c r="AYP15" s="412"/>
      <c r="AYQ15" s="412"/>
      <c r="AYR15" s="412"/>
      <c r="AYS15" s="412"/>
      <c r="AYT15" s="412"/>
      <c r="AYU15" s="412"/>
      <c r="AYV15" s="412"/>
      <c r="AYW15" s="412"/>
      <c r="AYX15" s="412"/>
      <c r="AYY15" s="412"/>
      <c r="AYZ15" s="412"/>
      <c r="AZA15" s="412"/>
      <c r="AZB15" s="412"/>
      <c r="AZC15" s="412"/>
      <c r="AZD15" s="412"/>
      <c r="AZE15" s="412"/>
      <c r="AZF15" s="412"/>
      <c r="AZG15" s="412"/>
      <c r="AZH15" s="412"/>
      <c r="AZI15" s="412"/>
      <c r="AZJ15" s="412"/>
      <c r="AZK15" s="412"/>
      <c r="AZL15" s="412"/>
      <c r="AZM15" s="412"/>
      <c r="AZN15" s="412"/>
      <c r="AZO15" s="412"/>
      <c r="AZP15" s="412"/>
      <c r="AZQ15" s="412"/>
      <c r="AZR15" s="412"/>
      <c r="AZS15" s="412"/>
      <c r="AZT15" s="412"/>
      <c r="AZU15" s="412"/>
      <c r="AZV15" s="412"/>
      <c r="AZW15" s="412"/>
      <c r="AZX15" s="412"/>
      <c r="AZY15" s="412"/>
      <c r="AZZ15" s="412"/>
      <c r="BAA15" s="412"/>
      <c r="BAB15" s="412"/>
      <c r="BAC15" s="412"/>
      <c r="BAD15" s="412"/>
      <c r="BAE15" s="412"/>
      <c r="BAF15" s="412"/>
      <c r="BAG15" s="412"/>
      <c r="BAH15" s="412"/>
      <c r="BAI15" s="412"/>
      <c r="BAJ15" s="412"/>
      <c r="BAK15" s="412"/>
      <c r="BAL15" s="412"/>
      <c r="BAM15" s="412"/>
      <c r="BAN15" s="412"/>
      <c r="BAO15" s="412"/>
      <c r="BAP15" s="412"/>
      <c r="BAQ15" s="412"/>
      <c r="BAR15" s="412"/>
      <c r="BAS15" s="412"/>
      <c r="BAT15" s="412"/>
      <c r="BAU15" s="412"/>
      <c r="BAV15" s="412"/>
      <c r="BAW15" s="412"/>
      <c r="BAX15" s="412"/>
      <c r="BAY15" s="412"/>
      <c r="BAZ15" s="412"/>
      <c r="BBA15" s="412"/>
      <c r="BBB15" s="412"/>
      <c r="BBC15" s="412"/>
      <c r="BBD15" s="412"/>
      <c r="BBE15" s="412"/>
      <c r="BBF15" s="412"/>
      <c r="BBG15" s="412"/>
      <c r="BBH15" s="412"/>
      <c r="BBI15" s="412"/>
      <c r="BBJ15" s="412"/>
      <c r="BBK15" s="412"/>
      <c r="BBL15" s="412"/>
      <c r="BBM15" s="412"/>
      <c r="BBN15" s="412"/>
      <c r="BBO15" s="412"/>
      <c r="BBP15" s="412"/>
      <c r="BBQ15" s="412"/>
      <c r="BBR15" s="412"/>
      <c r="BBS15" s="412"/>
      <c r="BBT15" s="412"/>
      <c r="BBU15" s="412"/>
      <c r="BBV15" s="412"/>
      <c r="BBW15" s="412"/>
      <c r="BBX15" s="412"/>
      <c r="BBY15" s="412"/>
      <c r="BBZ15" s="412"/>
      <c r="BCA15" s="412"/>
      <c r="BCB15" s="412"/>
      <c r="BCC15" s="412"/>
      <c r="BCD15" s="412"/>
      <c r="BCE15" s="412"/>
      <c r="BCF15" s="412"/>
      <c r="BCG15" s="412"/>
      <c r="BCH15" s="412"/>
      <c r="BCI15" s="412"/>
      <c r="BCJ15" s="412"/>
      <c r="BCK15" s="412"/>
      <c r="BCL15" s="412"/>
      <c r="BCM15" s="412"/>
      <c r="BCN15" s="412"/>
      <c r="BCO15" s="412"/>
      <c r="BCP15" s="412"/>
      <c r="BCQ15" s="412"/>
      <c r="BCR15" s="412"/>
      <c r="BCS15" s="412"/>
      <c r="BCT15" s="412"/>
      <c r="BCU15" s="412"/>
      <c r="BCV15" s="412"/>
      <c r="BCW15" s="412"/>
      <c r="BCX15" s="412"/>
      <c r="BCY15" s="412"/>
      <c r="BCZ15" s="412"/>
      <c r="BDA15" s="412"/>
      <c r="BDB15" s="412"/>
      <c r="BDC15" s="412"/>
      <c r="BDD15" s="412"/>
      <c r="BDE15" s="412"/>
      <c r="BDF15" s="412"/>
      <c r="BDG15" s="412"/>
      <c r="BDH15" s="412"/>
      <c r="BDI15" s="412"/>
      <c r="BDJ15" s="412"/>
      <c r="BDK15" s="412"/>
      <c r="BDL15" s="412"/>
      <c r="BDM15" s="412"/>
      <c r="BDN15" s="412"/>
      <c r="BDO15" s="412"/>
      <c r="BDP15" s="412"/>
      <c r="BDQ15" s="412"/>
      <c r="BDR15" s="412"/>
      <c r="BDS15" s="412"/>
      <c r="BDT15" s="412"/>
      <c r="BDU15" s="412"/>
      <c r="BDV15" s="412"/>
      <c r="BDW15" s="412"/>
      <c r="BDX15" s="412"/>
      <c r="BDY15" s="412"/>
      <c r="BDZ15" s="412"/>
      <c r="BEA15" s="412"/>
      <c r="BEB15" s="412"/>
      <c r="BEC15" s="412"/>
      <c r="BED15" s="412"/>
      <c r="BEE15" s="412"/>
      <c r="BEF15" s="412"/>
      <c r="BEG15" s="412"/>
      <c r="BEH15" s="412"/>
      <c r="BEI15" s="412"/>
      <c r="BEJ15" s="412"/>
      <c r="BEK15" s="412"/>
      <c r="BEL15" s="412"/>
      <c r="BEM15" s="412"/>
      <c r="BEN15" s="412"/>
      <c r="BEO15" s="412"/>
      <c r="BEP15" s="412"/>
      <c r="BEQ15" s="412"/>
      <c r="BER15" s="412"/>
      <c r="BES15" s="412"/>
      <c r="BET15" s="412"/>
      <c r="BEU15" s="412"/>
      <c r="BEV15" s="412"/>
      <c r="BEW15" s="412"/>
      <c r="BEX15" s="412"/>
      <c r="BEY15" s="412"/>
      <c r="BEZ15" s="412"/>
      <c r="BFA15" s="412"/>
      <c r="BFB15" s="412"/>
      <c r="BFC15" s="412"/>
      <c r="BFD15" s="412"/>
      <c r="BFE15" s="412"/>
      <c r="BFF15" s="412"/>
      <c r="BFG15" s="412"/>
      <c r="BFH15" s="412"/>
      <c r="BFI15" s="412"/>
      <c r="BFJ15" s="412"/>
      <c r="BFK15" s="412"/>
      <c r="BFL15" s="412"/>
      <c r="BFM15" s="412"/>
      <c r="BFN15" s="412"/>
      <c r="BFO15" s="412"/>
      <c r="BFP15" s="412"/>
      <c r="BFQ15" s="412"/>
      <c r="BFR15" s="412"/>
      <c r="BFS15" s="412"/>
      <c r="BFT15" s="412"/>
      <c r="BFU15" s="412"/>
      <c r="BFV15" s="412"/>
      <c r="BFW15" s="412"/>
      <c r="BFX15" s="412"/>
      <c r="BFY15" s="412"/>
      <c r="BFZ15" s="412"/>
      <c r="BGA15" s="412"/>
      <c r="BGB15" s="412"/>
      <c r="BGC15" s="412"/>
      <c r="BGD15" s="412"/>
      <c r="BGE15" s="412"/>
      <c r="BGF15" s="412"/>
      <c r="BGG15" s="412"/>
      <c r="BGH15" s="412"/>
      <c r="BGI15" s="412"/>
      <c r="BGJ15" s="412"/>
      <c r="BGK15" s="412"/>
      <c r="BGL15" s="412"/>
      <c r="BGM15" s="412"/>
      <c r="BGN15" s="412"/>
      <c r="BGO15" s="412"/>
      <c r="BGP15" s="412"/>
      <c r="BGQ15" s="412"/>
      <c r="BGR15" s="412"/>
      <c r="BGS15" s="412"/>
      <c r="BGT15" s="412"/>
      <c r="BGU15" s="412"/>
      <c r="BGV15" s="412"/>
      <c r="BGW15" s="412"/>
      <c r="BGX15" s="412"/>
      <c r="BGY15" s="412"/>
      <c r="BGZ15" s="412"/>
      <c r="BHA15" s="412"/>
      <c r="BHB15" s="412"/>
      <c r="BHC15" s="412"/>
      <c r="BHD15" s="412"/>
      <c r="BHE15" s="412"/>
      <c r="BHF15" s="412"/>
      <c r="BHG15" s="412"/>
      <c r="BHH15" s="412"/>
      <c r="BHI15" s="412"/>
      <c r="BHJ15" s="412"/>
      <c r="BHK15" s="412"/>
      <c r="BHL15" s="412"/>
      <c r="BHM15" s="412"/>
      <c r="BHN15" s="412"/>
      <c r="BHO15" s="412"/>
      <c r="BHP15" s="412"/>
      <c r="BHQ15" s="412"/>
      <c r="BHR15" s="412"/>
      <c r="BHS15" s="412"/>
      <c r="BHT15" s="412"/>
      <c r="BHU15" s="412"/>
      <c r="BHV15" s="412"/>
      <c r="BHW15" s="412"/>
      <c r="BHX15" s="412"/>
      <c r="BHY15" s="412"/>
      <c r="BHZ15" s="412"/>
      <c r="BIA15" s="412"/>
      <c r="BIB15" s="412"/>
      <c r="BIC15" s="412"/>
      <c r="BID15" s="412"/>
      <c r="BIE15" s="412"/>
      <c r="BIF15" s="412"/>
      <c r="BIG15" s="412"/>
      <c r="BIH15" s="412"/>
      <c r="BII15" s="412"/>
      <c r="BIJ15" s="412"/>
      <c r="BIK15" s="412"/>
      <c r="BIL15" s="412"/>
      <c r="BIM15" s="412"/>
      <c r="BIN15" s="412"/>
      <c r="BIO15" s="412"/>
      <c r="BIP15" s="412"/>
      <c r="BIQ15" s="412"/>
      <c r="BIR15" s="412"/>
      <c r="BIS15" s="412"/>
      <c r="BIT15" s="412"/>
      <c r="BIU15" s="412"/>
      <c r="BIV15" s="412"/>
      <c r="BIW15" s="412"/>
      <c r="BIX15" s="412"/>
      <c r="BIY15" s="412"/>
      <c r="BIZ15" s="412"/>
      <c r="BJA15" s="412"/>
      <c r="BJB15" s="412"/>
      <c r="BJC15" s="412"/>
      <c r="BJD15" s="412"/>
      <c r="BJE15" s="412"/>
      <c r="BJF15" s="412"/>
      <c r="BJG15" s="412"/>
      <c r="BJH15" s="412"/>
      <c r="BJI15" s="412"/>
      <c r="BJJ15" s="412"/>
      <c r="BJK15" s="412"/>
      <c r="BJL15" s="412"/>
      <c r="BJM15" s="412"/>
      <c r="BJN15" s="412"/>
      <c r="BJO15" s="412"/>
      <c r="BJP15" s="412"/>
      <c r="BJQ15" s="412"/>
      <c r="BJR15" s="412"/>
      <c r="BJS15" s="412"/>
      <c r="BJT15" s="412"/>
      <c r="BJU15" s="412"/>
      <c r="BJV15" s="412"/>
      <c r="BJW15" s="412"/>
      <c r="BJX15" s="412"/>
      <c r="BJY15" s="412"/>
      <c r="BJZ15" s="412"/>
      <c r="BKA15" s="412"/>
      <c r="BKB15" s="412"/>
      <c r="BKC15" s="412"/>
      <c r="BKD15" s="412"/>
      <c r="BKE15" s="412"/>
      <c r="BKF15" s="412"/>
      <c r="BKG15" s="412"/>
      <c r="BKH15" s="412"/>
      <c r="BKI15" s="412"/>
      <c r="BKJ15" s="412"/>
      <c r="BKK15" s="412"/>
      <c r="BKL15" s="412"/>
      <c r="BKM15" s="412"/>
      <c r="BKN15" s="412"/>
      <c r="BKO15" s="412"/>
      <c r="BKP15" s="412"/>
      <c r="BKQ15" s="412"/>
      <c r="BKR15" s="412"/>
      <c r="BKS15" s="412"/>
      <c r="BKT15" s="412"/>
      <c r="BKU15" s="412"/>
      <c r="BKV15" s="412"/>
      <c r="BKW15" s="412"/>
      <c r="BKX15" s="412"/>
      <c r="BKY15" s="412"/>
      <c r="BKZ15" s="412"/>
      <c r="BLA15" s="412"/>
      <c r="BLB15" s="412"/>
      <c r="BLC15" s="412"/>
      <c r="BLD15" s="412"/>
      <c r="BLE15" s="412"/>
      <c r="BLF15" s="412"/>
      <c r="BLG15" s="412"/>
      <c r="BLH15" s="412"/>
      <c r="BLI15" s="412"/>
      <c r="BLJ15" s="412"/>
      <c r="BLK15" s="412"/>
      <c r="BLL15" s="412"/>
      <c r="BLM15" s="412"/>
      <c r="BLN15" s="412"/>
      <c r="BLO15" s="412"/>
      <c r="BLP15" s="412"/>
      <c r="BLQ15" s="412"/>
      <c r="BLR15" s="412"/>
      <c r="BLS15" s="412"/>
      <c r="BLT15" s="412"/>
      <c r="BLU15" s="412"/>
      <c r="BLV15" s="412"/>
      <c r="BLW15" s="412"/>
      <c r="BLX15" s="412"/>
      <c r="BLY15" s="412"/>
      <c r="BLZ15" s="412"/>
      <c r="BMA15" s="412"/>
      <c r="BMB15" s="412"/>
      <c r="BMC15" s="412"/>
      <c r="BMD15" s="412"/>
      <c r="BME15" s="412"/>
      <c r="BMF15" s="412"/>
      <c r="BMG15" s="412"/>
      <c r="BMH15" s="412"/>
      <c r="BMI15" s="412"/>
      <c r="BMJ15" s="412"/>
      <c r="BMK15" s="412"/>
      <c r="BML15" s="412"/>
      <c r="BMM15" s="412"/>
      <c r="BMN15" s="412"/>
      <c r="BMO15" s="412"/>
      <c r="BMP15" s="412"/>
      <c r="BMQ15" s="412"/>
      <c r="BMR15" s="412"/>
      <c r="BMS15" s="412"/>
      <c r="BMT15" s="412"/>
      <c r="BMU15" s="412"/>
      <c r="BMV15" s="412"/>
      <c r="BMW15" s="412"/>
      <c r="BMX15" s="412"/>
      <c r="BMY15" s="412"/>
      <c r="BMZ15" s="412"/>
      <c r="BNA15" s="412"/>
      <c r="BNB15" s="412"/>
      <c r="BNC15" s="412"/>
      <c r="BND15" s="412"/>
      <c r="BNE15" s="412"/>
      <c r="BNF15" s="412"/>
      <c r="BNG15" s="412"/>
      <c r="BNH15" s="412"/>
      <c r="BNI15" s="412"/>
      <c r="BNJ15" s="412"/>
      <c r="BNK15" s="412"/>
      <c r="BNL15" s="412"/>
      <c r="BNM15" s="412"/>
      <c r="BNN15" s="412"/>
      <c r="BNO15" s="412"/>
      <c r="BNP15" s="412"/>
      <c r="BNQ15" s="412"/>
      <c r="BNR15" s="412"/>
      <c r="BNS15" s="412"/>
      <c r="BNT15" s="412"/>
      <c r="BNU15" s="412"/>
      <c r="BNV15" s="412"/>
      <c r="BNW15" s="412"/>
      <c r="BNX15" s="412"/>
      <c r="BNY15" s="412"/>
      <c r="BNZ15" s="412"/>
      <c r="BOA15" s="412"/>
      <c r="BOB15" s="412"/>
      <c r="BOC15" s="412"/>
      <c r="BOD15" s="412"/>
      <c r="BOE15" s="412"/>
      <c r="BOF15" s="412"/>
      <c r="BOG15" s="412"/>
      <c r="BOH15" s="412"/>
      <c r="BOI15" s="412"/>
      <c r="BOJ15" s="412"/>
      <c r="BOK15" s="412"/>
      <c r="BOL15" s="412"/>
      <c r="BOM15" s="412"/>
      <c r="BON15" s="412"/>
      <c r="BOO15" s="412"/>
      <c r="BOP15" s="412"/>
      <c r="BOQ15" s="412"/>
      <c r="BOR15" s="412"/>
      <c r="BOS15" s="412"/>
      <c r="BOT15" s="412"/>
      <c r="BOU15" s="412"/>
      <c r="BOV15" s="412"/>
      <c r="BOW15" s="412"/>
      <c r="BOX15" s="412"/>
      <c r="BOY15" s="412"/>
      <c r="BOZ15" s="412"/>
      <c r="BPA15" s="412"/>
      <c r="BPB15" s="412"/>
      <c r="BPC15" s="412"/>
      <c r="BPD15" s="412"/>
      <c r="BPE15" s="412"/>
      <c r="BPF15" s="412"/>
      <c r="BPG15" s="412"/>
      <c r="BPH15" s="412"/>
      <c r="BPI15" s="412"/>
      <c r="BPJ15" s="412"/>
      <c r="BPK15" s="412"/>
      <c r="BPL15" s="412"/>
      <c r="BPM15" s="412"/>
      <c r="BPN15" s="412"/>
      <c r="BPO15" s="412"/>
      <c r="BPP15" s="412"/>
      <c r="BPQ15" s="412"/>
      <c r="BPR15" s="412"/>
      <c r="BPS15" s="412"/>
      <c r="BPT15" s="412"/>
      <c r="BPU15" s="412"/>
      <c r="BPV15" s="412"/>
      <c r="BPW15" s="412"/>
      <c r="BPX15" s="412"/>
      <c r="BPY15" s="412"/>
      <c r="BPZ15" s="412"/>
      <c r="BQA15" s="412"/>
      <c r="BQB15" s="412"/>
      <c r="BQC15" s="412"/>
      <c r="BQD15" s="412"/>
      <c r="BQE15" s="412"/>
      <c r="BQF15" s="412"/>
      <c r="BQG15" s="412"/>
      <c r="BQH15" s="412"/>
      <c r="BQI15" s="412"/>
      <c r="BQJ15" s="412"/>
      <c r="BQK15" s="412"/>
      <c r="BQL15" s="412"/>
      <c r="BQM15" s="412"/>
      <c r="BQN15" s="412"/>
      <c r="BQO15" s="412"/>
      <c r="BQP15" s="412"/>
      <c r="BQQ15" s="412"/>
      <c r="BQR15" s="412"/>
      <c r="BQS15" s="412"/>
      <c r="BQT15" s="412"/>
      <c r="BQU15" s="412"/>
      <c r="BQV15" s="412"/>
      <c r="BQW15" s="412"/>
      <c r="BQX15" s="412"/>
      <c r="BQY15" s="412"/>
      <c r="BQZ15" s="412"/>
      <c r="BRA15" s="412"/>
      <c r="BRB15" s="412"/>
      <c r="BRC15" s="412"/>
      <c r="BRD15" s="412"/>
      <c r="BRE15" s="412"/>
      <c r="BRF15" s="412"/>
      <c r="BRG15" s="412"/>
      <c r="BRH15" s="412"/>
      <c r="BRI15" s="412"/>
      <c r="BRJ15" s="412"/>
      <c r="BRK15" s="412"/>
      <c r="BRL15" s="412"/>
      <c r="BRM15" s="412"/>
      <c r="BRN15" s="412"/>
      <c r="BRO15" s="412"/>
      <c r="BRP15" s="412"/>
      <c r="BRQ15" s="412"/>
      <c r="BRR15" s="412"/>
      <c r="BRS15" s="412"/>
      <c r="BRT15" s="412"/>
      <c r="BRU15" s="412"/>
      <c r="BRV15" s="412"/>
      <c r="BRW15" s="412"/>
      <c r="BRX15" s="412"/>
      <c r="BRY15" s="412"/>
      <c r="BRZ15" s="412"/>
      <c r="BSA15" s="412"/>
      <c r="BSB15" s="412"/>
      <c r="BSC15" s="412"/>
      <c r="BSD15" s="412"/>
      <c r="BSE15" s="412"/>
      <c r="BSF15" s="412"/>
      <c r="BSG15" s="412"/>
      <c r="BSH15" s="412"/>
      <c r="BSI15" s="412"/>
      <c r="BSJ15" s="412"/>
      <c r="BSK15" s="412"/>
      <c r="BSL15" s="412"/>
      <c r="BSM15" s="412"/>
      <c r="BSN15" s="412"/>
      <c r="BSO15" s="412"/>
      <c r="BSP15" s="412"/>
      <c r="BSQ15" s="412"/>
      <c r="BSR15" s="412"/>
      <c r="BSS15" s="412"/>
      <c r="BST15" s="412"/>
      <c r="BSU15" s="412"/>
      <c r="BSV15" s="412"/>
      <c r="BSW15" s="412"/>
      <c r="BSX15" s="412"/>
      <c r="BSY15" s="412"/>
      <c r="BSZ15" s="412"/>
      <c r="BTA15" s="412"/>
      <c r="BTB15" s="412"/>
      <c r="BTC15" s="412"/>
      <c r="BTD15" s="412"/>
      <c r="BTE15" s="412"/>
      <c r="BTF15" s="412"/>
      <c r="BTG15" s="412"/>
      <c r="BTH15" s="412"/>
      <c r="BTI15" s="412"/>
    </row>
    <row r="16" spans="1:1881" s="393" customFormat="1" ht="69" customHeight="1" thickBot="1" x14ac:dyDescent="0.3">
      <c r="A16" s="473">
        <v>630</v>
      </c>
      <c r="B16" s="474" t="s">
        <v>835</v>
      </c>
      <c r="C16" s="470" t="s">
        <v>136</v>
      </c>
      <c r="D16" s="471" t="s">
        <v>1089</v>
      </c>
      <c r="E16" s="893" t="s">
        <v>837</v>
      </c>
      <c r="F16" s="647"/>
      <c r="G16" s="475">
        <f>IF(F16&gt;F12,"Please review account numbers 630 &gt; 626",)</f>
        <v>0</v>
      </c>
      <c r="H16" s="456"/>
      <c r="I16" s="457"/>
      <c r="J16" s="368"/>
      <c r="K16" s="412"/>
      <c r="L16" s="865" t="s">
        <v>1114</v>
      </c>
      <c r="M16" s="633"/>
      <c r="N16" s="656"/>
      <c r="O16" s="412"/>
      <c r="P16" s="412"/>
      <c r="Q16" s="412"/>
      <c r="R16" s="412"/>
      <c r="S16" s="412"/>
      <c r="T16" s="412"/>
      <c r="U16" s="412"/>
      <c r="V16" s="412"/>
      <c r="W16" s="412"/>
      <c r="X16" s="412"/>
      <c r="Y16" s="412"/>
      <c r="Z16" s="412"/>
      <c r="AA16" s="412"/>
      <c r="AB16" s="412"/>
      <c r="AC16" s="412"/>
      <c r="AD16" s="412"/>
      <c r="AE16" s="412"/>
      <c r="AF16" s="412"/>
      <c r="AG16" s="412"/>
      <c r="AH16" s="412"/>
      <c r="AI16" s="412"/>
      <c r="AJ16" s="412"/>
      <c r="AK16" s="412"/>
      <c r="AL16" s="412"/>
      <c r="AM16" s="412"/>
      <c r="AN16" s="412"/>
      <c r="AO16" s="412"/>
      <c r="AP16" s="412"/>
      <c r="AQ16" s="412"/>
      <c r="AR16" s="412"/>
      <c r="AS16" s="412"/>
      <c r="AT16" s="412"/>
      <c r="AU16" s="412"/>
      <c r="AV16" s="412"/>
      <c r="AW16" s="412"/>
      <c r="AX16" s="412"/>
      <c r="AY16" s="412"/>
      <c r="AZ16" s="412"/>
      <c r="BA16" s="412"/>
      <c r="BB16" s="412"/>
      <c r="BC16" s="412"/>
      <c r="BD16" s="412"/>
      <c r="BE16" s="412"/>
      <c r="BF16" s="412"/>
      <c r="BG16" s="412"/>
      <c r="BH16" s="412"/>
      <c r="BI16" s="412"/>
      <c r="BJ16" s="412"/>
      <c r="BK16" s="412"/>
      <c r="BL16" s="412"/>
      <c r="BM16" s="412"/>
      <c r="BN16" s="412"/>
      <c r="BO16" s="412"/>
      <c r="BP16" s="412"/>
      <c r="BQ16" s="412"/>
      <c r="BR16" s="412"/>
      <c r="BS16" s="412"/>
      <c r="BT16" s="412"/>
      <c r="BU16" s="412"/>
      <c r="BV16" s="412"/>
      <c r="BW16" s="412"/>
      <c r="BX16" s="412"/>
      <c r="BY16" s="412"/>
      <c r="BZ16" s="412"/>
      <c r="CA16" s="412"/>
      <c r="CB16" s="412"/>
      <c r="CC16" s="412"/>
      <c r="CD16" s="412"/>
      <c r="CE16" s="412"/>
      <c r="CF16" s="412"/>
      <c r="CG16" s="412"/>
      <c r="CH16" s="412"/>
      <c r="CI16" s="412"/>
      <c r="CJ16" s="412"/>
      <c r="CK16" s="412"/>
      <c r="CL16" s="412"/>
      <c r="CM16" s="412"/>
      <c r="CN16" s="412"/>
      <c r="CO16" s="412"/>
      <c r="CP16" s="412"/>
      <c r="CQ16" s="412"/>
      <c r="CR16" s="412"/>
      <c r="CS16" s="412"/>
      <c r="CT16" s="412"/>
      <c r="CU16" s="412"/>
      <c r="CV16" s="412"/>
      <c r="CW16" s="412"/>
      <c r="CX16" s="412"/>
      <c r="CY16" s="412"/>
      <c r="CZ16" s="412"/>
      <c r="DA16" s="412"/>
      <c r="DB16" s="412"/>
      <c r="DC16" s="412"/>
      <c r="DD16" s="412"/>
      <c r="DE16" s="412"/>
      <c r="DF16" s="412"/>
      <c r="DG16" s="412"/>
      <c r="DH16" s="412"/>
      <c r="DI16" s="412"/>
      <c r="DJ16" s="412"/>
      <c r="DK16" s="412"/>
      <c r="DL16" s="412"/>
      <c r="DM16" s="412"/>
      <c r="DN16" s="412"/>
      <c r="DO16" s="412"/>
      <c r="DP16" s="412"/>
      <c r="DQ16" s="412"/>
      <c r="DR16" s="412"/>
      <c r="DS16" s="412"/>
      <c r="DT16" s="412"/>
      <c r="DU16" s="412"/>
      <c r="DV16" s="412"/>
      <c r="DW16" s="412"/>
      <c r="DX16" s="412"/>
      <c r="DY16" s="412"/>
      <c r="DZ16" s="412"/>
      <c r="EA16" s="412"/>
      <c r="EB16" s="412"/>
      <c r="EC16" s="412"/>
      <c r="ED16" s="412"/>
      <c r="EE16" s="412"/>
      <c r="EF16" s="412"/>
      <c r="EG16" s="412"/>
      <c r="EH16" s="412"/>
      <c r="EI16" s="412"/>
      <c r="EJ16" s="412"/>
      <c r="EK16" s="412"/>
      <c r="EL16" s="412"/>
      <c r="EM16" s="412"/>
      <c r="EN16" s="412"/>
      <c r="EO16" s="412"/>
      <c r="EP16" s="412"/>
      <c r="EQ16" s="412"/>
      <c r="ER16" s="412"/>
      <c r="ES16" s="412"/>
      <c r="ET16" s="412"/>
      <c r="EU16" s="412"/>
      <c r="EV16" s="412"/>
      <c r="EW16" s="412"/>
      <c r="EX16" s="412"/>
      <c r="EY16" s="412"/>
      <c r="EZ16" s="412"/>
      <c r="FA16" s="412"/>
      <c r="FB16" s="412"/>
      <c r="FC16" s="412"/>
      <c r="FD16" s="412"/>
      <c r="FE16" s="412"/>
      <c r="FF16" s="412"/>
      <c r="FG16" s="412"/>
      <c r="FH16" s="412"/>
      <c r="FI16" s="412"/>
      <c r="FJ16" s="412"/>
      <c r="FK16" s="412"/>
      <c r="FL16" s="412"/>
      <c r="FM16" s="412"/>
      <c r="FN16" s="412"/>
      <c r="FO16" s="412"/>
      <c r="FP16" s="412"/>
      <c r="FQ16" s="412"/>
      <c r="FR16" s="412"/>
      <c r="FS16" s="412"/>
      <c r="FT16" s="412"/>
      <c r="FU16" s="412"/>
      <c r="FV16" s="412"/>
      <c r="FW16" s="412"/>
      <c r="FX16" s="412"/>
      <c r="FY16" s="412"/>
      <c r="FZ16" s="412"/>
      <c r="GA16" s="412"/>
      <c r="GB16" s="412"/>
      <c r="GC16" s="412"/>
      <c r="GD16" s="412"/>
      <c r="GE16" s="412"/>
      <c r="GF16" s="412"/>
      <c r="GG16" s="412"/>
      <c r="GH16" s="412"/>
      <c r="GI16" s="412"/>
      <c r="GJ16" s="412"/>
      <c r="GK16" s="412"/>
      <c r="GL16" s="412"/>
      <c r="GM16" s="412"/>
      <c r="GN16" s="412"/>
      <c r="GO16" s="412"/>
      <c r="GP16" s="412"/>
      <c r="GQ16" s="412"/>
      <c r="GR16" s="412"/>
      <c r="GS16" s="412"/>
      <c r="GT16" s="412"/>
      <c r="GU16" s="412"/>
      <c r="GV16" s="412"/>
      <c r="GW16" s="412"/>
      <c r="GX16" s="412"/>
      <c r="GY16" s="412"/>
      <c r="GZ16" s="412"/>
      <c r="HA16" s="412"/>
      <c r="HB16" s="412"/>
      <c r="HC16" s="412"/>
      <c r="HD16" s="412"/>
      <c r="HE16" s="412"/>
      <c r="HF16" s="412"/>
      <c r="HG16" s="412"/>
      <c r="HH16" s="412"/>
      <c r="HI16" s="412"/>
      <c r="HJ16" s="412"/>
      <c r="HK16" s="412"/>
      <c r="HL16" s="412"/>
      <c r="HM16" s="412"/>
      <c r="HN16" s="412"/>
      <c r="HO16" s="412"/>
      <c r="HP16" s="412"/>
      <c r="HQ16" s="412"/>
      <c r="HR16" s="412"/>
      <c r="HS16" s="412"/>
      <c r="HT16" s="412"/>
      <c r="HU16" s="412"/>
      <c r="HV16" s="412"/>
      <c r="HW16" s="412"/>
      <c r="HX16" s="412"/>
      <c r="HY16" s="412"/>
      <c r="HZ16" s="412"/>
      <c r="IA16" s="412"/>
      <c r="IB16" s="412"/>
      <c r="IC16" s="412"/>
      <c r="ID16" s="412"/>
      <c r="IE16" s="412"/>
      <c r="IF16" s="412"/>
      <c r="IG16" s="412"/>
      <c r="IH16" s="412"/>
      <c r="II16" s="412"/>
      <c r="IJ16" s="412"/>
      <c r="IK16" s="412"/>
      <c r="IL16" s="412"/>
      <c r="IM16" s="412"/>
      <c r="IN16" s="412"/>
      <c r="IO16" s="412"/>
      <c r="IP16" s="412"/>
      <c r="IQ16" s="412"/>
      <c r="IR16" s="412"/>
      <c r="IS16" s="412"/>
      <c r="IT16" s="412"/>
      <c r="IU16" s="412"/>
      <c r="IV16" s="412"/>
      <c r="IW16" s="412"/>
      <c r="IX16" s="412"/>
      <c r="IY16" s="412"/>
      <c r="IZ16" s="412"/>
      <c r="JA16" s="412"/>
      <c r="JB16" s="412"/>
      <c r="JC16" s="412"/>
      <c r="JD16" s="412"/>
      <c r="JE16" s="412"/>
      <c r="JF16" s="412"/>
      <c r="JG16" s="412"/>
      <c r="JH16" s="412"/>
      <c r="JI16" s="412"/>
      <c r="JJ16" s="412"/>
      <c r="JK16" s="412"/>
      <c r="JL16" s="412"/>
      <c r="JM16" s="412"/>
      <c r="JN16" s="412"/>
      <c r="JO16" s="412"/>
      <c r="JP16" s="412"/>
      <c r="JQ16" s="412"/>
      <c r="JR16" s="412"/>
      <c r="JS16" s="412"/>
      <c r="JT16" s="412"/>
      <c r="JU16" s="412"/>
      <c r="JV16" s="412"/>
      <c r="JW16" s="412"/>
      <c r="JX16" s="412"/>
      <c r="JY16" s="412"/>
      <c r="JZ16" s="412"/>
      <c r="KA16" s="412"/>
      <c r="KB16" s="412"/>
      <c r="KC16" s="412"/>
      <c r="KD16" s="412"/>
      <c r="KE16" s="412"/>
      <c r="KF16" s="412"/>
      <c r="KG16" s="412"/>
      <c r="KH16" s="412"/>
      <c r="KI16" s="412"/>
      <c r="KJ16" s="412"/>
      <c r="KK16" s="412"/>
      <c r="KL16" s="412"/>
      <c r="KM16" s="412"/>
      <c r="KN16" s="412"/>
      <c r="KO16" s="412"/>
      <c r="KP16" s="412"/>
      <c r="KQ16" s="412"/>
      <c r="KR16" s="412"/>
      <c r="KS16" s="412"/>
      <c r="KT16" s="412"/>
      <c r="KU16" s="412"/>
      <c r="KV16" s="412"/>
      <c r="KW16" s="412"/>
      <c r="KX16" s="412"/>
      <c r="KY16" s="412"/>
      <c r="KZ16" s="412"/>
      <c r="LA16" s="412"/>
      <c r="LB16" s="412"/>
      <c r="LC16" s="412"/>
      <c r="LD16" s="412"/>
      <c r="LE16" s="412"/>
      <c r="LF16" s="412"/>
      <c r="LG16" s="412"/>
      <c r="LH16" s="412"/>
      <c r="LI16" s="412"/>
      <c r="LJ16" s="412"/>
      <c r="LK16" s="412"/>
      <c r="LL16" s="412"/>
      <c r="LM16" s="412"/>
      <c r="LN16" s="412"/>
      <c r="LO16" s="412"/>
      <c r="LP16" s="412"/>
      <c r="LQ16" s="412"/>
      <c r="LR16" s="412"/>
      <c r="LS16" s="412"/>
      <c r="LT16" s="412"/>
      <c r="LU16" s="412"/>
      <c r="LV16" s="412"/>
      <c r="LW16" s="412"/>
      <c r="LX16" s="412"/>
      <c r="LY16" s="412"/>
      <c r="LZ16" s="412"/>
      <c r="MA16" s="412"/>
      <c r="MB16" s="412"/>
      <c r="MC16" s="412"/>
      <c r="MD16" s="412"/>
      <c r="ME16" s="412"/>
      <c r="MF16" s="412"/>
      <c r="MG16" s="412"/>
      <c r="MH16" s="412"/>
      <c r="MI16" s="412"/>
      <c r="MJ16" s="412"/>
      <c r="MK16" s="412"/>
      <c r="ML16" s="412"/>
      <c r="MM16" s="412"/>
      <c r="MN16" s="412"/>
      <c r="MO16" s="412"/>
      <c r="MP16" s="412"/>
      <c r="MQ16" s="412"/>
      <c r="MR16" s="412"/>
      <c r="MS16" s="412"/>
      <c r="MT16" s="412"/>
      <c r="MU16" s="412"/>
      <c r="MV16" s="412"/>
      <c r="MW16" s="412"/>
      <c r="MX16" s="412"/>
      <c r="MY16" s="412"/>
      <c r="MZ16" s="412"/>
      <c r="NA16" s="412"/>
      <c r="NB16" s="412"/>
      <c r="NC16" s="412"/>
      <c r="ND16" s="412"/>
      <c r="NE16" s="412"/>
      <c r="NF16" s="412"/>
      <c r="NG16" s="412"/>
      <c r="NH16" s="412"/>
      <c r="NI16" s="412"/>
      <c r="NJ16" s="412"/>
      <c r="NK16" s="412"/>
      <c r="NL16" s="412"/>
      <c r="NM16" s="412"/>
      <c r="NN16" s="412"/>
      <c r="NO16" s="412"/>
      <c r="NP16" s="412"/>
      <c r="NQ16" s="412"/>
      <c r="NR16" s="412"/>
      <c r="NS16" s="412"/>
      <c r="NT16" s="412"/>
      <c r="NU16" s="412"/>
      <c r="NV16" s="412"/>
      <c r="NW16" s="412"/>
      <c r="NX16" s="412"/>
      <c r="NY16" s="412"/>
      <c r="NZ16" s="412"/>
      <c r="OA16" s="412"/>
      <c r="OB16" s="412"/>
      <c r="OC16" s="412"/>
      <c r="OD16" s="412"/>
      <c r="OE16" s="412"/>
      <c r="OF16" s="412"/>
      <c r="OG16" s="412"/>
      <c r="OH16" s="412"/>
      <c r="OI16" s="412"/>
      <c r="OJ16" s="412"/>
      <c r="OK16" s="412"/>
      <c r="OL16" s="412"/>
      <c r="OM16" s="412"/>
      <c r="ON16" s="412"/>
      <c r="OO16" s="412"/>
      <c r="OP16" s="412"/>
      <c r="OQ16" s="412"/>
      <c r="OR16" s="412"/>
      <c r="OS16" s="412"/>
      <c r="OT16" s="412"/>
      <c r="OU16" s="412"/>
      <c r="OV16" s="412"/>
      <c r="OW16" s="412"/>
      <c r="OX16" s="412"/>
      <c r="OY16" s="412"/>
      <c r="OZ16" s="412"/>
      <c r="PA16" s="412"/>
      <c r="PB16" s="412"/>
      <c r="PC16" s="412"/>
      <c r="PD16" s="412"/>
      <c r="PE16" s="412"/>
      <c r="PF16" s="412"/>
      <c r="PG16" s="412"/>
      <c r="PH16" s="412"/>
      <c r="PI16" s="412"/>
      <c r="PJ16" s="412"/>
      <c r="PK16" s="412"/>
      <c r="PL16" s="412"/>
      <c r="PM16" s="412"/>
      <c r="PN16" s="412"/>
      <c r="PO16" s="412"/>
      <c r="PP16" s="412"/>
      <c r="PQ16" s="412"/>
      <c r="PR16" s="412"/>
      <c r="PS16" s="412"/>
      <c r="PT16" s="412"/>
      <c r="PU16" s="412"/>
      <c r="PV16" s="412"/>
      <c r="PW16" s="412"/>
      <c r="PX16" s="412"/>
      <c r="PY16" s="412"/>
      <c r="PZ16" s="412"/>
      <c r="QA16" s="412"/>
      <c r="QB16" s="412"/>
      <c r="QC16" s="412"/>
      <c r="QD16" s="412"/>
      <c r="QE16" s="412"/>
      <c r="QF16" s="412"/>
      <c r="QG16" s="412"/>
      <c r="QH16" s="412"/>
      <c r="QI16" s="412"/>
      <c r="QJ16" s="412"/>
      <c r="QK16" s="412"/>
      <c r="QL16" s="412"/>
      <c r="QM16" s="412"/>
      <c r="QN16" s="412"/>
      <c r="QO16" s="412"/>
      <c r="QP16" s="412"/>
      <c r="QQ16" s="412"/>
      <c r="QR16" s="412"/>
      <c r="QS16" s="412"/>
      <c r="QT16" s="412"/>
      <c r="QU16" s="412"/>
      <c r="QV16" s="412"/>
      <c r="QW16" s="412"/>
      <c r="QX16" s="412"/>
      <c r="QY16" s="412"/>
      <c r="QZ16" s="412"/>
      <c r="RA16" s="412"/>
      <c r="RB16" s="412"/>
      <c r="RC16" s="412"/>
      <c r="RD16" s="412"/>
      <c r="RE16" s="412"/>
      <c r="RF16" s="412"/>
      <c r="RG16" s="412"/>
      <c r="RH16" s="412"/>
      <c r="RI16" s="412"/>
      <c r="RJ16" s="412"/>
      <c r="RK16" s="412"/>
      <c r="RL16" s="412"/>
      <c r="RM16" s="412"/>
      <c r="RN16" s="412"/>
      <c r="RO16" s="412"/>
      <c r="RP16" s="412"/>
      <c r="RQ16" s="412"/>
      <c r="RR16" s="412"/>
      <c r="RS16" s="412"/>
      <c r="RT16" s="412"/>
      <c r="RU16" s="412"/>
      <c r="RV16" s="412"/>
      <c r="RW16" s="412"/>
      <c r="RX16" s="412"/>
      <c r="RY16" s="412"/>
      <c r="RZ16" s="412"/>
      <c r="SA16" s="412"/>
      <c r="SB16" s="412"/>
      <c r="SC16" s="412"/>
      <c r="SD16" s="412"/>
      <c r="SE16" s="412"/>
      <c r="SF16" s="412"/>
      <c r="SG16" s="412"/>
      <c r="SH16" s="412"/>
      <c r="SI16" s="412"/>
      <c r="SJ16" s="412"/>
      <c r="SK16" s="412"/>
      <c r="SL16" s="412"/>
      <c r="SM16" s="412"/>
      <c r="SN16" s="412"/>
      <c r="SO16" s="412"/>
      <c r="SP16" s="412"/>
      <c r="SQ16" s="412"/>
      <c r="SR16" s="412"/>
      <c r="SS16" s="412"/>
      <c r="ST16" s="412"/>
      <c r="SU16" s="412"/>
      <c r="SV16" s="412"/>
      <c r="SW16" s="412"/>
      <c r="SX16" s="412"/>
      <c r="SY16" s="412"/>
      <c r="SZ16" s="412"/>
      <c r="TA16" s="412"/>
      <c r="TB16" s="412"/>
      <c r="TC16" s="412"/>
      <c r="TD16" s="412"/>
      <c r="TE16" s="412"/>
      <c r="TF16" s="412"/>
      <c r="TG16" s="412"/>
      <c r="TH16" s="412"/>
      <c r="TI16" s="412"/>
      <c r="TJ16" s="412"/>
      <c r="TK16" s="412"/>
      <c r="TL16" s="412"/>
      <c r="TM16" s="412"/>
      <c r="TN16" s="412"/>
      <c r="TO16" s="412"/>
      <c r="TP16" s="412"/>
      <c r="TQ16" s="412"/>
      <c r="TR16" s="412"/>
      <c r="TS16" s="412"/>
      <c r="TT16" s="412"/>
      <c r="TU16" s="412"/>
      <c r="TV16" s="412"/>
      <c r="TW16" s="412"/>
      <c r="TX16" s="412"/>
      <c r="TY16" s="412"/>
      <c r="TZ16" s="412"/>
      <c r="UA16" s="412"/>
      <c r="UB16" s="412"/>
      <c r="UC16" s="412"/>
      <c r="UD16" s="412"/>
      <c r="UE16" s="412"/>
      <c r="UF16" s="412"/>
      <c r="UG16" s="412"/>
      <c r="UH16" s="412"/>
      <c r="UI16" s="412"/>
      <c r="UJ16" s="412"/>
      <c r="UK16" s="412"/>
      <c r="UL16" s="412"/>
      <c r="UM16" s="412"/>
      <c r="UN16" s="412"/>
      <c r="UO16" s="412"/>
      <c r="UP16" s="412"/>
      <c r="UQ16" s="412"/>
      <c r="UR16" s="412"/>
      <c r="US16" s="412"/>
      <c r="UT16" s="412"/>
      <c r="UU16" s="412"/>
      <c r="UV16" s="412"/>
      <c r="UW16" s="412"/>
      <c r="UX16" s="412"/>
      <c r="UY16" s="412"/>
      <c r="UZ16" s="412"/>
      <c r="VA16" s="412"/>
      <c r="VB16" s="412"/>
      <c r="VC16" s="412"/>
      <c r="VD16" s="412"/>
      <c r="VE16" s="412"/>
      <c r="VF16" s="412"/>
      <c r="VG16" s="412"/>
      <c r="VH16" s="412"/>
      <c r="VI16" s="412"/>
      <c r="VJ16" s="412"/>
      <c r="VK16" s="412"/>
      <c r="VL16" s="412"/>
      <c r="VM16" s="412"/>
      <c r="VN16" s="412"/>
      <c r="VO16" s="412"/>
      <c r="VP16" s="412"/>
      <c r="VQ16" s="412"/>
      <c r="VR16" s="412"/>
      <c r="VS16" s="412"/>
      <c r="VT16" s="412"/>
      <c r="VU16" s="412"/>
      <c r="VV16" s="412"/>
      <c r="VW16" s="412"/>
      <c r="VX16" s="412"/>
      <c r="VY16" s="412"/>
      <c r="VZ16" s="412"/>
      <c r="WA16" s="412"/>
      <c r="WB16" s="412"/>
      <c r="WC16" s="412"/>
      <c r="WD16" s="412"/>
      <c r="WE16" s="412"/>
      <c r="WF16" s="412"/>
      <c r="WG16" s="412"/>
      <c r="WH16" s="412"/>
      <c r="WI16" s="412"/>
      <c r="WJ16" s="412"/>
      <c r="WK16" s="412"/>
      <c r="WL16" s="412"/>
      <c r="WM16" s="412"/>
      <c r="WN16" s="412"/>
      <c r="WO16" s="412"/>
      <c r="WP16" s="412"/>
      <c r="WQ16" s="412"/>
      <c r="WR16" s="412"/>
      <c r="WS16" s="412"/>
      <c r="WT16" s="412"/>
      <c r="WU16" s="412"/>
      <c r="WV16" s="412"/>
      <c r="WW16" s="412"/>
      <c r="WX16" s="412"/>
      <c r="WY16" s="412"/>
      <c r="WZ16" s="412"/>
      <c r="XA16" s="412"/>
      <c r="XB16" s="412"/>
      <c r="XC16" s="412"/>
      <c r="XD16" s="412"/>
      <c r="XE16" s="412"/>
      <c r="XF16" s="412"/>
      <c r="XG16" s="412"/>
      <c r="XH16" s="412"/>
      <c r="XI16" s="412"/>
      <c r="XJ16" s="412"/>
      <c r="XK16" s="412"/>
      <c r="XL16" s="412"/>
      <c r="XM16" s="412"/>
      <c r="XN16" s="412"/>
      <c r="XO16" s="412"/>
      <c r="XP16" s="412"/>
      <c r="XQ16" s="412"/>
      <c r="XR16" s="412"/>
      <c r="XS16" s="412"/>
      <c r="XT16" s="412"/>
      <c r="XU16" s="412"/>
      <c r="XV16" s="412"/>
      <c r="XW16" s="412"/>
      <c r="XX16" s="412"/>
      <c r="XY16" s="412"/>
      <c r="XZ16" s="412"/>
      <c r="YA16" s="412"/>
      <c r="YB16" s="412"/>
      <c r="YC16" s="412"/>
      <c r="YD16" s="412"/>
      <c r="YE16" s="412"/>
      <c r="YF16" s="412"/>
      <c r="YG16" s="412"/>
      <c r="YH16" s="412"/>
      <c r="YI16" s="412"/>
      <c r="YJ16" s="412"/>
      <c r="YK16" s="412"/>
      <c r="YL16" s="412"/>
      <c r="YM16" s="412"/>
      <c r="YN16" s="412"/>
      <c r="YO16" s="412"/>
      <c r="YP16" s="412"/>
      <c r="YQ16" s="412"/>
      <c r="YR16" s="412"/>
      <c r="YS16" s="412"/>
      <c r="YT16" s="412"/>
      <c r="YU16" s="412"/>
      <c r="YV16" s="412"/>
      <c r="YW16" s="412"/>
      <c r="YX16" s="412"/>
      <c r="YY16" s="412"/>
      <c r="YZ16" s="412"/>
      <c r="ZA16" s="412"/>
      <c r="ZB16" s="412"/>
      <c r="ZC16" s="412"/>
      <c r="ZD16" s="412"/>
      <c r="ZE16" s="412"/>
      <c r="ZF16" s="412"/>
      <c r="ZG16" s="412"/>
      <c r="ZH16" s="412"/>
      <c r="ZI16" s="412"/>
      <c r="ZJ16" s="412"/>
      <c r="ZK16" s="412"/>
      <c r="ZL16" s="412"/>
      <c r="ZM16" s="412"/>
      <c r="ZN16" s="412"/>
      <c r="ZO16" s="412"/>
      <c r="ZP16" s="412"/>
      <c r="ZQ16" s="412"/>
      <c r="ZR16" s="412"/>
      <c r="ZS16" s="412"/>
      <c r="ZT16" s="412"/>
      <c r="ZU16" s="412"/>
      <c r="ZV16" s="412"/>
      <c r="ZW16" s="412"/>
      <c r="ZX16" s="412"/>
      <c r="ZY16" s="412"/>
      <c r="ZZ16" s="412"/>
      <c r="AAA16" s="412"/>
      <c r="AAB16" s="412"/>
      <c r="AAC16" s="412"/>
      <c r="AAD16" s="412"/>
      <c r="AAE16" s="412"/>
      <c r="AAF16" s="412"/>
      <c r="AAG16" s="412"/>
      <c r="AAH16" s="412"/>
      <c r="AAI16" s="412"/>
      <c r="AAJ16" s="412"/>
      <c r="AAK16" s="412"/>
      <c r="AAL16" s="412"/>
      <c r="AAM16" s="412"/>
      <c r="AAN16" s="412"/>
      <c r="AAO16" s="412"/>
      <c r="AAP16" s="412"/>
      <c r="AAQ16" s="412"/>
      <c r="AAR16" s="412"/>
      <c r="AAS16" s="412"/>
      <c r="AAT16" s="412"/>
      <c r="AAU16" s="412"/>
      <c r="AAV16" s="412"/>
      <c r="AAW16" s="412"/>
      <c r="AAX16" s="412"/>
      <c r="AAY16" s="412"/>
      <c r="AAZ16" s="412"/>
      <c r="ABA16" s="412"/>
      <c r="ABB16" s="412"/>
      <c r="ABC16" s="412"/>
      <c r="ABD16" s="412"/>
      <c r="ABE16" s="412"/>
      <c r="ABF16" s="412"/>
      <c r="ABG16" s="412"/>
      <c r="ABH16" s="412"/>
      <c r="ABI16" s="412"/>
      <c r="ABJ16" s="412"/>
      <c r="ABK16" s="412"/>
      <c r="ABL16" s="412"/>
      <c r="ABM16" s="412"/>
      <c r="ABN16" s="412"/>
      <c r="ABO16" s="412"/>
      <c r="ABP16" s="412"/>
      <c r="ABQ16" s="412"/>
      <c r="ABR16" s="412"/>
      <c r="ABS16" s="412"/>
      <c r="ABT16" s="412"/>
      <c r="ABU16" s="412"/>
      <c r="ABV16" s="412"/>
      <c r="ABW16" s="412"/>
      <c r="ABX16" s="412"/>
      <c r="ABY16" s="412"/>
      <c r="ABZ16" s="412"/>
      <c r="ACA16" s="412"/>
      <c r="ACB16" s="412"/>
      <c r="ACC16" s="412"/>
      <c r="ACD16" s="412"/>
      <c r="ACE16" s="412"/>
      <c r="ACF16" s="412"/>
      <c r="ACG16" s="412"/>
      <c r="ACH16" s="412"/>
      <c r="ACI16" s="412"/>
      <c r="ACJ16" s="412"/>
      <c r="ACK16" s="412"/>
      <c r="ACL16" s="412"/>
      <c r="ACM16" s="412"/>
      <c r="ACN16" s="412"/>
      <c r="ACO16" s="412"/>
      <c r="ACP16" s="412"/>
      <c r="ACQ16" s="412"/>
      <c r="ACR16" s="412"/>
      <c r="ACS16" s="412"/>
      <c r="ACT16" s="412"/>
      <c r="ACU16" s="412"/>
      <c r="ACV16" s="412"/>
      <c r="ACW16" s="412"/>
      <c r="ACX16" s="412"/>
      <c r="ACY16" s="412"/>
      <c r="ACZ16" s="412"/>
      <c r="ADA16" s="412"/>
      <c r="ADB16" s="412"/>
      <c r="ADC16" s="412"/>
      <c r="ADD16" s="412"/>
      <c r="ADE16" s="412"/>
      <c r="ADF16" s="412"/>
      <c r="ADG16" s="412"/>
      <c r="ADH16" s="412"/>
      <c r="ADI16" s="412"/>
      <c r="ADJ16" s="412"/>
      <c r="ADK16" s="412"/>
      <c r="ADL16" s="412"/>
      <c r="ADM16" s="412"/>
      <c r="ADN16" s="412"/>
      <c r="ADO16" s="412"/>
      <c r="ADP16" s="412"/>
      <c r="ADQ16" s="412"/>
      <c r="ADR16" s="412"/>
      <c r="ADS16" s="412"/>
      <c r="ADT16" s="412"/>
      <c r="ADU16" s="412"/>
      <c r="ADV16" s="412"/>
      <c r="ADW16" s="412"/>
      <c r="ADX16" s="412"/>
      <c r="ADY16" s="412"/>
      <c r="ADZ16" s="412"/>
      <c r="AEA16" s="412"/>
      <c r="AEB16" s="412"/>
      <c r="AEC16" s="412"/>
      <c r="AED16" s="412"/>
      <c r="AEE16" s="412"/>
      <c r="AEF16" s="412"/>
      <c r="AEG16" s="412"/>
      <c r="AEH16" s="412"/>
      <c r="AEI16" s="412"/>
      <c r="AEJ16" s="412"/>
      <c r="AEK16" s="412"/>
      <c r="AEL16" s="412"/>
      <c r="AEM16" s="412"/>
      <c r="AEN16" s="412"/>
      <c r="AEO16" s="412"/>
      <c r="AEP16" s="412"/>
      <c r="AEQ16" s="412"/>
      <c r="AER16" s="412"/>
      <c r="AES16" s="412"/>
      <c r="AET16" s="412"/>
      <c r="AEU16" s="412"/>
      <c r="AEV16" s="412"/>
      <c r="AEW16" s="412"/>
      <c r="AEX16" s="412"/>
      <c r="AEY16" s="412"/>
      <c r="AEZ16" s="412"/>
      <c r="AFA16" s="412"/>
      <c r="AFB16" s="412"/>
      <c r="AFC16" s="412"/>
      <c r="AFD16" s="412"/>
      <c r="AFE16" s="412"/>
      <c r="AFF16" s="412"/>
      <c r="AFG16" s="412"/>
      <c r="AFH16" s="412"/>
      <c r="AFI16" s="412"/>
      <c r="AFJ16" s="412"/>
      <c r="AFK16" s="412"/>
      <c r="AFL16" s="412"/>
      <c r="AFM16" s="412"/>
      <c r="AFN16" s="412"/>
      <c r="AFO16" s="412"/>
      <c r="AFP16" s="412"/>
      <c r="AFQ16" s="412"/>
      <c r="AFR16" s="412"/>
      <c r="AFS16" s="412"/>
      <c r="AFT16" s="412"/>
      <c r="AFU16" s="412"/>
      <c r="AFV16" s="412"/>
      <c r="AFW16" s="412"/>
      <c r="AFX16" s="412"/>
      <c r="AFY16" s="412"/>
      <c r="AFZ16" s="412"/>
      <c r="AGA16" s="412"/>
      <c r="AGB16" s="412"/>
      <c r="AGC16" s="412"/>
      <c r="AGD16" s="412"/>
      <c r="AGE16" s="412"/>
      <c r="AGF16" s="412"/>
      <c r="AGG16" s="412"/>
      <c r="AGH16" s="412"/>
      <c r="AGI16" s="412"/>
      <c r="AGJ16" s="412"/>
      <c r="AGK16" s="412"/>
      <c r="AGL16" s="412"/>
      <c r="AGM16" s="412"/>
      <c r="AGN16" s="412"/>
      <c r="AGO16" s="412"/>
      <c r="AGP16" s="412"/>
      <c r="AGQ16" s="412"/>
      <c r="AGR16" s="412"/>
      <c r="AGS16" s="412"/>
      <c r="AGT16" s="412"/>
      <c r="AGU16" s="412"/>
      <c r="AGV16" s="412"/>
      <c r="AGW16" s="412"/>
      <c r="AGX16" s="412"/>
      <c r="AGY16" s="412"/>
      <c r="AGZ16" s="412"/>
      <c r="AHA16" s="412"/>
      <c r="AHB16" s="412"/>
      <c r="AHC16" s="412"/>
      <c r="AHD16" s="412"/>
      <c r="AHE16" s="412"/>
      <c r="AHF16" s="412"/>
      <c r="AHG16" s="412"/>
      <c r="AHH16" s="412"/>
      <c r="AHI16" s="412"/>
      <c r="AHJ16" s="412"/>
      <c r="AHK16" s="412"/>
      <c r="AHL16" s="412"/>
      <c r="AHM16" s="412"/>
      <c r="AHN16" s="412"/>
      <c r="AHO16" s="412"/>
      <c r="AHP16" s="412"/>
      <c r="AHQ16" s="412"/>
      <c r="AHR16" s="412"/>
      <c r="AHS16" s="412"/>
      <c r="AHT16" s="412"/>
      <c r="AHU16" s="412"/>
      <c r="AHV16" s="412"/>
      <c r="AHW16" s="412"/>
      <c r="AHX16" s="412"/>
      <c r="AHY16" s="412"/>
      <c r="AHZ16" s="412"/>
      <c r="AIA16" s="412"/>
      <c r="AIB16" s="412"/>
      <c r="AIC16" s="412"/>
      <c r="AID16" s="412"/>
      <c r="AIE16" s="412"/>
      <c r="AIF16" s="412"/>
      <c r="AIG16" s="412"/>
      <c r="AIH16" s="412"/>
      <c r="AII16" s="412"/>
      <c r="AIJ16" s="412"/>
      <c r="AIK16" s="412"/>
      <c r="AIL16" s="412"/>
      <c r="AIM16" s="412"/>
      <c r="AIN16" s="412"/>
      <c r="AIO16" s="412"/>
      <c r="AIP16" s="412"/>
      <c r="AIQ16" s="412"/>
      <c r="AIR16" s="412"/>
      <c r="AIS16" s="412"/>
      <c r="AIT16" s="412"/>
      <c r="AIU16" s="412"/>
      <c r="AIV16" s="412"/>
      <c r="AIW16" s="412"/>
      <c r="AIX16" s="412"/>
      <c r="AIY16" s="412"/>
      <c r="AIZ16" s="412"/>
      <c r="AJA16" s="412"/>
      <c r="AJB16" s="412"/>
      <c r="AJC16" s="412"/>
      <c r="AJD16" s="412"/>
      <c r="AJE16" s="412"/>
      <c r="AJF16" s="412"/>
      <c r="AJG16" s="412"/>
      <c r="AJH16" s="412"/>
      <c r="AJI16" s="412"/>
      <c r="AJJ16" s="412"/>
      <c r="AJK16" s="412"/>
      <c r="AJL16" s="412"/>
      <c r="AJM16" s="412"/>
      <c r="AJN16" s="412"/>
      <c r="AJO16" s="412"/>
      <c r="AJP16" s="412"/>
      <c r="AJQ16" s="412"/>
      <c r="AJR16" s="412"/>
      <c r="AJS16" s="412"/>
      <c r="AJT16" s="412"/>
      <c r="AJU16" s="412"/>
      <c r="AJV16" s="412"/>
      <c r="AJW16" s="412"/>
      <c r="AJX16" s="412"/>
      <c r="AJY16" s="412"/>
      <c r="AJZ16" s="412"/>
      <c r="AKA16" s="412"/>
      <c r="AKB16" s="412"/>
      <c r="AKC16" s="412"/>
      <c r="AKD16" s="412"/>
      <c r="AKE16" s="412"/>
      <c r="AKF16" s="412"/>
      <c r="AKG16" s="412"/>
      <c r="AKH16" s="412"/>
      <c r="AKI16" s="412"/>
      <c r="AKJ16" s="412"/>
      <c r="AKK16" s="412"/>
      <c r="AKL16" s="412"/>
      <c r="AKM16" s="412"/>
      <c r="AKN16" s="412"/>
      <c r="AKO16" s="412"/>
      <c r="AKP16" s="412"/>
      <c r="AKQ16" s="412"/>
      <c r="AKR16" s="412"/>
      <c r="AKS16" s="412"/>
      <c r="AKT16" s="412"/>
      <c r="AKU16" s="412"/>
      <c r="AKV16" s="412"/>
      <c r="AKW16" s="412"/>
      <c r="AKX16" s="412"/>
      <c r="AKY16" s="412"/>
      <c r="AKZ16" s="412"/>
      <c r="ALA16" s="412"/>
      <c r="ALB16" s="412"/>
      <c r="ALC16" s="412"/>
      <c r="ALD16" s="412"/>
      <c r="ALE16" s="412"/>
      <c r="ALF16" s="412"/>
      <c r="ALG16" s="412"/>
      <c r="ALH16" s="412"/>
      <c r="ALI16" s="412"/>
      <c r="ALJ16" s="412"/>
      <c r="ALK16" s="412"/>
      <c r="ALL16" s="412"/>
      <c r="ALM16" s="412"/>
      <c r="ALN16" s="412"/>
      <c r="ALO16" s="412"/>
      <c r="ALP16" s="412"/>
      <c r="ALQ16" s="412"/>
      <c r="ALR16" s="412"/>
      <c r="ALS16" s="412"/>
      <c r="ALT16" s="412"/>
      <c r="ALU16" s="412"/>
      <c r="ALV16" s="412"/>
      <c r="ALW16" s="412"/>
      <c r="ALX16" s="412"/>
      <c r="ALY16" s="412"/>
      <c r="ALZ16" s="412"/>
      <c r="AMA16" s="412"/>
      <c r="AMB16" s="412"/>
      <c r="AMC16" s="412"/>
      <c r="AMD16" s="412"/>
      <c r="AME16" s="412"/>
      <c r="AMF16" s="412"/>
      <c r="AMG16" s="412"/>
      <c r="AMH16" s="412"/>
      <c r="AMI16" s="412"/>
      <c r="AMJ16" s="412"/>
      <c r="AMK16" s="412"/>
      <c r="AML16" s="412"/>
      <c r="AMM16" s="412"/>
      <c r="AMN16" s="412"/>
      <c r="AMO16" s="412"/>
      <c r="AMP16" s="412"/>
      <c r="AMQ16" s="412"/>
      <c r="AMR16" s="412"/>
      <c r="AMS16" s="412"/>
      <c r="AMT16" s="412"/>
      <c r="AMU16" s="412"/>
      <c r="AMV16" s="412"/>
      <c r="AMW16" s="412"/>
      <c r="AMX16" s="412"/>
      <c r="AMY16" s="412"/>
      <c r="AMZ16" s="412"/>
      <c r="ANA16" s="412"/>
      <c r="ANB16" s="412"/>
      <c r="ANC16" s="412"/>
      <c r="AND16" s="412"/>
      <c r="ANE16" s="412"/>
      <c r="ANF16" s="412"/>
      <c r="ANG16" s="412"/>
      <c r="ANH16" s="412"/>
      <c r="ANI16" s="412"/>
      <c r="ANJ16" s="412"/>
      <c r="ANK16" s="412"/>
      <c r="ANL16" s="412"/>
      <c r="ANM16" s="412"/>
      <c r="ANN16" s="412"/>
      <c r="ANO16" s="412"/>
      <c r="ANP16" s="412"/>
      <c r="ANQ16" s="412"/>
      <c r="ANR16" s="412"/>
      <c r="ANS16" s="412"/>
      <c r="ANT16" s="412"/>
      <c r="ANU16" s="412"/>
      <c r="ANV16" s="412"/>
      <c r="ANW16" s="412"/>
      <c r="ANX16" s="412"/>
      <c r="ANY16" s="412"/>
      <c r="ANZ16" s="412"/>
      <c r="AOA16" s="412"/>
      <c r="AOB16" s="412"/>
      <c r="AOC16" s="412"/>
      <c r="AOD16" s="412"/>
      <c r="AOE16" s="412"/>
      <c r="AOF16" s="412"/>
      <c r="AOG16" s="412"/>
      <c r="AOH16" s="412"/>
      <c r="AOI16" s="412"/>
      <c r="AOJ16" s="412"/>
      <c r="AOK16" s="412"/>
      <c r="AOL16" s="412"/>
      <c r="AOM16" s="412"/>
      <c r="AON16" s="412"/>
      <c r="AOO16" s="412"/>
      <c r="AOP16" s="412"/>
      <c r="AOQ16" s="412"/>
      <c r="AOR16" s="412"/>
      <c r="AOS16" s="412"/>
      <c r="AOT16" s="412"/>
      <c r="AOU16" s="412"/>
      <c r="AOV16" s="412"/>
      <c r="AOW16" s="412"/>
      <c r="AOX16" s="412"/>
      <c r="AOY16" s="412"/>
      <c r="AOZ16" s="412"/>
      <c r="APA16" s="412"/>
      <c r="APB16" s="412"/>
      <c r="APC16" s="412"/>
      <c r="APD16" s="412"/>
      <c r="APE16" s="412"/>
      <c r="APF16" s="412"/>
      <c r="APG16" s="412"/>
      <c r="APH16" s="412"/>
      <c r="API16" s="412"/>
      <c r="APJ16" s="412"/>
      <c r="APK16" s="412"/>
      <c r="APL16" s="412"/>
      <c r="APM16" s="412"/>
      <c r="APN16" s="412"/>
      <c r="APO16" s="412"/>
      <c r="APP16" s="412"/>
      <c r="APQ16" s="412"/>
      <c r="APR16" s="412"/>
      <c r="APS16" s="412"/>
      <c r="APT16" s="412"/>
      <c r="APU16" s="412"/>
      <c r="APV16" s="412"/>
      <c r="APW16" s="412"/>
      <c r="APX16" s="412"/>
      <c r="APY16" s="412"/>
      <c r="APZ16" s="412"/>
      <c r="AQA16" s="412"/>
      <c r="AQB16" s="412"/>
      <c r="AQC16" s="412"/>
      <c r="AQD16" s="412"/>
      <c r="AQE16" s="412"/>
      <c r="AQF16" s="412"/>
      <c r="AQG16" s="412"/>
      <c r="AQH16" s="412"/>
      <c r="AQI16" s="412"/>
      <c r="AQJ16" s="412"/>
      <c r="AQK16" s="412"/>
      <c r="AQL16" s="412"/>
      <c r="AQM16" s="412"/>
      <c r="AQN16" s="412"/>
      <c r="AQO16" s="412"/>
      <c r="AQP16" s="412"/>
      <c r="AQQ16" s="412"/>
      <c r="AQR16" s="412"/>
      <c r="AQS16" s="412"/>
      <c r="AQT16" s="412"/>
      <c r="AQU16" s="412"/>
      <c r="AQV16" s="412"/>
      <c r="AQW16" s="412"/>
      <c r="AQX16" s="412"/>
      <c r="AQY16" s="412"/>
      <c r="AQZ16" s="412"/>
      <c r="ARA16" s="412"/>
      <c r="ARB16" s="412"/>
      <c r="ARC16" s="412"/>
      <c r="ARD16" s="412"/>
      <c r="ARE16" s="412"/>
      <c r="ARF16" s="412"/>
      <c r="ARG16" s="412"/>
      <c r="ARH16" s="412"/>
      <c r="ARI16" s="412"/>
      <c r="ARJ16" s="412"/>
      <c r="ARK16" s="412"/>
      <c r="ARL16" s="412"/>
      <c r="ARM16" s="412"/>
      <c r="ARN16" s="412"/>
      <c r="ARO16" s="412"/>
      <c r="ARP16" s="412"/>
      <c r="ARQ16" s="412"/>
      <c r="ARR16" s="412"/>
      <c r="ARS16" s="412"/>
      <c r="ART16" s="412"/>
      <c r="ARU16" s="412"/>
      <c r="ARV16" s="412"/>
      <c r="ARW16" s="412"/>
      <c r="ARX16" s="412"/>
      <c r="ARY16" s="412"/>
      <c r="ARZ16" s="412"/>
      <c r="ASA16" s="412"/>
      <c r="ASB16" s="412"/>
      <c r="ASC16" s="412"/>
      <c r="ASD16" s="412"/>
      <c r="ASE16" s="412"/>
      <c r="ASF16" s="412"/>
      <c r="ASG16" s="412"/>
      <c r="ASH16" s="412"/>
      <c r="ASI16" s="412"/>
      <c r="ASJ16" s="412"/>
      <c r="ASK16" s="412"/>
      <c r="ASL16" s="412"/>
      <c r="ASM16" s="412"/>
      <c r="ASN16" s="412"/>
      <c r="ASO16" s="412"/>
      <c r="ASP16" s="412"/>
      <c r="ASQ16" s="412"/>
      <c r="ASR16" s="412"/>
      <c r="ASS16" s="412"/>
      <c r="AST16" s="412"/>
      <c r="ASU16" s="412"/>
      <c r="ASV16" s="412"/>
      <c r="ASW16" s="412"/>
      <c r="ASX16" s="412"/>
      <c r="ASY16" s="412"/>
      <c r="ASZ16" s="412"/>
      <c r="ATA16" s="412"/>
      <c r="ATB16" s="412"/>
      <c r="ATC16" s="412"/>
      <c r="ATD16" s="412"/>
      <c r="ATE16" s="412"/>
      <c r="ATF16" s="412"/>
      <c r="ATG16" s="412"/>
      <c r="ATH16" s="412"/>
      <c r="ATI16" s="412"/>
      <c r="ATJ16" s="412"/>
      <c r="ATK16" s="412"/>
      <c r="ATL16" s="412"/>
      <c r="ATM16" s="412"/>
      <c r="ATN16" s="412"/>
      <c r="ATO16" s="412"/>
      <c r="ATP16" s="412"/>
      <c r="ATQ16" s="412"/>
      <c r="ATR16" s="412"/>
      <c r="ATS16" s="412"/>
      <c r="ATT16" s="412"/>
      <c r="ATU16" s="412"/>
      <c r="ATV16" s="412"/>
      <c r="ATW16" s="412"/>
      <c r="ATX16" s="412"/>
      <c r="ATY16" s="412"/>
      <c r="ATZ16" s="412"/>
      <c r="AUA16" s="412"/>
      <c r="AUB16" s="412"/>
      <c r="AUC16" s="412"/>
      <c r="AUD16" s="412"/>
      <c r="AUE16" s="412"/>
      <c r="AUF16" s="412"/>
      <c r="AUG16" s="412"/>
      <c r="AUH16" s="412"/>
      <c r="AUI16" s="412"/>
      <c r="AUJ16" s="412"/>
      <c r="AUK16" s="412"/>
      <c r="AUL16" s="412"/>
      <c r="AUM16" s="412"/>
      <c r="AUN16" s="412"/>
      <c r="AUO16" s="412"/>
      <c r="AUP16" s="412"/>
      <c r="AUQ16" s="412"/>
      <c r="AUR16" s="412"/>
      <c r="AUS16" s="412"/>
      <c r="AUT16" s="412"/>
      <c r="AUU16" s="412"/>
      <c r="AUV16" s="412"/>
      <c r="AUW16" s="412"/>
      <c r="AUX16" s="412"/>
      <c r="AUY16" s="412"/>
      <c r="AUZ16" s="412"/>
      <c r="AVA16" s="412"/>
      <c r="AVB16" s="412"/>
      <c r="AVC16" s="412"/>
      <c r="AVD16" s="412"/>
      <c r="AVE16" s="412"/>
      <c r="AVF16" s="412"/>
      <c r="AVG16" s="412"/>
      <c r="AVH16" s="412"/>
      <c r="AVI16" s="412"/>
      <c r="AVJ16" s="412"/>
      <c r="AVK16" s="412"/>
      <c r="AVL16" s="412"/>
      <c r="AVM16" s="412"/>
      <c r="AVN16" s="412"/>
      <c r="AVO16" s="412"/>
      <c r="AVP16" s="412"/>
      <c r="AVQ16" s="412"/>
      <c r="AVR16" s="412"/>
      <c r="AVS16" s="412"/>
      <c r="AVT16" s="412"/>
      <c r="AVU16" s="412"/>
      <c r="AVV16" s="412"/>
      <c r="AVW16" s="412"/>
      <c r="AVX16" s="412"/>
      <c r="AVY16" s="412"/>
      <c r="AVZ16" s="412"/>
      <c r="AWA16" s="412"/>
      <c r="AWB16" s="412"/>
      <c r="AWC16" s="412"/>
      <c r="AWD16" s="412"/>
      <c r="AWE16" s="412"/>
      <c r="AWF16" s="412"/>
      <c r="AWG16" s="412"/>
      <c r="AWH16" s="412"/>
      <c r="AWI16" s="412"/>
      <c r="AWJ16" s="412"/>
      <c r="AWK16" s="412"/>
      <c r="AWL16" s="412"/>
      <c r="AWM16" s="412"/>
      <c r="AWN16" s="412"/>
      <c r="AWO16" s="412"/>
      <c r="AWP16" s="412"/>
      <c r="AWQ16" s="412"/>
      <c r="AWR16" s="412"/>
      <c r="AWS16" s="412"/>
      <c r="AWT16" s="412"/>
      <c r="AWU16" s="412"/>
      <c r="AWV16" s="412"/>
      <c r="AWW16" s="412"/>
      <c r="AWX16" s="412"/>
      <c r="AWY16" s="412"/>
      <c r="AWZ16" s="412"/>
      <c r="AXA16" s="412"/>
      <c r="AXB16" s="412"/>
      <c r="AXC16" s="412"/>
      <c r="AXD16" s="412"/>
      <c r="AXE16" s="412"/>
      <c r="AXF16" s="412"/>
      <c r="AXG16" s="412"/>
      <c r="AXH16" s="412"/>
      <c r="AXI16" s="412"/>
      <c r="AXJ16" s="412"/>
      <c r="AXK16" s="412"/>
      <c r="AXL16" s="412"/>
      <c r="AXM16" s="412"/>
      <c r="AXN16" s="412"/>
      <c r="AXO16" s="412"/>
      <c r="AXP16" s="412"/>
      <c r="AXQ16" s="412"/>
      <c r="AXR16" s="412"/>
      <c r="AXS16" s="412"/>
      <c r="AXT16" s="412"/>
      <c r="AXU16" s="412"/>
      <c r="AXV16" s="412"/>
      <c r="AXW16" s="412"/>
      <c r="AXX16" s="412"/>
      <c r="AXY16" s="412"/>
      <c r="AXZ16" s="412"/>
      <c r="AYA16" s="412"/>
      <c r="AYB16" s="412"/>
      <c r="AYC16" s="412"/>
      <c r="AYD16" s="412"/>
      <c r="AYE16" s="412"/>
      <c r="AYF16" s="412"/>
      <c r="AYG16" s="412"/>
      <c r="AYH16" s="412"/>
      <c r="AYI16" s="412"/>
      <c r="AYJ16" s="412"/>
      <c r="AYK16" s="412"/>
      <c r="AYL16" s="412"/>
      <c r="AYM16" s="412"/>
      <c r="AYN16" s="412"/>
      <c r="AYO16" s="412"/>
      <c r="AYP16" s="412"/>
      <c r="AYQ16" s="412"/>
      <c r="AYR16" s="412"/>
      <c r="AYS16" s="412"/>
      <c r="AYT16" s="412"/>
      <c r="AYU16" s="412"/>
      <c r="AYV16" s="412"/>
      <c r="AYW16" s="412"/>
      <c r="AYX16" s="412"/>
      <c r="AYY16" s="412"/>
      <c r="AYZ16" s="412"/>
      <c r="AZA16" s="412"/>
      <c r="AZB16" s="412"/>
      <c r="AZC16" s="412"/>
      <c r="AZD16" s="412"/>
      <c r="AZE16" s="412"/>
      <c r="AZF16" s="412"/>
      <c r="AZG16" s="412"/>
      <c r="AZH16" s="412"/>
      <c r="AZI16" s="412"/>
      <c r="AZJ16" s="412"/>
      <c r="AZK16" s="412"/>
      <c r="AZL16" s="412"/>
      <c r="AZM16" s="412"/>
      <c r="AZN16" s="412"/>
      <c r="AZO16" s="412"/>
      <c r="AZP16" s="412"/>
      <c r="AZQ16" s="412"/>
      <c r="AZR16" s="412"/>
      <c r="AZS16" s="412"/>
      <c r="AZT16" s="412"/>
      <c r="AZU16" s="412"/>
      <c r="AZV16" s="412"/>
      <c r="AZW16" s="412"/>
      <c r="AZX16" s="412"/>
      <c r="AZY16" s="412"/>
      <c r="AZZ16" s="412"/>
      <c r="BAA16" s="412"/>
      <c r="BAB16" s="412"/>
      <c r="BAC16" s="412"/>
      <c r="BAD16" s="412"/>
      <c r="BAE16" s="412"/>
      <c r="BAF16" s="412"/>
      <c r="BAG16" s="412"/>
      <c r="BAH16" s="412"/>
      <c r="BAI16" s="412"/>
      <c r="BAJ16" s="412"/>
      <c r="BAK16" s="412"/>
      <c r="BAL16" s="412"/>
      <c r="BAM16" s="412"/>
      <c r="BAN16" s="412"/>
      <c r="BAO16" s="412"/>
      <c r="BAP16" s="412"/>
      <c r="BAQ16" s="412"/>
      <c r="BAR16" s="412"/>
      <c r="BAS16" s="412"/>
      <c r="BAT16" s="412"/>
      <c r="BAU16" s="412"/>
      <c r="BAV16" s="412"/>
      <c r="BAW16" s="412"/>
      <c r="BAX16" s="412"/>
      <c r="BAY16" s="412"/>
      <c r="BAZ16" s="412"/>
      <c r="BBA16" s="412"/>
      <c r="BBB16" s="412"/>
      <c r="BBC16" s="412"/>
      <c r="BBD16" s="412"/>
      <c r="BBE16" s="412"/>
      <c r="BBF16" s="412"/>
      <c r="BBG16" s="412"/>
      <c r="BBH16" s="412"/>
      <c r="BBI16" s="412"/>
      <c r="BBJ16" s="412"/>
      <c r="BBK16" s="412"/>
      <c r="BBL16" s="412"/>
      <c r="BBM16" s="412"/>
      <c r="BBN16" s="412"/>
      <c r="BBO16" s="412"/>
      <c r="BBP16" s="412"/>
      <c r="BBQ16" s="412"/>
      <c r="BBR16" s="412"/>
      <c r="BBS16" s="412"/>
      <c r="BBT16" s="412"/>
      <c r="BBU16" s="412"/>
      <c r="BBV16" s="412"/>
      <c r="BBW16" s="412"/>
      <c r="BBX16" s="412"/>
      <c r="BBY16" s="412"/>
      <c r="BBZ16" s="412"/>
      <c r="BCA16" s="412"/>
      <c r="BCB16" s="412"/>
      <c r="BCC16" s="412"/>
      <c r="BCD16" s="412"/>
      <c r="BCE16" s="412"/>
      <c r="BCF16" s="412"/>
      <c r="BCG16" s="412"/>
      <c r="BCH16" s="412"/>
      <c r="BCI16" s="412"/>
      <c r="BCJ16" s="412"/>
      <c r="BCK16" s="412"/>
      <c r="BCL16" s="412"/>
      <c r="BCM16" s="412"/>
      <c r="BCN16" s="412"/>
      <c r="BCO16" s="412"/>
      <c r="BCP16" s="412"/>
      <c r="BCQ16" s="412"/>
      <c r="BCR16" s="412"/>
      <c r="BCS16" s="412"/>
      <c r="BCT16" s="412"/>
      <c r="BCU16" s="412"/>
      <c r="BCV16" s="412"/>
      <c r="BCW16" s="412"/>
      <c r="BCX16" s="412"/>
      <c r="BCY16" s="412"/>
      <c r="BCZ16" s="412"/>
      <c r="BDA16" s="412"/>
      <c r="BDB16" s="412"/>
      <c r="BDC16" s="412"/>
      <c r="BDD16" s="412"/>
      <c r="BDE16" s="412"/>
      <c r="BDF16" s="412"/>
      <c r="BDG16" s="412"/>
      <c r="BDH16" s="412"/>
      <c r="BDI16" s="412"/>
      <c r="BDJ16" s="412"/>
      <c r="BDK16" s="412"/>
      <c r="BDL16" s="412"/>
      <c r="BDM16" s="412"/>
      <c r="BDN16" s="412"/>
      <c r="BDO16" s="412"/>
      <c r="BDP16" s="412"/>
      <c r="BDQ16" s="412"/>
      <c r="BDR16" s="412"/>
      <c r="BDS16" s="412"/>
      <c r="BDT16" s="412"/>
      <c r="BDU16" s="412"/>
      <c r="BDV16" s="412"/>
      <c r="BDW16" s="412"/>
      <c r="BDX16" s="412"/>
      <c r="BDY16" s="412"/>
      <c r="BDZ16" s="412"/>
      <c r="BEA16" s="412"/>
      <c r="BEB16" s="412"/>
      <c r="BEC16" s="412"/>
      <c r="BED16" s="412"/>
      <c r="BEE16" s="412"/>
      <c r="BEF16" s="412"/>
      <c r="BEG16" s="412"/>
      <c r="BEH16" s="412"/>
      <c r="BEI16" s="412"/>
      <c r="BEJ16" s="412"/>
      <c r="BEK16" s="412"/>
      <c r="BEL16" s="412"/>
      <c r="BEM16" s="412"/>
      <c r="BEN16" s="412"/>
      <c r="BEO16" s="412"/>
      <c r="BEP16" s="412"/>
      <c r="BEQ16" s="412"/>
      <c r="BER16" s="412"/>
      <c r="BES16" s="412"/>
      <c r="BET16" s="412"/>
      <c r="BEU16" s="412"/>
      <c r="BEV16" s="412"/>
      <c r="BEW16" s="412"/>
      <c r="BEX16" s="412"/>
      <c r="BEY16" s="412"/>
      <c r="BEZ16" s="412"/>
      <c r="BFA16" s="412"/>
      <c r="BFB16" s="412"/>
      <c r="BFC16" s="412"/>
      <c r="BFD16" s="412"/>
      <c r="BFE16" s="412"/>
      <c r="BFF16" s="412"/>
      <c r="BFG16" s="412"/>
      <c r="BFH16" s="412"/>
      <c r="BFI16" s="412"/>
      <c r="BFJ16" s="412"/>
      <c r="BFK16" s="412"/>
      <c r="BFL16" s="412"/>
      <c r="BFM16" s="412"/>
      <c r="BFN16" s="412"/>
      <c r="BFO16" s="412"/>
      <c r="BFP16" s="412"/>
      <c r="BFQ16" s="412"/>
      <c r="BFR16" s="412"/>
      <c r="BFS16" s="412"/>
      <c r="BFT16" s="412"/>
      <c r="BFU16" s="412"/>
      <c r="BFV16" s="412"/>
      <c r="BFW16" s="412"/>
      <c r="BFX16" s="412"/>
      <c r="BFY16" s="412"/>
      <c r="BFZ16" s="412"/>
      <c r="BGA16" s="412"/>
      <c r="BGB16" s="412"/>
      <c r="BGC16" s="412"/>
      <c r="BGD16" s="412"/>
      <c r="BGE16" s="412"/>
      <c r="BGF16" s="412"/>
      <c r="BGG16" s="412"/>
      <c r="BGH16" s="412"/>
      <c r="BGI16" s="412"/>
      <c r="BGJ16" s="412"/>
      <c r="BGK16" s="412"/>
      <c r="BGL16" s="412"/>
      <c r="BGM16" s="412"/>
      <c r="BGN16" s="412"/>
      <c r="BGO16" s="412"/>
      <c r="BGP16" s="412"/>
      <c r="BGQ16" s="412"/>
      <c r="BGR16" s="412"/>
      <c r="BGS16" s="412"/>
      <c r="BGT16" s="412"/>
      <c r="BGU16" s="412"/>
      <c r="BGV16" s="412"/>
      <c r="BGW16" s="412"/>
      <c r="BGX16" s="412"/>
      <c r="BGY16" s="412"/>
      <c r="BGZ16" s="412"/>
      <c r="BHA16" s="412"/>
      <c r="BHB16" s="412"/>
      <c r="BHC16" s="412"/>
      <c r="BHD16" s="412"/>
      <c r="BHE16" s="412"/>
      <c r="BHF16" s="412"/>
      <c r="BHG16" s="412"/>
      <c r="BHH16" s="412"/>
      <c r="BHI16" s="412"/>
      <c r="BHJ16" s="412"/>
      <c r="BHK16" s="412"/>
      <c r="BHL16" s="412"/>
      <c r="BHM16" s="412"/>
      <c r="BHN16" s="412"/>
      <c r="BHO16" s="412"/>
      <c r="BHP16" s="412"/>
      <c r="BHQ16" s="412"/>
      <c r="BHR16" s="412"/>
      <c r="BHS16" s="412"/>
      <c r="BHT16" s="412"/>
      <c r="BHU16" s="412"/>
      <c r="BHV16" s="412"/>
      <c r="BHW16" s="412"/>
      <c r="BHX16" s="412"/>
      <c r="BHY16" s="412"/>
      <c r="BHZ16" s="412"/>
      <c r="BIA16" s="412"/>
      <c r="BIB16" s="412"/>
      <c r="BIC16" s="412"/>
      <c r="BID16" s="412"/>
      <c r="BIE16" s="412"/>
      <c r="BIF16" s="412"/>
      <c r="BIG16" s="412"/>
      <c r="BIH16" s="412"/>
      <c r="BII16" s="412"/>
      <c r="BIJ16" s="412"/>
      <c r="BIK16" s="412"/>
      <c r="BIL16" s="412"/>
      <c r="BIM16" s="412"/>
      <c r="BIN16" s="412"/>
      <c r="BIO16" s="412"/>
      <c r="BIP16" s="412"/>
      <c r="BIQ16" s="412"/>
      <c r="BIR16" s="412"/>
      <c r="BIS16" s="412"/>
      <c r="BIT16" s="412"/>
      <c r="BIU16" s="412"/>
      <c r="BIV16" s="412"/>
      <c r="BIW16" s="412"/>
      <c r="BIX16" s="412"/>
      <c r="BIY16" s="412"/>
      <c r="BIZ16" s="412"/>
      <c r="BJA16" s="412"/>
      <c r="BJB16" s="412"/>
      <c r="BJC16" s="412"/>
      <c r="BJD16" s="412"/>
      <c r="BJE16" s="412"/>
      <c r="BJF16" s="412"/>
      <c r="BJG16" s="412"/>
      <c r="BJH16" s="412"/>
      <c r="BJI16" s="412"/>
      <c r="BJJ16" s="412"/>
      <c r="BJK16" s="412"/>
      <c r="BJL16" s="412"/>
      <c r="BJM16" s="412"/>
      <c r="BJN16" s="412"/>
      <c r="BJO16" s="412"/>
      <c r="BJP16" s="412"/>
      <c r="BJQ16" s="412"/>
      <c r="BJR16" s="412"/>
      <c r="BJS16" s="412"/>
      <c r="BJT16" s="412"/>
      <c r="BJU16" s="412"/>
      <c r="BJV16" s="412"/>
      <c r="BJW16" s="412"/>
      <c r="BJX16" s="412"/>
      <c r="BJY16" s="412"/>
      <c r="BJZ16" s="412"/>
      <c r="BKA16" s="412"/>
      <c r="BKB16" s="412"/>
      <c r="BKC16" s="412"/>
      <c r="BKD16" s="412"/>
      <c r="BKE16" s="412"/>
      <c r="BKF16" s="412"/>
      <c r="BKG16" s="412"/>
      <c r="BKH16" s="412"/>
      <c r="BKI16" s="412"/>
      <c r="BKJ16" s="412"/>
      <c r="BKK16" s="412"/>
      <c r="BKL16" s="412"/>
      <c r="BKM16" s="412"/>
      <c r="BKN16" s="412"/>
      <c r="BKO16" s="412"/>
      <c r="BKP16" s="412"/>
      <c r="BKQ16" s="412"/>
      <c r="BKR16" s="412"/>
      <c r="BKS16" s="412"/>
      <c r="BKT16" s="412"/>
      <c r="BKU16" s="412"/>
      <c r="BKV16" s="412"/>
      <c r="BKW16" s="412"/>
      <c r="BKX16" s="412"/>
      <c r="BKY16" s="412"/>
      <c r="BKZ16" s="412"/>
      <c r="BLA16" s="412"/>
      <c r="BLB16" s="412"/>
      <c r="BLC16" s="412"/>
      <c r="BLD16" s="412"/>
      <c r="BLE16" s="412"/>
      <c r="BLF16" s="412"/>
      <c r="BLG16" s="412"/>
      <c r="BLH16" s="412"/>
      <c r="BLI16" s="412"/>
      <c r="BLJ16" s="412"/>
      <c r="BLK16" s="412"/>
      <c r="BLL16" s="412"/>
      <c r="BLM16" s="412"/>
      <c r="BLN16" s="412"/>
      <c r="BLO16" s="412"/>
      <c r="BLP16" s="412"/>
      <c r="BLQ16" s="412"/>
      <c r="BLR16" s="412"/>
      <c r="BLS16" s="412"/>
      <c r="BLT16" s="412"/>
      <c r="BLU16" s="412"/>
      <c r="BLV16" s="412"/>
      <c r="BLW16" s="412"/>
      <c r="BLX16" s="412"/>
      <c r="BLY16" s="412"/>
      <c r="BLZ16" s="412"/>
      <c r="BMA16" s="412"/>
      <c r="BMB16" s="412"/>
      <c r="BMC16" s="412"/>
      <c r="BMD16" s="412"/>
      <c r="BME16" s="412"/>
      <c r="BMF16" s="412"/>
      <c r="BMG16" s="412"/>
      <c r="BMH16" s="412"/>
      <c r="BMI16" s="412"/>
      <c r="BMJ16" s="412"/>
      <c r="BMK16" s="412"/>
      <c r="BML16" s="412"/>
      <c r="BMM16" s="412"/>
      <c r="BMN16" s="412"/>
      <c r="BMO16" s="412"/>
      <c r="BMP16" s="412"/>
      <c r="BMQ16" s="412"/>
      <c r="BMR16" s="412"/>
      <c r="BMS16" s="412"/>
      <c r="BMT16" s="412"/>
      <c r="BMU16" s="412"/>
      <c r="BMV16" s="412"/>
      <c r="BMW16" s="412"/>
      <c r="BMX16" s="412"/>
      <c r="BMY16" s="412"/>
      <c r="BMZ16" s="412"/>
      <c r="BNA16" s="412"/>
      <c r="BNB16" s="412"/>
      <c r="BNC16" s="412"/>
      <c r="BND16" s="412"/>
      <c r="BNE16" s="412"/>
      <c r="BNF16" s="412"/>
      <c r="BNG16" s="412"/>
      <c r="BNH16" s="412"/>
      <c r="BNI16" s="412"/>
      <c r="BNJ16" s="412"/>
      <c r="BNK16" s="412"/>
      <c r="BNL16" s="412"/>
      <c r="BNM16" s="412"/>
      <c r="BNN16" s="412"/>
      <c r="BNO16" s="412"/>
      <c r="BNP16" s="412"/>
      <c r="BNQ16" s="412"/>
      <c r="BNR16" s="412"/>
      <c r="BNS16" s="412"/>
      <c r="BNT16" s="412"/>
      <c r="BNU16" s="412"/>
      <c r="BNV16" s="412"/>
      <c r="BNW16" s="412"/>
      <c r="BNX16" s="412"/>
      <c r="BNY16" s="412"/>
      <c r="BNZ16" s="412"/>
      <c r="BOA16" s="412"/>
      <c r="BOB16" s="412"/>
      <c r="BOC16" s="412"/>
      <c r="BOD16" s="412"/>
      <c r="BOE16" s="412"/>
      <c r="BOF16" s="412"/>
      <c r="BOG16" s="412"/>
      <c r="BOH16" s="412"/>
      <c r="BOI16" s="412"/>
      <c r="BOJ16" s="412"/>
      <c r="BOK16" s="412"/>
      <c r="BOL16" s="412"/>
      <c r="BOM16" s="412"/>
      <c r="BON16" s="412"/>
      <c r="BOO16" s="412"/>
      <c r="BOP16" s="412"/>
      <c r="BOQ16" s="412"/>
      <c r="BOR16" s="412"/>
      <c r="BOS16" s="412"/>
      <c r="BOT16" s="412"/>
      <c r="BOU16" s="412"/>
      <c r="BOV16" s="412"/>
      <c r="BOW16" s="412"/>
      <c r="BOX16" s="412"/>
      <c r="BOY16" s="412"/>
      <c r="BOZ16" s="412"/>
      <c r="BPA16" s="412"/>
      <c r="BPB16" s="412"/>
      <c r="BPC16" s="412"/>
      <c r="BPD16" s="412"/>
      <c r="BPE16" s="412"/>
      <c r="BPF16" s="412"/>
      <c r="BPG16" s="412"/>
      <c r="BPH16" s="412"/>
      <c r="BPI16" s="412"/>
      <c r="BPJ16" s="412"/>
      <c r="BPK16" s="412"/>
      <c r="BPL16" s="412"/>
      <c r="BPM16" s="412"/>
      <c r="BPN16" s="412"/>
      <c r="BPO16" s="412"/>
      <c r="BPP16" s="412"/>
      <c r="BPQ16" s="412"/>
      <c r="BPR16" s="412"/>
      <c r="BPS16" s="412"/>
      <c r="BPT16" s="412"/>
      <c r="BPU16" s="412"/>
      <c r="BPV16" s="412"/>
      <c r="BPW16" s="412"/>
      <c r="BPX16" s="412"/>
      <c r="BPY16" s="412"/>
      <c r="BPZ16" s="412"/>
      <c r="BQA16" s="412"/>
      <c r="BQB16" s="412"/>
      <c r="BQC16" s="412"/>
      <c r="BQD16" s="412"/>
      <c r="BQE16" s="412"/>
      <c r="BQF16" s="412"/>
      <c r="BQG16" s="412"/>
      <c r="BQH16" s="412"/>
      <c r="BQI16" s="412"/>
      <c r="BQJ16" s="412"/>
      <c r="BQK16" s="412"/>
      <c r="BQL16" s="412"/>
      <c r="BQM16" s="412"/>
      <c r="BQN16" s="412"/>
      <c r="BQO16" s="412"/>
      <c r="BQP16" s="412"/>
      <c r="BQQ16" s="412"/>
      <c r="BQR16" s="412"/>
      <c r="BQS16" s="412"/>
      <c r="BQT16" s="412"/>
      <c r="BQU16" s="412"/>
      <c r="BQV16" s="412"/>
      <c r="BQW16" s="412"/>
      <c r="BQX16" s="412"/>
      <c r="BQY16" s="412"/>
      <c r="BQZ16" s="412"/>
      <c r="BRA16" s="412"/>
      <c r="BRB16" s="412"/>
      <c r="BRC16" s="412"/>
      <c r="BRD16" s="412"/>
      <c r="BRE16" s="412"/>
      <c r="BRF16" s="412"/>
      <c r="BRG16" s="412"/>
      <c r="BRH16" s="412"/>
      <c r="BRI16" s="412"/>
      <c r="BRJ16" s="412"/>
      <c r="BRK16" s="412"/>
      <c r="BRL16" s="412"/>
      <c r="BRM16" s="412"/>
      <c r="BRN16" s="412"/>
      <c r="BRO16" s="412"/>
      <c r="BRP16" s="412"/>
      <c r="BRQ16" s="412"/>
      <c r="BRR16" s="412"/>
      <c r="BRS16" s="412"/>
      <c r="BRT16" s="412"/>
      <c r="BRU16" s="412"/>
      <c r="BRV16" s="412"/>
      <c r="BRW16" s="412"/>
      <c r="BRX16" s="412"/>
      <c r="BRY16" s="412"/>
      <c r="BRZ16" s="412"/>
      <c r="BSA16" s="412"/>
      <c r="BSB16" s="412"/>
      <c r="BSC16" s="412"/>
      <c r="BSD16" s="412"/>
      <c r="BSE16" s="412"/>
      <c r="BSF16" s="412"/>
      <c r="BSG16" s="412"/>
      <c r="BSH16" s="412"/>
      <c r="BSI16" s="412"/>
      <c r="BSJ16" s="412"/>
      <c r="BSK16" s="412"/>
      <c r="BSL16" s="412"/>
      <c r="BSM16" s="412"/>
      <c r="BSN16" s="412"/>
      <c r="BSO16" s="412"/>
      <c r="BSP16" s="412"/>
      <c r="BSQ16" s="412"/>
      <c r="BSR16" s="412"/>
      <c r="BSS16" s="412"/>
      <c r="BST16" s="412"/>
      <c r="BSU16" s="412"/>
      <c r="BSV16" s="412"/>
      <c r="BSW16" s="412"/>
      <c r="BSX16" s="412"/>
      <c r="BSY16" s="412"/>
      <c r="BSZ16" s="412"/>
      <c r="BTA16" s="412"/>
      <c r="BTB16" s="412"/>
      <c r="BTC16" s="412"/>
      <c r="BTD16" s="412"/>
      <c r="BTE16" s="412"/>
      <c r="BTF16" s="412"/>
      <c r="BTG16" s="412"/>
      <c r="BTH16" s="412"/>
      <c r="BTI16" s="412"/>
    </row>
    <row r="17" spans="1:1881" s="393" customFormat="1" ht="95.25" customHeight="1" thickBot="1" x14ac:dyDescent="0.3">
      <c r="A17" s="473">
        <v>631</v>
      </c>
      <c r="B17" s="474" t="s">
        <v>835</v>
      </c>
      <c r="C17" s="470" t="s">
        <v>136</v>
      </c>
      <c r="D17" s="471" t="s">
        <v>1090</v>
      </c>
      <c r="E17" s="893" t="s">
        <v>837</v>
      </c>
      <c r="F17" s="647"/>
      <c r="G17" s="475">
        <f>IF(F17&gt;F12,"Please review account numbers 631 &gt; 626",)</f>
        <v>0</v>
      </c>
      <c r="H17" s="456"/>
      <c r="I17" s="457"/>
      <c r="J17" s="368"/>
      <c r="K17" s="412"/>
      <c r="L17" s="865" t="s">
        <v>1115</v>
      </c>
      <c r="M17" s="633"/>
      <c r="N17" s="656"/>
      <c r="O17" s="412"/>
      <c r="P17" s="412"/>
      <c r="Q17" s="412"/>
      <c r="R17" s="412"/>
      <c r="S17" s="412"/>
      <c r="T17" s="412"/>
      <c r="U17" s="412"/>
      <c r="V17" s="412"/>
      <c r="W17" s="412"/>
      <c r="X17" s="412"/>
      <c r="Y17" s="412"/>
      <c r="Z17" s="412"/>
      <c r="AA17" s="412"/>
      <c r="AB17" s="412"/>
      <c r="AC17" s="412"/>
      <c r="AD17" s="412"/>
      <c r="AE17" s="412"/>
      <c r="AF17" s="412"/>
      <c r="AG17" s="412"/>
      <c r="AH17" s="412"/>
      <c r="AI17" s="412"/>
      <c r="AJ17" s="412"/>
      <c r="AK17" s="412"/>
      <c r="AL17" s="412"/>
      <c r="AM17" s="412"/>
      <c r="AN17" s="412"/>
      <c r="AO17" s="412"/>
      <c r="AP17" s="412"/>
      <c r="AQ17" s="412"/>
      <c r="AR17" s="412"/>
      <c r="AS17" s="412"/>
      <c r="AT17" s="412"/>
      <c r="AU17" s="412"/>
      <c r="AV17" s="412"/>
      <c r="AW17" s="412"/>
      <c r="AX17" s="412"/>
      <c r="AY17" s="412"/>
      <c r="AZ17" s="412"/>
      <c r="BA17" s="412"/>
      <c r="BB17" s="412"/>
      <c r="BC17" s="412"/>
      <c r="BD17" s="412"/>
      <c r="BE17" s="412"/>
      <c r="BF17" s="412"/>
      <c r="BG17" s="412"/>
      <c r="BH17" s="412"/>
      <c r="BI17" s="412"/>
      <c r="BJ17" s="412"/>
      <c r="BK17" s="412"/>
      <c r="BL17" s="412"/>
      <c r="BM17" s="412"/>
      <c r="BN17" s="412"/>
      <c r="BO17" s="412"/>
      <c r="BP17" s="412"/>
      <c r="BQ17" s="412"/>
      <c r="BR17" s="412"/>
      <c r="BS17" s="412"/>
      <c r="BT17" s="412"/>
      <c r="BU17" s="412"/>
      <c r="BV17" s="412"/>
      <c r="BW17" s="412"/>
      <c r="BX17" s="412"/>
      <c r="BY17" s="412"/>
      <c r="BZ17" s="412"/>
      <c r="CA17" s="412"/>
      <c r="CB17" s="412"/>
      <c r="CC17" s="412"/>
      <c r="CD17" s="412"/>
      <c r="CE17" s="412"/>
      <c r="CF17" s="412"/>
      <c r="CG17" s="412"/>
      <c r="CH17" s="412"/>
      <c r="CI17" s="412"/>
      <c r="CJ17" s="412"/>
      <c r="CK17" s="412"/>
      <c r="CL17" s="412"/>
      <c r="CM17" s="412"/>
      <c r="CN17" s="412"/>
      <c r="CO17" s="412"/>
      <c r="CP17" s="412"/>
      <c r="CQ17" s="412"/>
      <c r="CR17" s="412"/>
      <c r="CS17" s="412"/>
      <c r="CT17" s="412"/>
      <c r="CU17" s="412"/>
      <c r="CV17" s="412"/>
      <c r="CW17" s="412"/>
      <c r="CX17" s="412"/>
      <c r="CY17" s="412"/>
      <c r="CZ17" s="412"/>
      <c r="DA17" s="412"/>
      <c r="DB17" s="412"/>
      <c r="DC17" s="412"/>
      <c r="DD17" s="412"/>
      <c r="DE17" s="412"/>
      <c r="DF17" s="412"/>
      <c r="DG17" s="412"/>
      <c r="DH17" s="412"/>
      <c r="DI17" s="412"/>
      <c r="DJ17" s="412"/>
      <c r="DK17" s="412"/>
      <c r="DL17" s="412"/>
      <c r="DM17" s="412"/>
      <c r="DN17" s="412"/>
      <c r="DO17" s="412"/>
      <c r="DP17" s="412"/>
      <c r="DQ17" s="412"/>
      <c r="DR17" s="412"/>
      <c r="DS17" s="412"/>
      <c r="DT17" s="412"/>
      <c r="DU17" s="412"/>
      <c r="DV17" s="412"/>
      <c r="DW17" s="412"/>
      <c r="DX17" s="412"/>
      <c r="DY17" s="412"/>
      <c r="DZ17" s="412"/>
      <c r="EA17" s="412"/>
      <c r="EB17" s="412"/>
      <c r="EC17" s="412"/>
      <c r="ED17" s="412"/>
      <c r="EE17" s="412"/>
      <c r="EF17" s="412"/>
      <c r="EG17" s="412"/>
      <c r="EH17" s="412"/>
      <c r="EI17" s="412"/>
      <c r="EJ17" s="412"/>
      <c r="EK17" s="412"/>
      <c r="EL17" s="412"/>
      <c r="EM17" s="412"/>
      <c r="EN17" s="412"/>
      <c r="EO17" s="412"/>
      <c r="EP17" s="412"/>
      <c r="EQ17" s="412"/>
      <c r="ER17" s="412"/>
      <c r="ES17" s="412"/>
      <c r="ET17" s="412"/>
      <c r="EU17" s="412"/>
      <c r="EV17" s="412"/>
      <c r="EW17" s="412"/>
      <c r="EX17" s="412"/>
      <c r="EY17" s="412"/>
      <c r="EZ17" s="412"/>
      <c r="FA17" s="412"/>
      <c r="FB17" s="412"/>
      <c r="FC17" s="412"/>
      <c r="FD17" s="412"/>
      <c r="FE17" s="412"/>
      <c r="FF17" s="412"/>
      <c r="FG17" s="412"/>
      <c r="FH17" s="412"/>
      <c r="FI17" s="412"/>
      <c r="FJ17" s="412"/>
      <c r="FK17" s="412"/>
      <c r="FL17" s="412"/>
      <c r="FM17" s="412"/>
      <c r="FN17" s="412"/>
      <c r="FO17" s="412"/>
      <c r="FP17" s="412"/>
      <c r="FQ17" s="412"/>
      <c r="FR17" s="412"/>
      <c r="FS17" s="412"/>
      <c r="FT17" s="412"/>
      <c r="FU17" s="412"/>
      <c r="FV17" s="412"/>
      <c r="FW17" s="412"/>
      <c r="FX17" s="412"/>
      <c r="FY17" s="412"/>
      <c r="FZ17" s="412"/>
      <c r="GA17" s="412"/>
      <c r="GB17" s="412"/>
      <c r="GC17" s="412"/>
      <c r="GD17" s="412"/>
      <c r="GE17" s="412"/>
      <c r="GF17" s="412"/>
      <c r="GG17" s="412"/>
      <c r="GH17" s="412"/>
      <c r="GI17" s="412"/>
      <c r="GJ17" s="412"/>
      <c r="GK17" s="412"/>
      <c r="GL17" s="412"/>
      <c r="GM17" s="412"/>
      <c r="GN17" s="412"/>
      <c r="GO17" s="412"/>
      <c r="GP17" s="412"/>
      <c r="GQ17" s="412"/>
      <c r="GR17" s="412"/>
      <c r="GS17" s="412"/>
      <c r="GT17" s="412"/>
      <c r="GU17" s="412"/>
      <c r="GV17" s="412"/>
      <c r="GW17" s="412"/>
      <c r="GX17" s="412"/>
      <c r="GY17" s="412"/>
      <c r="GZ17" s="412"/>
      <c r="HA17" s="412"/>
      <c r="HB17" s="412"/>
      <c r="HC17" s="412"/>
      <c r="HD17" s="412"/>
      <c r="HE17" s="412"/>
      <c r="HF17" s="412"/>
      <c r="HG17" s="412"/>
      <c r="HH17" s="412"/>
      <c r="HI17" s="412"/>
      <c r="HJ17" s="412"/>
      <c r="HK17" s="412"/>
      <c r="HL17" s="412"/>
      <c r="HM17" s="412"/>
      <c r="HN17" s="412"/>
      <c r="HO17" s="412"/>
      <c r="HP17" s="412"/>
      <c r="HQ17" s="412"/>
      <c r="HR17" s="412"/>
      <c r="HS17" s="412"/>
      <c r="HT17" s="412"/>
      <c r="HU17" s="412"/>
      <c r="HV17" s="412"/>
      <c r="HW17" s="412"/>
      <c r="HX17" s="412"/>
      <c r="HY17" s="412"/>
      <c r="HZ17" s="412"/>
      <c r="IA17" s="412"/>
      <c r="IB17" s="412"/>
      <c r="IC17" s="412"/>
      <c r="ID17" s="412"/>
      <c r="IE17" s="412"/>
      <c r="IF17" s="412"/>
      <c r="IG17" s="412"/>
      <c r="IH17" s="412"/>
      <c r="II17" s="412"/>
      <c r="IJ17" s="412"/>
      <c r="IK17" s="412"/>
      <c r="IL17" s="412"/>
      <c r="IM17" s="412"/>
      <c r="IN17" s="412"/>
      <c r="IO17" s="412"/>
      <c r="IP17" s="412"/>
      <c r="IQ17" s="412"/>
      <c r="IR17" s="412"/>
      <c r="IS17" s="412"/>
      <c r="IT17" s="412"/>
      <c r="IU17" s="412"/>
      <c r="IV17" s="412"/>
      <c r="IW17" s="412"/>
      <c r="IX17" s="412"/>
      <c r="IY17" s="412"/>
      <c r="IZ17" s="412"/>
      <c r="JA17" s="412"/>
      <c r="JB17" s="412"/>
      <c r="JC17" s="412"/>
      <c r="JD17" s="412"/>
      <c r="JE17" s="412"/>
      <c r="JF17" s="412"/>
      <c r="JG17" s="412"/>
      <c r="JH17" s="412"/>
      <c r="JI17" s="412"/>
      <c r="JJ17" s="412"/>
      <c r="JK17" s="412"/>
      <c r="JL17" s="412"/>
      <c r="JM17" s="412"/>
      <c r="JN17" s="412"/>
      <c r="JO17" s="412"/>
      <c r="JP17" s="412"/>
      <c r="JQ17" s="412"/>
      <c r="JR17" s="412"/>
      <c r="JS17" s="412"/>
      <c r="JT17" s="412"/>
      <c r="JU17" s="412"/>
      <c r="JV17" s="412"/>
      <c r="JW17" s="412"/>
      <c r="JX17" s="412"/>
      <c r="JY17" s="412"/>
      <c r="JZ17" s="412"/>
      <c r="KA17" s="412"/>
      <c r="KB17" s="412"/>
      <c r="KC17" s="412"/>
      <c r="KD17" s="412"/>
      <c r="KE17" s="412"/>
      <c r="KF17" s="412"/>
      <c r="KG17" s="412"/>
      <c r="KH17" s="412"/>
      <c r="KI17" s="412"/>
      <c r="KJ17" s="412"/>
      <c r="KK17" s="412"/>
      <c r="KL17" s="412"/>
      <c r="KM17" s="412"/>
      <c r="KN17" s="412"/>
      <c r="KO17" s="412"/>
      <c r="KP17" s="412"/>
      <c r="KQ17" s="412"/>
      <c r="KR17" s="412"/>
      <c r="KS17" s="412"/>
      <c r="KT17" s="412"/>
      <c r="KU17" s="412"/>
      <c r="KV17" s="412"/>
      <c r="KW17" s="412"/>
      <c r="KX17" s="412"/>
      <c r="KY17" s="412"/>
      <c r="KZ17" s="412"/>
      <c r="LA17" s="412"/>
      <c r="LB17" s="412"/>
      <c r="LC17" s="412"/>
      <c r="LD17" s="412"/>
      <c r="LE17" s="412"/>
      <c r="LF17" s="412"/>
      <c r="LG17" s="412"/>
      <c r="LH17" s="412"/>
      <c r="LI17" s="412"/>
      <c r="LJ17" s="412"/>
      <c r="LK17" s="412"/>
      <c r="LL17" s="412"/>
      <c r="LM17" s="412"/>
      <c r="LN17" s="412"/>
      <c r="LO17" s="412"/>
      <c r="LP17" s="412"/>
      <c r="LQ17" s="412"/>
      <c r="LR17" s="412"/>
      <c r="LS17" s="412"/>
      <c r="LT17" s="412"/>
      <c r="LU17" s="412"/>
      <c r="LV17" s="412"/>
      <c r="LW17" s="412"/>
      <c r="LX17" s="412"/>
      <c r="LY17" s="412"/>
      <c r="LZ17" s="412"/>
      <c r="MA17" s="412"/>
      <c r="MB17" s="412"/>
      <c r="MC17" s="412"/>
      <c r="MD17" s="412"/>
      <c r="ME17" s="412"/>
      <c r="MF17" s="412"/>
      <c r="MG17" s="412"/>
      <c r="MH17" s="412"/>
      <c r="MI17" s="412"/>
      <c r="MJ17" s="412"/>
      <c r="MK17" s="412"/>
      <c r="ML17" s="412"/>
      <c r="MM17" s="412"/>
      <c r="MN17" s="412"/>
      <c r="MO17" s="412"/>
      <c r="MP17" s="412"/>
      <c r="MQ17" s="412"/>
      <c r="MR17" s="412"/>
      <c r="MS17" s="412"/>
      <c r="MT17" s="412"/>
      <c r="MU17" s="412"/>
      <c r="MV17" s="412"/>
      <c r="MW17" s="412"/>
      <c r="MX17" s="412"/>
      <c r="MY17" s="412"/>
      <c r="MZ17" s="412"/>
      <c r="NA17" s="412"/>
      <c r="NB17" s="412"/>
      <c r="NC17" s="412"/>
      <c r="ND17" s="412"/>
      <c r="NE17" s="412"/>
      <c r="NF17" s="412"/>
      <c r="NG17" s="412"/>
      <c r="NH17" s="412"/>
      <c r="NI17" s="412"/>
      <c r="NJ17" s="412"/>
      <c r="NK17" s="412"/>
      <c r="NL17" s="412"/>
      <c r="NM17" s="412"/>
      <c r="NN17" s="412"/>
      <c r="NO17" s="412"/>
      <c r="NP17" s="412"/>
      <c r="NQ17" s="412"/>
      <c r="NR17" s="412"/>
      <c r="NS17" s="412"/>
      <c r="NT17" s="412"/>
      <c r="NU17" s="412"/>
      <c r="NV17" s="412"/>
      <c r="NW17" s="412"/>
      <c r="NX17" s="412"/>
      <c r="NY17" s="412"/>
      <c r="NZ17" s="412"/>
      <c r="OA17" s="412"/>
      <c r="OB17" s="412"/>
      <c r="OC17" s="412"/>
      <c r="OD17" s="412"/>
      <c r="OE17" s="412"/>
      <c r="OF17" s="412"/>
      <c r="OG17" s="412"/>
      <c r="OH17" s="412"/>
      <c r="OI17" s="412"/>
      <c r="OJ17" s="412"/>
      <c r="OK17" s="412"/>
      <c r="OL17" s="412"/>
      <c r="OM17" s="412"/>
      <c r="ON17" s="412"/>
      <c r="OO17" s="412"/>
      <c r="OP17" s="412"/>
      <c r="OQ17" s="412"/>
      <c r="OR17" s="412"/>
      <c r="OS17" s="412"/>
      <c r="OT17" s="412"/>
      <c r="OU17" s="412"/>
      <c r="OV17" s="412"/>
      <c r="OW17" s="412"/>
      <c r="OX17" s="412"/>
      <c r="OY17" s="412"/>
      <c r="OZ17" s="412"/>
      <c r="PA17" s="412"/>
      <c r="PB17" s="412"/>
      <c r="PC17" s="412"/>
      <c r="PD17" s="412"/>
      <c r="PE17" s="412"/>
      <c r="PF17" s="412"/>
      <c r="PG17" s="412"/>
      <c r="PH17" s="412"/>
      <c r="PI17" s="412"/>
      <c r="PJ17" s="412"/>
      <c r="PK17" s="412"/>
      <c r="PL17" s="412"/>
      <c r="PM17" s="412"/>
      <c r="PN17" s="412"/>
      <c r="PO17" s="412"/>
      <c r="PP17" s="412"/>
      <c r="PQ17" s="412"/>
      <c r="PR17" s="412"/>
      <c r="PS17" s="412"/>
      <c r="PT17" s="412"/>
      <c r="PU17" s="412"/>
      <c r="PV17" s="412"/>
      <c r="PW17" s="412"/>
      <c r="PX17" s="412"/>
      <c r="PY17" s="412"/>
      <c r="PZ17" s="412"/>
      <c r="QA17" s="412"/>
      <c r="QB17" s="412"/>
      <c r="QC17" s="412"/>
      <c r="QD17" s="412"/>
      <c r="QE17" s="412"/>
      <c r="QF17" s="412"/>
      <c r="QG17" s="412"/>
      <c r="QH17" s="412"/>
      <c r="QI17" s="412"/>
      <c r="QJ17" s="412"/>
      <c r="QK17" s="412"/>
      <c r="QL17" s="412"/>
      <c r="QM17" s="412"/>
      <c r="QN17" s="412"/>
      <c r="QO17" s="412"/>
      <c r="QP17" s="412"/>
      <c r="QQ17" s="412"/>
      <c r="QR17" s="412"/>
      <c r="QS17" s="412"/>
      <c r="QT17" s="412"/>
      <c r="QU17" s="412"/>
      <c r="QV17" s="412"/>
      <c r="QW17" s="412"/>
      <c r="QX17" s="412"/>
      <c r="QY17" s="412"/>
      <c r="QZ17" s="412"/>
      <c r="RA17" s="412"/>
      <c r="RB17" s="412"/>
      <c r="RC17" s="412"/>
      <c r="RD17" s="412"/>
      <c r="RE17" s="412"/>
      <c r="RF17" s="412"/>
      <c r="RG17" s="412"/>
      <c r="RH17" s="412"/>
      <c r="RI17" s="412"/>
      <c r="RJ17" s="412"/>
      <c r="RK17" s="412"/>
      <c r="RL17" s="412"/>
      <c r="RM17" s="412"/>
      <c r="RN17" s="412"/>
      <c r="RO17" s="412"/>
      <c r="RP17" s="412"/>
      <c r="RQ17" s="412"/>
      <c r="RR17" s="412"/>
      <c r="RS17" s="412"/>
      <c r="RT17" s="412"/>
      <c r="RU17" s="412"/>
      <c r="RV17" s="412"/>
      <c r="RW17" s="412"/>
      <c r="RX17" s="412"/>
      <c r="RY17" s="412"/>
      <c r="RZ17" s="412"/>
      <c r="SA17" s="412"/>
      <c r="SB17" s="412"/>
      <c r="SC17" s="412"/>
      <c r="SD17" s="412"/>
      <c r="SE17" s="412"/>
      <c r="SF17" s="412"/>
      <c r="SG17" s="412"/>
      <c r="SH17" s="412"/>
      <c r="SI17" s="412"/>
      <c r="SJ17" s="412"/>
      <c r="SK17" s="412"/>
      <c r="SL17" s="412"/>
      <c r="SM17" s="412"/>
      <c r="SN17" s="412"/>
      <c r="SO17" s="412"/>
      <c r="SP17" s="412"/>
      <c r="SQ17" s="412"/>
      <c r="SR17" s="412"/>
      <c r="SS17" s="412"/>
      <c r="ST17" s="412"/>
      <c r="SU17" s="412"/>
      <c r="SV17" s="412"/>
      <c r="SW17" s="412"/>
      <c r="SX17" s="412"/>
      <c r="SY17" s="412"/>
      <c r="SZ17" s="412"/>
      <c r="TA17" s="412"/>
      <c r="TB17" s="412"/>
      <c r="TC17" s="412"/>
      <c r="TD17" s="412"/>
      <c r="TE17" s="412"/>
      <c r="TF17" s="412"/>
      <c r="TG17" s="412"/>
      <c r="TH17" s="412"/>
      <c r="TI17" s="412"/>
      <c r="TJ17" s="412"/>
      <c r="TK17" s="412"/>
      <c r="TL17" s="412"/>
      <c r="TM17" s="412"/>
      <c r="TN17" s="412"/>
      <c r="TO17" s="412"/>
      <c r="TP17" s="412"/>
      <c r="TQ17" s="412"/>
      <c r="TR17" s="412"/>
      <c r="TS17" s="412"/>
      <c r="TT17" s="412"/>
      <c r="TU17" s="412"/>
      <c r="TV17" s="412"/>
      <c r="TW17" s="412"/>
      <c r="TX17" s="412"/>
      <c r="TY17" s="412"/>
      <c r="TZ17" s="412"/>
      <c r="UA17" s="412"/>
      <c r="UB17" s="412"/>
      <c r="UC17" s="412"/>
      <c r="UD17" s="412"/>
      <c r="UE17" s="412"/>
      <c r="UF17" s="412"/>
      <c r="UG17" s="412"/>
      <c r="UH17" s="412"/>
      <c r="UI17" s="412"/>
      <c r="UJ17" s="412"/>
      <c r="UK17" s="412"/>
      <c r="UL17" s="412"/>
      <c r="UM17" s="412"/>
      <c r="UN17" s="412"/>
      <c r="UO17" s="412"/>
      <c r="UP17" s="412"/>
      <c r="UQ17" s="412"/>
      <c r="UR17" s="412"/>
      <c r="US17" s="412"/>
      <c r="UT17" s="412"/>
      <c r="UU17" s="412"/>
      <c r="UV17" s="412"/>
      <c r="UW17" s="412"/>
      <c r="UX17" s="412"/>
      <c r="UY17" s="412"/>
      <c r="UZ17" s="412"/>
      <c r="VA17" s="412"/>
      <c r="VB17" s="412"/>
      <c r="VC17" s="412"/>
      <c r="VD17" s="412"/>
      <c r="VE17" s="412"/>
      <c r="VF17" s="412"/>
      <c r="VG17" s="412"/>
      <c r="VH17" s="412"/>
      <c r="VI17" s="412"/>
      <c r="VJ17" s="412"/>
      <c r="VK17" s="412"/>
      <c r="VL17" s="412"/>
      <c r="VM17" s="412"/>
      <c r="VN17" s="412"/>
      <c r="VO17" s="412"/>
      <c r="VP17" s="412"/>
      <c r="VQ17" s="412"/>
      <c r="VR17" s="412"/>
      <c r="VS17" s="412"/>
      <c r="VT17" s="412"/>
      <c r="VU17" s="412"/>
      <c r="VV17" s="412"/>
      <c r="VW17" s="412"/>
      <c r="VX17" s="412"/>
      <c r="VY17" s="412"/>
      <c r="VZ17" s="412"/>
      <c r="WA17" s="412"/>
      <c r="WB17" s="412"/>
      <c r="WC17" s="412"/>
      <c r="WD17" s="412"/>
      <c r="WE17" s="412"/>
      <c r="WF17" s="412"/>
      <c r="WG17" s="412"/>
      <c r="WH17" s="412"/>
      <c r="WI17" s="412"/>
      <c r="WJ17" s="412"/>
      <c r="WK17" s="412"/>
      <c r="WL17" s="412"/>
      <c r="WM17" s="412"/>
      <c r="WN17" s="412"/>
      <c r="WO17" s="412"/>
      <c r="WP17" s="412"/>
      <c r="WQ17" s="412"/>
      <c r="WR17" s="412"/>
      <c r="WS17" s="412"/>
      <c r="WT17" s="412"/>
      <c r="WU17" s="412"/>
      <c r="WV17" s="412"/>
      <c r="WW17" s="412"/>
      <c r="WX17" s="412"/>
      <c r="WY17" s="412"/>
      <c r="WZ17" s="412"/>
      <c r="XA17" s="412"/>
      <c r="XB17" s="412"/>
      <c r="XC17" s="412"/>
      <c r="XD17" s="412"/>
      <c r="XE17" s="412"/>
      <c r="XF17" s="412"/>
      <c r="XG17" s="412"/>
      <c r="XH17" s="412"/>
      <c r="XI17" s="412"/>
      <c r="XJ17" s="412"/>
      <c r="XK17" s="412"/>
      <c r="XL17" s="412"/>
      <c r="XM17" s="412"/>
      <c r="XN17" s="412"/>
      <c r="XO17" s="412"/>
      <c r="XP17" s="412"/>
      <c r="XQ17" s="412"/>
      <c r="XR17" s="412"/>
      <c r="XS17" s="412"/>
      <c r="XT17" s="412"/>
      <c r="XU17" s="412"/>
      <c r="XV17" s="412"/>
      <c r="XW17" s="412"/>
      <c r="XX17" s="412"/>
      <c r="XY17" s="412"/>
      <c r="XZ17" s="412"/>
      <c r="YA17" s="412"/>
      <c r="YB17" s="412"/>
      <c r="YC17" s="412"/>
      <c r="YD17" s="412"/>
      <c r="YE17" s="412"/>
      <c r="YF17" s="412"/>
      <c r="YG17" s="412"/>
      <c r="YH17" s="412"/>
      <c r="YI17" s="412"/>
      <c r="YJ17" s="412"/>
      <c r="YK17" s="412"/>
      <c r="YL17" s="412"/>
      <c r="YM17" s="412"/>
      <c r="YN17" s="412"/>
      <c r="YO17" s="412"/>
      <c r="YP17" s="412"/>
      <c r="YQ17" s="412"/>
      <c r="YR17" s="412"/>
      <c r="YS17" s="412"/>
      <c r="YT17" s="412"/>
      <c r="YU17" s="412"/>
      <c r="YV17" s="412"/>
      <c r="YW17" s="412"/>
      <c r="YX17" s="412"/>
      <c r="YY17" s="412"/>
      <c r="YZ17" s="412"/>
      <c r="ZA17" s="412"/>
      <c r="ZB17" s="412"/>
      <c r="ZC17" s="412"/>
      <c r="ZD17" s="412"/>
      <c r="ZE17" s="412"/>
      <c r="ZF17" s="412"/>
      <c r="ZG17" s="412"/>
      <c r="ZH17" s="412"/>
      <c r="ZI17" s="412"/>
      <c r="ZJ17" s="412"/>
      <c r="ZK17" s="412"/>
      <c r="ZL17" s="412"/>
      <c r="ZM17" s="412"/>
      <c r="ZN17" s="412"/>
      <c r="ZO17" s="412"/>
      <c r="ZP17" s="412"/>
      <c r="ZQ17" s="412"/>
      <c r="ZR17" s="412"/>
      <c r="ZS17" s="412"/>
      <c r="ZT17" s="412"/>
      <c r="ZU17" s="412"/>
      <c r="ZV17" s="412"/>
      <c r="ZW17" s="412"/>
      <c r="ZX17" s="412"/>
      <c r="ZY17" s="412"/>
      <c r="ZZ17" s="412"/>
      <c r="AAA17" s="412"/>
      <c r="AAB17" s="412"/>
      <c r="AAC17" s="412"/>
      <c r="AAD17" s="412"/>
      <c r="AAE17" s="412"/>
      <c r="AAF17" s="412"/>
      <c r="AAG17" s="412"/>
      <c r="AAH17" s="412"/>
      <c r="AAI17" s="412"/>
      <c r="AAJ17" s="412"/>
      <c r="AAK17" s="412"/>
      <c r="AAL17" s="412"/>
      <c r="AAM17" s="412"/>
      <c r="AAN17" s="412"/>
      <c r="AAO17" s="412"/>
      <c r="AAP17" s="412"/>
      <c r="AAQ17" s="412"/>
      <c r="AAR17" s="412"/>
      <c r="AAS17" s="412"/>
      <c r="AAT17" s="412"/>
      <c r="AAU17" s="412"/>
      <c r="AAV17" s="412"/>
      <c r="AAW17" s="412"/>
      <c r="AAX17" s="412"/>
      <c r="AAY17" s="412"/>
      <c r="AAZ17" s="412"/>
      <c r="ABA17" s="412"/>
      <c r="ABB17" s="412"/>
      <c r="ABC17" s="412"/>
      <c r="ABD17" s="412"/>
      <c r="ABE17" s="412"/>
      <c r="ABF17" s="412"/>
      <c r="ABG17" s="412"/>
      <c r="ABH17" s="412"/>
      <c r="ABI17" s="412"/>
      <c r="ABJ17" s="412"/>
      <c r="ABK17" s="412"/>
      <c r="ABL17" s="412"/>
      <c r="ABM17" s="412"/>
      <c r="ABN17" s="412"/>
      <c r="ABO17" s="412"/>
      <c r="ABP17" s="412"/>
      <c r="ABQ17" s="412"/>
      <c r="ABR17" s="412"/>
      <c r="ABS17" s="412"/>
      <c r="ABT17" s="412"/>
      <c r="ABU17" s="412"/>
      <c r="ABV17" s="412"/>
      <c r="ABW17" s="412"/>
      <c r="ABX17" s="412"/>
      <c r="ABY17" s="412"/>
      <c r="ABZ17" s="412"/>
      <c r="ACA17" s="412"/>
      <c r="ACB17" s="412"/>
      <c r="ACC17" s="412"/>
      <c r="ACD17" s="412"/>
      <c r="ACE17" s="412"/>
      <c r="ACF17" s="412"/>
      <c r="ACG17" s="412"/>
      <c r="ACH17" s="412"/>
      <c r="ACI17" s="412"/>
      <c r="ACJ17" s="412"/>
      <c r="ACK17" s="412"/>
      <c r="ACL17" s="412"/>
      <c r="ACM17" s="412"/>
      <c r="ACN17" s="412"/>
      <c r="ACO17" s="412"/>
      <c r="ACP17" s="412"/>
      <c r="ACQ17" s="412"/>
      <c r="ACR17" s="412"/>
      <c r="ACS17" s="412"/>
      <c r="ACT17" s="412"/>
      <c r="ACU17" s="412"/>
      <c r="ACV17" s="412"/>
      <c r="ACW17" s="412"/>
      <c r="ACX17" s="412"/>
      <c r="ACY17" s="412"/>
      <c r="ACZ17" s="412"/>
      <c r="ADA17" s="412"/>
      <c r="ADB17" s="412"/>
      <c r="ADC17" s="412"/>
      <c r="ADD17" s="412"/>
      <c r="ADE17" s="412"/>
      <c r="ADF17" s="412"/>
      <c r="ADG17" s="412"/>
      <c r="ADH17" s="412"/>
      <c r="ADI17" s="412"/>
      <c r="ADJ17" s="412"/>
      <c r="ADK17" s="412"/>
      <c r="ADL17" s="412"/>
      <c r="ADM17" s="412"/>
      <c r="ADN17" s="412"/>
      <c r="ADO17" s="412"/>
      <c r="ADP17" s="412"/>
      <c r="ADQ17" s="412"/>
      <c r="ADR17" s="412"/>
      <c r="ADS17" s="412"/>
      <c r="ADT17" s="412"/>
      <c r="ADU17" s="412"/>
      <c r="ADV17" s="412"/>
      <c r="ADW17" s="412"/>
      <c r="ADX17" s="412"/>
      <c r="ADY17" s="412"/>
      <c r="ADZ17" s="412"/>
      <c r="AEA17" s="412"/>
      <c r="AEB17" s="412"/>
      <c r="AEC17" s="412"/>
      <c r="AED17" s="412"/>
      <c r="AEE17" s="412"/>
      <c r="AEF17" s="412"/>
      <c r="AEG17" s="412"/>
      <c r="AEH17" s="412"/>
      <c r="AEI17" s="412"/>
      <c r="AEJ17" s="412"/>
      <c r="AEK17" s="412"/>
      <c r="AEL17" s="412"/>
      <c r="AEM17" s="412"/>
      <c r="AEN17" s="412"/>
      <c r="AEO17" s="412"/>
      <c r="AEP17" s="412"/>
      <c r="AEQ17" s="412"/>
      <c r="AER17" s="412"/>
      <c r="AES17" s="412"/>
      <c r="AET17" s="412"/>
      <c r="AEU17" s="412"/>
      <c r="AEV17" s="412"/>
      <c r="AEW17" s="412"/>
      <c r="AEX17" s="412"/>
      <c r="AEY17" s="412"/>
      <c r="AEZ17" s="412"/>
      <c r="AFA17" s="412"/>
      <c r="AFB17" s="412"/>
      <c r="AFC17" s="412"/>
      <c r="AFD17" s="412"/>
      <c r="AFE17" s="412"/>
      <c r="AFF17" s="412"/>
      <c r="AFG17" s="412"/>
      <c r="AFH17" s="412"/>
      <c r="AFI17" s="412"/>
      <c r="AFJ17" s="412"/>
      <c r="AFK17" s="412"/>
      <c r="AFL17" s="412"/>
      <c r="AFM17" s="412"/>
      <c r="AFN17" s="412"/>
      <c r="AFO17" s="412"/>
      <c r="AFP17" s="412"/>
      <c r="AFQ17" s="412"/>
      <c r="AFR17" s="412"/>
      <c r="AFS17" s="412"/>
      <c r="AFT17" s="412"/>
      <c r="AFU17" s="412"/>
      <c r="AFV17" s="412"/>
      <c r="AFW17" s="412"/>
      <c r="AFX17" s="412"/>
      <c r="AFY17" s="412"/>
      <c r="AFZ17" s="412"/>
      <c r="AGA17" s="412"/>
      <c r="AGB17" s="412"/>
      <c r="AGC17" s="412"/>
      <c r="AGD17" s="412"/>
      <c r="AGE17" s="412"/>
      <c r="AGF17" s="412"/>
      <c r="AGG17" s="412"/>
      <c r="AGH17" s="412"/>
      <c r="AGI17" s="412"/>
      <c r="AGJ17" s="412"/>
      <c r="AGK17" s="412"/>
      <c r="AGL17" s="412"/>
      <c r="AGM17" s="412"/>
      <c r="AGN17" s="412"/>
      <c r="AGO17" s="412"/>
      <c r="AGP17" s="412"/>
      <c r="AGQ17" s="412"/>
      <c r="AGR17" s="412"/>
      <c r="AGS17" s="412"/>
      <c r="AGT17" s="412"/>
      <c r="AGU17" s="412"/>
      <c r="AGV17" s="412"/>
      <c r="AGW17" s="412"/>
      <c r="AGX17" s="412"/>
      <c r="AGY17" s="412"/>
      <c r="AGZ17" s="412"/>
      <c r="AHA17" s="412"/>
      <c r="AHB17" s="412"/>
      <c r="AHC17" s="412"/>
      <c r="AHD17" s="412"/>
      <c r="AHE17" s="412"/>
      <c r="AHF17" s="412"/>
      <c r="AHG17" s="412"/>
      <c r="AHH17" s="412"/>
      <c r="AHI17" s="412"/>
      <c r="AHJ17" s="412"/>
      <c r="AHK17" s="412"/>
      <c r="AHL17" s="412"/>
      <c r="AHM17" s="412"/>
      <c r="AHN17" s="412"/>
      <c r="AHO17" s="412"/>
      <c r="AHP17" s="412"/>
      <c r="AHQ17" s="412"/>
      <c r="AHR17" s="412"/>
      <c r="AHS17" s="412"/>
      <c r="AHT17" s="412"/>
      <c r="AHU17" s="412"/>
      <c r="AHV17" s="412"/>
      <c r="AHW17" s="412"/>
      <c r="AHX17" s="412"/>
      <c r="AHY17" s="412"/>
      <c r="AHZ17" s="412"/>
      <c r="AIA17" s="412"/>
      <c r="AIB17" s="412"/>
      <c r="AIC17" s="412"/>
      <c r="AID17" s="412"/>
      <c r="AIE17" s="412"/>
      <c r="AIF17" s="412"/>
      <c r="AIG17" s="412"/>
      <c r="AIH17" s="412"/>
      <c r="AII17" s="412"/>
      <c r="AIJ17" s="412"/>
      <c r="AIK17" s="412"/>
      <c r="AIL17" s="412"/>
      <c r="AIM17" s="412"/>
      <c r="AIN17" s="412"/>
      <c r="AIO17" s="412"/>
      <c r="AIP17" s="412"/>
      <c r="AIQ17" s="412"/>
      <c r="AIR17" s="412"/>
      <c r="AIS17" s="412"/>
      <c r="AIT17" s="412"/>
      <c r="AIU17" s="412"/>
      <c r="AIV17" s="412"/>
      <c r="AIW17" s="412"/>
      <c r="AIX17" s="412"/>
      <c r="AIY17" s="412"/>
      <c r="AIZ17" s="412"/>
      <c r="AJA17" s="412"/>
      <c r="AJB17" s="412"/>
      <c r="AJC17" s="412"/>
      <c r="AJD17" s="412"/>
      <c r="AJE17" s="412"/>
      <c r="AJF17" s="412"/>
      <c r="AJG17" s="412"/>
      <c r="AJH17" s="412"/>
      <c r="AJI17" s="412"/>
      <c r="AJJ17" s="412"/>
      <c r="AJK17" s="412"/>
      <c r="AJL17" s="412"/>
      <c r="AJM17" s="412"/>
      <c r="AJN17" s="412"/>
      <c r="AJO17" s="412"/>
      <c r="AJP17" s="412"/>
      <c r="AJQ17" s="412"/>
      <c r="AJR17" s="412"/>
      <c r="AJS17" s="412"/>
      <c r="AJT17" s="412"/>
      <c r="AJU17" s="412"/>
      <c r="AJV17" s="412"/>
      <c r="AJW17" s="412"/>
      <c r="AJX17" s="412"/>
      <c r="AJY17" s="412"/>
      <c r="AJZ17" s="412"/>
      <c r="AKA17" s="412"/>
      <c r="AKB17" s="412"/>
      <c r="AKC17" s="412"/>
      <c r="AKD17" s="412"/>
      <c r="AKE17" s="412"/>
      <c r="AKF17" s="412"/>
      <c r="AKG17" s="412"/>
      <c r="AKH17" s="412"/>
      <c r="AKI17" s="412"/>
      <c r="AKJ17" s="412"/>
      <c r="AKK17" s="412"/>
      <c r="AKL17" s="412"/>
      <c r="AKM17" s="412"/>
      <c r="AKN17" s="412"/>
      <c r="AKO17" s="412"/>
      <c r="AKP17" s="412"/>
      <c r="AKQ17" s="412"/>
      <c r="AKR17" s="412"/>
      <c r="AKS17" s="412"/>
      <c r="AKT17" s="412"/>
      <c r="AKU17" s="412"/>
      <c r="AKV17" s="412"/>
      <c r="AKW17" s="412"/>
      <c r="AKX17" s="412"/>
      <c r="AKY17" s="412"/>
      <c r="AKZ17" s="412"/>
      <c r="ALA17" s="412"/>
      <c r="ALB17" s="412"/>
      <c r="ALC17" s="412"/>
      <c r="ALD17" s="412"/>
      <c r="ALE17" s="412"/>
      <c r="ALF17" s="412"/>
      <c r="ALG17" s="412"/>
      <c r="ALH17" s="412"/>
      <c r="ALI17" s="412"/>
      <c r="ALJ17" s="412"/>
      <c r="ALK17" s="412"/>
      <c r="ALL17" s="412"/>
      <c r="ALM17" s="412"/>
      <c r="ALN17" s="412"/>
      <c r="ALO17" s="412"/>
      <c r="ALP17" s="412"/>
      <c r="ALQ17" s="412"/>
      <c r="ALR17" s="412"/>
      <c r="ALS17" s="412"/>
      <c r="ALT17" s="412"/>
      <c r="ALU17" s="412"/>
      <c r="ALV17" s="412"/>
      <c r="ALW17" s="412"/>
      <c r="ALX17" s="412"/>
      <c r="ALY17" s="412"/>
      <c r="ALZ17" s="412"/>
      <c r="AMA17" s="412"/>
      <c r="AMB17" s="412"/>
      <c r="AMC17" s="412"/>
      <c r="AMD17" s="412"/>
      <c r="AME17" s="412"/>
      <c r="AMF17" s="412"/>
      <c r="AMG17" s="412"/>
      <c r="AMH17" s="412"/>
      <c r="AMI17" s="412"/>
      <c r="AMJ17" s="412"/>
      <c r="AMK17" s="412"/>
      <c r="AML17" s="412"/>
      <c r="AMM17" s="412"/>
      <c r="AMN17" s="412"/>
      <c r="AMO17" s="412"/>
      <c r="AMP17" s="412"/>
      <c r="AMQ17" s="412"/>
      <c r="AMR17" s="412"/>
      <c r="AMS17" s="412"/>
      <c r="AMT17" s="412"/>
      <c r="AMU17" s="412"/>
      <c r="AMV17" s="412"/>
      <c r="AMW17" s="412"/>
      <c r="AMX17" s="412"/>
      <c r="AMY17" s="412"/>
      <c r="AMZ17" s="412"/>
      <c r="ANA17" s="412"/>
      <c r="ANB17" s="412"/>
      <c r="ANC17" s="412"/>
      <c r="AND17" s="412"/>
      <c r="ANE17" s="412"/>
      <c r="ANF17" s="412"/>
      <c r="ANG17" s="412"/>
      <c r="ANH17" s="412"/>
      <c r="ANI17" s="412"/>
      <c r="ANJ17" s="412"/>
      <c r="ANK17" s="412"/>
      <c r="ANL17" s="412"/>
      <c r="ANM17" s="412"/>
      <c r="ANN17" s="412"/>
      <c r="ANO17" s="412"/>
      <c r="ANP17" s="412"/>
      <c r="ANQ17" s="412"/>
      <c r="ANR17" s="412"/>
      <c r="ANS17" s="412"/>
      <c r="ANT17" s="412"/>
      <c r="ANU17" s="412"/>
      <c r="ANV17" s="412"/>
      <c r="ANW17" s="412"/>
      <c r="ANX17" s="412"/>
      <c r="ANY17" s="412"/>
      <c r="ANZ17" s="412"/>
      <c r="AOA17" s="412"/>
      <c r="AOB17" s="412"/>
      <c r="AOC17" s="412"/>
      <c r="AOD17" s="412"/>
      <c r="AOE17" s="412"/>
      <c r="AOF17" s="412"/>
      <c r="AOG17" s="412"/>
      <c r="AOH17" s="412"/>
      <c r="AOI17" s="412"/>
      <c r="AOJ17" s="412"/>
      <c r="AOK17" s="412"/>
      <c r="AOL17" s="412"/>
      <c r="AOM17" s="412"/>
      <c r="AON17" s="412"/>
      <c r="AOO17" s="412"/>
      <c r="AOP17" s="412"/>
      <c r="AOQ17" s="412"/>
      <c r="AOR17" s="412"/>
      <c r="AOS17" s="412"/>
      <c r="AOT17" s="412"/>
      <c r="AOU17" s="412"/>
      <c r="AOV17" s="412"/>
      <c r="AOW17" s="412"/>
      <c r="AOX17" s="412"/>
      <c r="AOY17" s="412"/>
      <c r="AOZ17" s="412"/>
      <c r="APA17" s="412"/>
      <c r="APB17" s="412"/>
      <c r="APC17" s="412"/>
      <c r="APD17" s="412"/>
      <c r="APE17" s="412"/>
      <c r="APF17" s="412"/>
      <c r="APG17" s="412"/>
      <c r="APH17" s="412"/>
      <c r="API17" s="412"/>
      <c r="APJ17" s="412"/>
      <c r="APK17" s="412"/>
      <c r="APL17" s="412"/>
      <c r="APM17" s="412"/>
      <c r="APN17" s="412"/>
      <c r="APO17" s="412"/>
      <c r="APP17" s="412"/>
      <c r="APQ17" s="412"/>
      <c r="APR17" s="412"/>
      <c r="APS17" s="412"/>
      <c r="APT17" s="412"/>
      <c r="APU17" s="412"/>
      <c r="APV17" s="412"/>
      <c r="APW17" s="412"/>
      <c r="APX17" s="412"/>
      <c r="APY17" s="412"/>
      <c r="APZ17" s="412"/>
      <c r="AQA17" s="412"/>
      <c r="AQB17" s="412"/>
      <c r="AQC17" s="412"/>
      <c r="AQD17" s="412"/>
      <c r="AQE17" s="412"/>
      <c r="AQF17" s="412"/>
      <c r="AQG17" s="412"/>
      <c r="AQH17" s="412"/>
      <c r="AQI17" s="412"/>
      <c r="AQJ17" s="412"/>
      <c r="AQK17" s="412"/>
      <c r="AQL17" s="412"/>
      <c r="AQM17" s="412"/>
      <c r="AQN17" s="412"/>
      <c r="AQO17" s="412"/>
      <c r="AQP17" s="412"/>
      <c r="AQQ17" s="412"/>
      <c r="AQR17" s="412"/>
      <c r="AQS17" s="412"/>
      <c r="AQT17" s="412"/>
      <c r="AQU17" s="412"/>
      <c r="AQV17" s="412"/>
      <c r="AQW17" s="412"/>
      <c r="AQX17" s="412"/>
      <c r="AQY17" s="412"/>
      <c r="AQZ17" s="412"/>
      <c r="ARA17" s="412"/>
      <c r="ARB17" s="412"/>
      <c r="ARC17" s="412"/>
      <c r="ARD17" s="412"/>
      <c r="ARE17" s="412"/>
      <c r="ARF17" s="412"/>
      <c r="ARG17" s="412"/>
      <c r="ARH17" s="412"/>
      <c r="ARI17" s="412"/>
      <c r="ARJ17" s="412"/>
      <c r="ARK17" s="412"/>
      <c r="ARL17" s="412"/>
      <c r="ARM17" s="412"/>
      <c r="ARN17" s="412"/>
      <c r="ARO17" s="412"/>
      <c r="ARP17" s="412"/>
      <c r="ARQ17" s="412"/>
      <c r="ARR17" s="412"/>
      <c r="ARS17" s="412"/>
      <c r="ART17" s="412"/>
      <c r="ARU17" s="412"/>
      <c r="ARV17" s="412"/>
      <c r="ARW17" s="412"/>
      <c r="ARX17" s="412"/>
      <c r="ARY17" s="412"/>
      <c r="ARZ17" s="412"/>
      <c r="ASA17" s="412"/>
      <c r="ASB17" s="412"/>
      <c r="ASC17" s="412"/>
      <c r="ASD17" s="412"/>
      <c r="ASE17" s="412"/>
      <c r="ASF17" s="412"/>
      <c r="ASG17" s="412"/>
      <c r="ASH17" s="412"/>
      <c r="ASI17" s="412"/>
      <c r="ASJ17" s="412"/>
      <c r="ASK17" s="412"/>
      <c r="ASL17" s="412"/>
      <c r="ASM17" s="412"/>
      <c r="ASN17" s="412"/>
      <c r="ASO17" s="412"/>
      <c r="ASP17" s="412"/>
      <c r="ASQ17" s="412"/>
      <c r="ASR17" s="412"/>
      <c r="ASS17" s="412"/>
      <c r="AST17" s="412"/>
      <c r="ASU17" s="412"/>
      <c r="ASV17" s="412"/>
      <c r="ASW17" s="412"/>
      <c r="ASX17" s="412"/>
      <c r="ASY17" s="412"/>
      <c r="ASZ17" s="412"/>
      <c r="ATA17" s="412"/>
      <c r="ATB17" s="412"/>
      <c r="ATC17" s="412"/>
      <c r="ATD17" s="412"/>
      <c r="ATE17" s="412"/>
      <c r="ATF17" s="412"/>
      <c r="ATG17" s="412"/>
      <c r="ATH17" s="412"/>
      <c r="ATI17" s="412"/>
      <c r="ATJ17" s="412"/>
      <c r="ATK17" s="412"/>
      <c r="ATL17" s="412"/>
      <c r="ATM17" s="412"/>
      <c r="ATN17" s="412"/>
      <c r="ATO17" s="412"/>
      <c r="ATP17" s="412"/>
      <c r="ATQ17" s="412"/>
      <c r="ATR17" s="412"/>
      <c r="ATS17" s="412"/>
      <c r="ATT17" s="412"/>
      <c r="ATU17" s="412"/>
      <c r="ATV17" s="412"/>
      <c r="ATW17" s="412"/>
      <c r="ATX17" s="412"/>
      <c r="ATY17" s="412"/>
      <c r="ATZ17" s="412"/>
      <c r="AUA17" s="412"/>
      <c r="AUB17" s="412"/>
      <c r="AUC17" s="412"/>
      <c r="AUD17" s="412"/>
      <c r="AUE17" s="412"/>
      <c r="AUF17" s="412"/>
      <c r="AUG17" s="412"/>
      <c r="AUH17" s="412"/>
      <c r="AUI17" s="412"/>
      <c r="AUJ17" s="412"/>
      <c r="AUK17" s="412"/>
      <c r="AUL17" s="412"/>
      <c r="AUM17" s="412"/>
      <c r="AUN17" s="412"/>
      <c r="AUO17" s="412"/>
      <c r="AUP17" s="412"/>
      <c r="AUQ17" s="412"/>
      <c r="AUR17" s="412"/>
      <c r="AUS17" s="412"/>
      <c r="AUT17" s="412"/>
      <c r="AUU17" s="412"/>
      <c r="AUV17" s="412"/>
      <c r="AUW17" s="412"/>
      <c r="AUX17" s="412"/>
      <c r="AUY17" s="412"/>
      <c r="AUZ17" s="412"/>
      <c r="AVA17" s="412"/>
      <c r="AVB17" s="412"/>
      <c r="AVC17" s="412"/>
      <c r="AVD17" s="412"/>
      <c r="AVE17" s="412"/>
      <c r="AVF17" s="412"/>
      <c r="AVG17" s="412"/>
      <c r="AVH17" s="412"/>
      <c r="AVI17" s="412"/>
      <c r="AVJ17" s="412"/>
      <c r="AVK17" s="412"/>
      <c r="AVL17" s="412"/>
      <c r="AVM17" s="412"/>
      <c r="AVN17" s="412"/>
      <c r="AVO17" s="412"/>
      <c r="AVP17" s="412"/>
      <c r="AVQ17" s="412"/>
      <c r="AVR17" s="412"/>
      <c r="AVS17" s="412"/>
      <c r="AVT17" s="412"/>
      <c r="AVU17" s="412"/>
      <c r="AVV17" s="412"/>
      <c r="AVW17" s="412"/>
      <c r="AVX17" s="412"/>
      <c r="AVY17" s="412"/>
      <c r="AVZ17" s="412"/>
      <c r="AWA17" s="412"/>
      <c r="AWB17" s="412"/>
      <c r="AWC17" s="412"/>
      <c r="AWD17" s="412"/>
      <c r="AWE17" s="412"/>
      <c r="AWF17" s="412"/>
      <c r="AWG17" s="412"/>
      <c r="AWH17" s="412"/>
      <c r="AWI17" s="412"/>
      <c r="AWJ17" s="412"/>
      <c r="AWK17" s="412"/>
      <c r="AWL17" s="412"/>
      <c r="AWM17" s="412"/>
      <c r="AWN17" s="412"/>
      <c r="AWO17" s="412"/>
      <c r="AWP17" s="412"/>
      <c r="AWQ17" s="412"/>
      <c r="AWR17" s="412"/>
      <c r="AWS17" s="412"/>
      <c r="AWT17" s="412"/>
      <c r="AWU17" s="412"/>
      <c r="AWV17" s="412"/>
      <c r="AWW17" s="412"/>
      <c r="AWX17" s="412"/>
      <c r="AWY17" s="412"/>
      <c r="AWZ17" s="412"/>
      <c r="AXA17" s="412"/>
      <c r="AXB17" s="412"/>
      <c r="AXC17" s="412"/>
      <c r="AXD17" s="412"/>
      <c r="AXE17" s="412"/>
      <c r="AXF17" s="412"/>
      <c r="AXG17" s="412"/>
      <c r="AXH17" s="412"/>
      <c r="AXI17" s="412"/>
      <c r="AXJ17" s="412"/>
      <c r="AXK17" s="412"/>
      <c r="AXL17" s="412"/>
      <c r="AXM17" s="412"/>
      <c r="AXN17" s="412"/>
      <c r="AXO17" s="412"/>
      <c r="AXP17" s="412"/>
      <c r="AXQ17" s="412"/>
      <c r="AXR17" s="412"/>
      <c r="AXS17" s="412"/>
      <c r="AXT17" s="412"/>
      <c r="AXU17" s="412"/>
      <c r="AXV17" s="412"/>
      <c r="AXW17" s="412"/>
      <c r="AXX17" s="412"/>
      <c r="AXY17" s="412"/>
      <c r="AXZ17" s="412"/>
      <c r="AYA17" s="412"/>
      <c r="AYB17" s="412"/>
      <c r="AYC17" s="412"/>
      <c r="AYD17" s="412"/>
      <c r="AYE17" s="412"/>
      <c r="AYF17" s="412"/>
      <c r="AYG17" s="412"/>
      <c r="AYH17" s="412"/>
      <c r="AYI17" s="412"/>
      <c r="AYJ17" s="412"/>
      <c r="AYK17" s="412"/>
      <c r="AYL17" s="412"/>
      <c r="AYM17" s="412"/>
      <c r="AYN17" s="412"/>
      <c r="AYO17" s="412"/>
      <c r="AYP17" s="412"/>
      <c r="AYQ17" s="412"/>
      <c r="AYR17" s="412"/>
      <c r="AYS17" s="412"/>
      <c r="AYT17" s="412"/>
      <c r="AYU17" s="412"/>
      <c r="AYV17" s="412"/>
      <c r="AYW17" s="412"/>
      <c r="AYX17" s="412"/>
      <c r="AYY17" s="412"/>
      <c r="AYZ17" s="412"/>
      <c r="AZA17" s="412"/>
      <c r="AZB17" s="412"/>
      <c r="AZC17" s="412"/>
      <c r="AZD17" s="412"/>
      <c r="AZE17" s="412"/>
      <c r="AZF17" s="412"/>
      <c r="AZG17" s="412"/>
      <c r="AZH17" s="412"/>
      <c r="AZI17" s="412"/>
      <c r="AZJ17" s="412"/>
      <c r="AZK17" s="412"/>
      <c r="AZL17" s="412"/>
      <c r="AZM17" s="412"/>
      <c r="AZN17" s="412"/>
      <c r="AZO17" s="412"/>
      <c r="AZP17" s="412"/>
      <c r="AZQ17" s="412"/>
      <c r="AZR17" s="412"/>
      <c r="AZS17" s="412"/>
      <c r="AZT17" s="412"/>
      <c r="AZU17" s="412"/>
      <c r="AZV17" s="412"/>
      <c r="AZW17" s="412"/>
      <c r="AZX17" s="412"/>
      <c r="AZY17" s="412"/>
      <c r="AZZ17" s="412"/>
      <c r="BAA17" s="412"/>
      <c r="BAB17" s="412"/>
      <c r="BAC17" s="412"/>
      <c r="BAD17" s="412"/>
      <c r="BAE17" s="412"/>
      <c r="BAF17" s="412"/>
      <c r="BAG17" s="412"/>
      <c r="BAH17" s="412"/>
      <c r="BAI17" s="412"/>
      <c r="BAJ17" s="412"/>
      <c r="BAK17" s="412"/>
      <c r="BAL17" s="412"/>
      <c r="BAM17" s="412"/>
      <c r="BAN17" s="412"/>
      <c r="BAO17" s="412"/>
      <c r="BAP17" s="412"/>
      <c r="BAQ17" s="412"/>
      <c r="BAR17" s="412"/>
      <c r="BAS17" s="412"/>
      <c r="BAT17" s="412"/>
      <c r="BAU17" s="412"/>
      <c r="BAV17" s="412"/>
      <c r="BAW17" s="412"/>
      <c r="BAX17" s="412"/>
      <c r="BAY17" s="412"/>
      <c r="BAZ17" s="412"/>
      <c r="BBA17" s="412"/>
      <c r="BBB17" s="412"/>
      <c r="BBC17" s="412"/>
      <c r="BBD17" s="412"/>
      <c r="BBE17" s="412"/>
      <c r="BBF17" s="412"/>
      <c r="BBG17" s="412"/>
      <c r="BBH17" s="412"/>
      <c r="BBI17" s="412"/>
      <c r="BBJ17" s="412"/>
      <c r="BBK17" s="412"/>
      <c r="BBL17" s="412"/>
      <c r="BBM17" s="412"/>
      <c r="BBN17" s="412"/>
      <c r="BBO17" s="412"/>
      <c r="BBP17" s="412"/>
      <c r="BBQ17" s="412"/>
      <c r="BBR17" s="412"/>
      <c r="BBS17" s="412"/>
      <c r="BBT17" s="412"/>
      <c r="BBU17" s="412"/>
      <c r="BBV17" s="412"/>
      <c r="BBW17" s="412"/>
      <c r="BBX17" s="412"/>
      <c r="BBY17" s="412"/>
      <c r="BBZ17" s="412"/>
      <c r="BCA17" s="412"/>
      <c r="BCB17" s="412"/>
      <c r="BCC17" s="412"/>
      <c r="BCD17" s="412"/>
      <c r="BCE17" s="412"/>
      <c r="BCF17" s="412"/>
      <c r="BCG17" s="412"/>
      <c r="BCH17" s="412"/>
      <c r="BCI17" s="412"/>
      <c r="BCJ17" s="412"/>
      <c r="BCK17" s="412"/>
      <c r="BCL17" s="412"/>
      <c r="BCM17" s="412"/>
      <c r="BCN17" s="412"/>
      <c r="BCO17" s="412"/>
      <c r="BCP17" s="412"/>
      <c r="BCQ17" s="412"/>
      <c r="BCR17" s="412"/>
      <c r="BCS17" s="412"/>
      <c r="BCT17" s="412"/>
      <c r="BCU17" s="412"/>
      <c r="BCV17" s="412"/>
      <c r="BCW17" s="412"/>
      <c r="BCX17" s="412"/>
      <c r="BCY17" s="412"/>
      <c r="BCZ17" s="412"/>
      <c r="BDA17" s="412"/>
      <c r="BDB17" s="412"/>
      <c r="BDC17" s="412"/>
      <c r="BDD17" s="412"/>
      <c r="BDE17" s="412"/>
      <c r="BDF17" s="412"/>
      <c r="BDG17" s="412"/>
      <c r="BDH17" s="412"/>
      <c r="BDI17" s="412"/>
      <c r="BDJ17" s="412"/>
      <c r="BDK17" s="412"/>
      <c r="BDL17" s="412"/>
      <c r="BDM17" s="412"/>
      <c r="BDN17" s="412"/>
      <c r="BDO17" s="412"/>
      <c r="BDP17" s="412"/>
      <c r="BDQ17" s="412"/>
      <c r="BDR17" s="412"/>
      <c r="BDS17" s="412"/>
      <c r="BDT17" s="412"/>
      <c r="BDU17" s="412"/>
      <c r="BDV17" s="412"/>
      <c r="BDW17" s="412"/>
      <c r="BDX17" s="412"/>
      <c r="BDY17" s="412"/>
      <c r="BDZ17" s="412"/>
      <c r="BEA17" s="412"/>
      <c r="BEB17" s="412"/>
      <c r="BEC17" s="412"/>
      <c r="BED17" s="412"/>
      <c r="BEE17" s="412"/>
      <c r="BEF17" s="412"/>
      <c r="BEG17" s="412"/>
      <c r="BEH17" s="412"/>
      <c r="BEI17" s="412"/>
      <c r="BEJ17" s="412"/>
      <c r="BEK17" s="412"/>
      <c r="BEL17" s="412"/>
      <c r="BEM17" s="412"/>
      <c r="BEN17" s="412"/>
      <c r="BEO17" s="412"/>
      <c r="BEP17" s="412"/>
      <c r="BEQ17" s="412"/>
      <c r="BER17" s="412"/>
      <c r="BES17" s="412"/>
      <c r="BET17" s="412"/>
      <c r="BEU17" s="412"/>
      <c r="BEV17" s="412"/>
      <c r="BEW17" s="412"/>
      <c r="BEX17" s="412"/>
      <c r="BEY17" s="412"/>
      <c r="BEZ17" s="412"/>
      <c r="BFA17" s="412"/>
      <c r="BFB17" s="412"/>
      <c r="BFC17" s="412"/>
      <c r="BFD17" s="412"/>
      <c r="BFE17" s="412"/>
      <c r="BFF17" s="412"/>
      <c r="BFG17" s="412"/>
      <c r="BFH17" s="412"/>
      <c r="BFI17" s="412"/>
      <c r="BFJ17" s="412"/>
      <c r="BFK17" s="412"/>
      <c r="BFL17" s="412"/>
      <c r="BFM17" s="412"/>
      <c r="BFN17" s="412"/>
      <c r="BFO17" s="412"/>
      <c r="BFP17" s="412"/>
      <c r="BFQ17" s="412"/>
      <c r="BFR17" s="412"/>
      <c r="BFS17" s="412"/>
      <c r="BFT17" s="412"/>
      <c r="BFU17" s="412"/>
      <c r="BFV17" s="412"/>
      <c r="BFW17" s="412"/>
      <c r="BFX17" s="412"/>
      <c r="BFY17" s="412"/>
      <c r="BFZ17" s="412"/>
      <c r="BGA17" s="412"/>
      <c r="BGB17" s="412"/>
      <c r="BGC17" s="412"/>
      <c r="BGD17" s="412"/>
      <c r="BGE17" s="412"/>
      <c r="BGF17" s="412"/>
      <c r="BGG17" s="412"/>
      <c r="BGH17" s="412"/>
      <c r="BGI17" s="412"/>
      <c r="BGJ17" s="412"/>
      <c r="BGK17" s="412"/>
      <c r="BGL17" s="412"/>
      <c r="BGM17" s="412"/>
      <c r="BGN17" s="412"/>
      <c r="BGO17" s="412"/>
      <c r="BGP17" s="412"/>
      <c r="BGQ17" s="412"/>
      <c r="BGR17" s="412"/>
      <c r="BGS17" s="412"/>
      <c r="BGT17" s="412"/>
      <c r="BGU17" s="412"/>
      <c r="BGV17" s="412"/>
      <c r="BGW17" s="412"/>
      <c r="BGX17" s="412"/>
      <c r="BGY17" s="412"/>
      <c r="BGZ17" s="412"/>
      <c r="BHA17" s="412"/>
      <c r="BHB17" s="412"/>
      <c r="BHC17" s="412"/>
      <c r="BHD17" s="412"/>
      <c r="BHE17" s="412"/>
      <c r="BHF17" s="412"/>
      <c r="BHG17" s="412"/>
      <c r="BHH17" s="412"/>
      <c r="BHI17" s="412"/>
      <c r="BHJ17" s="412"/>
      <c r="BHK17" s="412"/>
      <c r="BHL17" s="412"/>
      <c r="BHM17" s="412"/>
      <c r="BHN17" s="412"/>
      <c r="BHO17" s="412"/>
      <c r="BHP17" s="412"/>
      <c r="BHQ17" s="412"/>
      <c r="BHR17" s="412"/>
      <c r="BHS17" s="412"/>
      <c r="BHT17" s="412"/>
      <c r="BHU17" s="412"/>
      <c r="BHV17" s="412"/>
      <c r="BHW17" s="412"/>
      <c r="BHX17" s="412"/>
      <c r="BHY17" s="412"/>
      <c r="BHZ17" s="412"/>
      <c r="BIA17" s="412"/>
      <c r="BIB17" s="412"/>
      <c r="BIC17" s="412"/>
      <c r="BID17" s="412"/>
      <c r="BIE17" s="412"/>
      <c r="BIF17" s="412"/>
      <c r="BIG17" s="412"/>
      <c r="BIH17" s="412"/>
      <c r="BII17" s="412"/>
      <c r="BIJ17" s="412"/>
      <c r="BIK17" s="412"/>
      <c r="BIL17" s="412"/>
      <c r="BIM17" s="412"/>
      <c r="BIN17" s="412"/>
      <c r="BIO17" s="412"/>
      <c r="BIP17" s="412"/>
      <c r="BIQ17" s="412"/>
      <c r="BIR17" s="412"/>
      <c r="BIS17" s="412"/>
      <c r="BIT17" s="412"/>
      <c r="BIU17" s="412"/>
      <c r="BIV17" s="412"/>
      <c r="BIW17" s="412"/>
      <c r="BIX17" s="412"/>
      <c r="BIY17" s="412"/>
      <c r="BIZ17" s="412"/>
      <c r="BJA17" s="412"/>
      <c r="BJB17" s="412"/>
      <c r="BJC17" s="412"/>
      <c r="BJD17" s="412"/>
      <c r="BJE17" s="412"/>
      <c r="BJF17" s="412"/>
      <c r="BJG17" s="412"/>
      <c r="BJH17" s="412"/>
      <c r="BJI17" s="412"/>
      <c r="BJJ17" s="412"/>
      <c r="BJK17" s="412"/>
      <c r="BJL17" s="412"/>
      <c r="BJM17" s="412"/>
      <c r="BJN17" s="412"/>
      <c r="BJO17" s="412"/>
      <c r="BJP17" s="412"/>
      <c r="BJQ17" s="412"/>
      <c r="BJR17" s="412"/>
      <c r="BJS17" s="412"/>
      <c r="BJT17" s="412"/>
      <c r="BJU17" s="412"/>
      <c r="BJV17" s="412"/>
      <c r="BJW17" s="412"/>
      <c r="BJX17" s="412"/>
      <c r="BJY17" s="412"/>
      <c r="BJZ17" s="412"/>
      <c r="BKA17" s="412"/>
      <c r="BKB17" s="412"/>
      <c r="BKC17" s="412"/>
      <c r="BKD17" s="412"/>
      <c r="BKE17" s="412"/>
      <c r="BKF17" s="412"/>
      <c r="BKG17" s="412"/>
      <c r="BKH17" s="412"/>
      <c r="BKI17" s="412"/>
      <c r="BKJ17" s="412"/>
      <c r="BKK17" s="412"/>
      <c r="BKL17" s="412"/>
      <c r="BKM17" s="412"/>
      <c r="BKN17" s="412"/>
      <c r="BKO17" s="412"/>
      <c r="BKP17" s="412"/>
      <c r="BKQ17" s="412"/>
      <c r="BKR17" s="412"/>
      <c r="BKS17" s="412"/>
      <c r="BKT17" s="412"/>
      <c r="BKU17" s="412"/>
      <c r="BKV17" s="412"/>
      <c r="BKW17" s="412"/>
      <c r="BKX17" s="412"/>
      <c r="BKY17" s="412"/>
      <c r="BKZ17" s="412"/>
      <c r="BLA17" s="412"/>
      <c r="BLB17" s="412"/>
      <c r="BLC17" s="412"/>
      <c r="BLD17" s="412"/>
      <c r="BLE17" s="412"/>
      <c r="BLF17" s="412"/>
      <c r="BLG17" s="412"/>
      <c r="BLH17" s="412"/>
      <c r="BLI17" s="412"/>
      <c r="BLJ17" s="412"/>
      <c r="BLK17" s="412"/>
      <c r="BLL17" s="412"/>
      <c r="BLM17" s="412"/>
      <c r="BLN17" s="412"/>
      <c r="BLO17" s="412"/>
      <c r="BLP17" s="412"/>
      <c r="BLQ17" s="412"/>
      <c r="BLR17" s="412"/>
      <c r="BLS17" s="412"/>
      <c r="BLT17" s="412"/>
      <c r="BLU17" s="412"/>
      <c r="BLV17" s="412"/>
      <c r="BLW17" s="412"/>
      <c r="BLX17" s="412"/>
      <c r="BLY17" s="412"/>
      <c r="BLZ17" s="412"/>
      <c r="BMA17" s="412"/>
      <c r="BMB17" s="412"/>
      <c r="BMC17" s="412"/>
      <c r="BMD17" s="412"/>
      <c r="BME17" s="412"/>
      <c r="BMF17" s="412"/>
      <c r="BMG17" s="412"/>
      <c r="BMH17" s="412"/>
      <c r="BMI17" s="412"/>
      <c r="BMJ17" s="412"/>
      <c r="BMK17" s="412"/>
      <c r="BML17" s="412"/>
      <c r="BMM17" s="412"/>
      <c r="BMN17" s="412"/>
      <c r="BMO17" s="412"/>
      <c r="BMP17" s="412"/>
      <c r="BMQ17" s="412"/>
      <c r="BMR17" s="412"/>
      <c r="BMS17" s="412"/>
      <c r="BMT17" s="412"/>
      <c r="BMU17" s="412"/>
      <c r="BMV17" s="412"/>
      <c r="BMW17" s="412"/>
      <c r="BMX17" s="412"/>
      <c r="BMY17" s="412"/>
      <c r="BMZ17" s="412"/>
      <c r="BNA17" s="412"/>
      <c r="BNB17" s="412"/>
      <c r="BNC17" s="412"/>
      <c r="BND17" s="412"/>
      <c r="BNE17" s="412"/>
      <c r="BNF17" s="412"/>
      <c r="BNG17" s="412"/>
      <c r="BNH17" s="412"/>
      <c r="BNI17" s="412"/>
      <c r="BNJ17" s="412"/>
      <c r="BNK17" s="412"/>
      <c r="BNL17" s="412"/>
      <c r="BNM17" s="412"/>
      <c r="BNN17" s="412"/>
      <c r="BNO17" s="412"/>
      <c r="BNP17" s="412"/>
      <c r="BNQ17" s="412"/>
      <c r="BNR17" s="412"/>
      <c r="BNS17" s="412"/>
      <c r="BNT17" s="412"/>
      <c r="BNU17" s="412"/>
      <c r="BNV17" s="412"/>
      <c r="BNW17" s="412"/>
      <c r="BNX17" s="412"/>
      <c r="BNY17" s="412"/>
      <c r="BNZ17" s="412"/>
      <c r="BOA17" s="412"/>
      <c r="BOB17" s="412"/>
      <c r="BOC17" s="412"/>
      <c r="BOD17" s="412"/>
      <c r="BOE17" s="412"/>
      <c r="BOF17" s="412"/>
      <c r="BOG17" s="412"/>
      <c r="BOH17" s="412"/>
      <c r="BOI17" s="412"/>
      <c r="BOJ17" s="412"/>
      <c r="BOK17" s="412"/>
      <c r="BOL17" s="412"/>
      <c r="BOM17" s="412"/>
      <c r="BON17" s="412"/>
      <c r="BOO17" s="412"/>
      <c r="BOP17" s="412"/>
      <c r="BOQ17" s="412"/>
      <c r="BOR17" s="412"/>
      <c r="BOS17" s="412"/>
      <c r="BOT17" s="412"/>
      <c r="BOU17" s="412"/>
      <c r="BOV17" s="412"/>
      <c r="BOW17" s="412"/>
      <c r="BOX17" s="412"/>
      <c r="BOY17" s="412"/>
      <c r="BOZ17" s="412"/>
      <c r="BPA17" s="412"/>
      <c r="BPB17" s="412"/>
      <c r="BPC17" s="412"/>
      <c r="BPD17" s="412"/>
      <c r="BPE17" s="412"/>
      <c r="BPF17" s="412"/>
      <c r="BPG17" s="412"/>
      <c r="BPH17" s="412"/>
      <c r="BPI17" s="412"/>
      <c r="BPJ17" s="412"/>
      <c r="BPK17" s="412"/>
      <c r="BPL17" s="412"/>
      <c r="BPM17" s="412"/>
      <c r="BPN17" s="412"/>
      <c r="BPO17" s="412"/>
      <c r="BPP17" s="412"/>
      <c r="BPQ17" s="412"/>
      <c r="BPR17" s="412"/>
      <c r="BPS17" s="412"/>
      <c r="BPT17" s="412"/>
      <c r="BPU17" s="412"/>
      <c r="BPV17" s="412"/>
      <c r="BPW17" s="412"/>
      <c r="BPX17" s="412"/>
      <c r="BPY17" s="412"/>
      <c r="BPZ17" s="412"/>
      <c r="BQA17" s="412"/>
      <c r="BQB17" s="412"/>
      <c r="BQC17" s="412"/>
      <c r="BQD17" s="412"/>
      <c r="BQE17" s="412"/>
      <c r="BQF17" s="412"/>
      <c r="BQG17" s="412"/>
      <c r="BQH17" s="412"/>
      <c r="BQI17" s="412"/>
      <c r="BQJ17" s="412"/>
      <c r="BQK17" s="412"/>
      <c r="BQL17" s="412"/>
      <c r="BQM17" s="412"/>
      <c r="BQN17" s="412"/>
      <c r="BQO17" s="412"/>
      <c r="BQP17" s="412"/>
      <c r="BQQ17" s="412"/>
      <c r="BQR17" s="412"/>
      <c r="BQS17" s="412"/>
      <c r="BQT17" s="412"/>
      <c r="BQU17" s="412"/>
      <c r="BQV17" s="412"/>
      <c r="BQW17" s="412"/>
      <c r="BQX17" s="412"/>
      <c r="BQY17" s="412"/>
      <c r="BQZ17" s="412"/>
      <c r="BRA17" s="412"/>
      <c r="BRB17" s="412"/>
      <c r="BRC17" s="412"/>
      <c r="BRD17" s="412"/>
      <c r="BRE17" s="412"/>
      <c r="BRF17" s="412"/>
      <c r="BRG17" s="412"/>
      <c r="BRH17" s="412"/>
      <c r="BRI17" s="412"/>
      <c r="BRJ17" s="412"/>
      <c r="BRK17" s="412"/>
      <c r="BRL17" s="412"/>
      <c r="BRM17" s="412"/>
      <c r="BRN17" s="412"/>
      <c r="BRO17" s="412"/>
      <c r="BRP17" s="412"/>
      <c r="BRQ17" s="412"/>
      <c r="BRR17" s="412"/>
      <c r="BRS17" s="412"/>
      <c r="BRT17" s="412"/>
      <c r="BRU17" s="412"/>
      <c r="BRV17" s="412"/>
      <c r="BRW17" s="412"/>
      <c r="BRX17" s="412"/>
      <c r="BRY17" s="412"/>
      <c r="BRZ17" s="412"/>
      <c r="BSA17" s="412"/>
      <c r="BSB17" s="412"/>
      <c r="BSC17" s="412"/>
      <c r="BSD17" s="412"/>
      <c r="BSE17" s="412"/>
      <c r="BSF17" s="412"/>
      <c r="BSG17" s="412"/>
      <c r="BSH17" s="412"/>
      <c r="BSI17" s="412"/>
      <c r="BSJ17" s="412"/>
      <c r="BSK17" s="412"/>
      <c r="BSL17" s="412"/>
      <c r="BSM17" s="412"/>
      <c r="BSN17" s="412"/>
      <c r="BSO17" s="412"/>
      <c r="BSP17" s="412"/>
      <c r="BSQ17" s="412"/>
      <c r="BSR17" s="412"/>
      <c r="BSS17" s="412"/>
      <c r="BST17" s="412"/>
      <c r="BSU17" s="412"/>
      <c r="BSV17" s="412"/>
      <c r="BSW17" s="412"/>
      <c r="BSX17" s="412"/>
      <c r="BSY17" s="412"/>
      <c r="BSZ17" s="412"/>
      <c r="BTA17" s="412"/>
      <c r="BTB17" s="412"/>
      <c r="BTC17" s="412"/>
      <c r="BTD17" s="412"/>
      <c r="BTE17" s="412"/>
      <c r="BTF17" s="412"/>
      <c r="BTG17" s="412"/>
      <c r="BTH17" s="412"/>
      <c r="BTI17" s="412"/>
    </row>
    <row r="18" spans="1:1881" s="393" customFormat="1" ht="99.75" customHeight="1" thickBot="1" x14ac:dyDescent="0.4">
      <c r="A18" s="473">
        <v>632</v>
      </c>
      <c r="B18" s="474" t="s">
        <v>835</v>
      </c>
      <c r="C18" s="470" t="s">
        <v>136</v>
      </c>
      <c r="D18" s="471" t="s">
        <v>1091</v>
      </c>
      <c r="E18" s="893" t="s">
        <v>837</v>
      </c>
      <c r="F18" s="647"/>
      <c r="G18" s="475">
        <f>IF(F18&gt;F12,"Please review account numbers 632 &gt; 626",)</f>
        <v>0</v>
      </c>
      <c r="H18" s="456"/>
      <c r="I18" s="458"/>
      <c r="J18" s="368"/>
      <c r="K18" s="460"/>
      <c r="L18" s="865" t="s">
        <v>1116</v>
      </c>
      <c r="M18" s="633"/>
      <c r="N18" s="656"/>
      <c r="O18" s="412"/>
      <c r="P18" s="412"/>
      <c r="Q18" s="412"/>
      <c r="R18" s="412"/>
      <c r="S18" s="412"/>
      <c r="T18" s="412"/>
      <c r="U18" s="412"/>
      <c r="V18" s="412"/>
      <c r="W18" s="412"/>
      <c r="X18" s="412"/>
      <c r="Y18" s="412"/>
      <c r="Z18" s="412"/>
      <c r="AA18" s="412"/>
      <c r="AB18" s="412"/>
      <c r="AC18" s="412"/>
      <c r="AD18" s="412"/>
      <c r="AE18" s="412"/>
      <c r="AF18" s="412"/>
      <c r="AG18" s="412"/>
      <c r="AH18" s="412"/>
      <c r="AI18" s="412"/>
      <c r="AJ18" s="412"/>
      <c r="AK18" s="412"/>
      <c r="AL18" s="412"/>
      <c r="AM18" s="412"/>
      <c r="AN18" s="412"/>
      <c r="AO18" s="412"/>
      <c r="AP18" s="412"/>
      <c r="AQ18" s="412"/>
      <c r="AR18" s="412"/>
      <c r="AS18" s="412"/>
      <c r="AT18" s="412"/>
      <c r="AU18" s="412"/>
      <c r="AV18" s="412"/>
      <c r="AW18" s="412"/>
      <c r="AX18" s="412"/>
      <c r="AY18" s="412"/>
      <c r="AZ18" s="412"/>
      <c r="BA18" s="412"/>
      <c r="BB18" s="412"/>
      <c r="BC18" s="412"/>
      <c r="BD18" s="412"/>
      <c r="BE18" s="412"/>
      <c r="BF18" s="412"/>
      <c r="BG18" s="412"/>
      <c r="BH18" s="412"/>
      <c r="BI18" s="412"/>
      <c r="BJ18" s="412"/>
      <c r="BK18" s="412"/>
      <c r="BL18" s="412"/>
      <c r="BM18" s="412"/>
      <c r="BN18" s="412"/>
      <c r="BO18" s="412"/>
      <c r="BP18" s="412"/>
      <c r="BQ18" s="412"/>
      <c r="BR18" s="412"/>
      <c r="BS18" s="412"/>
      <c r="BT18" s="412"/>
      <c r="BU18" s="412"/>
      <c r="BV18" s="412"/>
      <c r="BW18" s="412"/>
      <c r="BX18" s="412"/>
      <c r="BY18" s="412"/>
      <c r="BZ18" s="412"/>
      <c r="CA18" s="412"/>
      <c r="CB18" s="412"/>
      <c r="CC18" s="412"/>
      <c r="CD18" s="412"/>
      <c r="CE18" s="412"/>
      <c r="CF18" s="412"/>
      <c r="CG18" s="412"/>
      <c r="CH18" s="412"/>
      <c r="CI18" s="412"/>
      <c r="CJ18" s="412"/>
      <c r="CK18" s="412"/>
      <c r="CL18" s="412"/>
      <c r="CM18" s="412"/>
      <c r="CN18" s="412"/>
      <c r="CO18" s="412"/>
      <c r="CP18" s="412"/>
      <c r="CQ18" s="412"/>
      <c r="CR18" s="412"/>
      <c r="CS18" s="412"/>
      <c r="CT18" s="412"/>
      <c r="CU18" s="412"/>
      <c r="CV18" s="412"/>
      <c r="CW18" s="412"/>
      <c r="CX18" s="412"/>
      <c r="CY18" s="412"/>
      <c r="CZ18" s="412"/>
      <c r="DA18" s="412"/>
      <c r="DB18" s="412"/>
      <c r="DC18" s="412"/>
      <c r="DD18" s="412"/>
      <c r="DE18" s="412"/>
      <c r="DF18" s="412"/>
      <c r="DG18" s="412"/>
      <c r="DH18" s="412"/>
      <c r="DI18" s="412"/>
      <c r="DJ18" s="412"/>
      <c r="DK18" s="412"/>
      <c r="DL18" s="412"/>
      <c r="DM18" s="412"/>
      <c r="DN18" s="412"/>
      <c r="DO18" s="412"/>
      <c r="DP18" s="412"/>
      <c r="DQ18" s="412"/>
      <c r="DR18" s="412"/>
      <c r="DS18" s="412"/>
      <c r="DT18" s="412"/>
      <c r="DU18" s="412"/>
      <c r="DV18" s="412"/>
      <c r="DW18" s="412"/>
      <c r="DX18" s="412"/>
      <c r="DY18" s="412"/>
      <c r="DZ18" s="412"/>
      <c r="EA18" s="412"/>
      <c r="EB18" s="412"/>
      <c r="EC18" s="412"/>
      <c r="ED18" s="412"/>
      <c r="EE18" s="412"/>
      <c r="EF18" s="412"/>
      <c r="EG18" s="412"/>
      <c r="EH18" s="412"/>
      <c r="EI18" s="412"/>
      <c r="EJ18" s="412"/>
      <c r="EK18" s="412"/>
      <c r="EL18" s="412"/>
      <c r="EM18" s="412"/>
      <c r="EN18" s="412"/>
      <c r="EO18" s="412"/>
      <c r="EP18" s="412"/>
      <c r="EQ18" s="412"/>
      <c r="ER18" s="412"/>
      <c r="ES18" s="412"/>
      <c r="ET18" s="412"/>
      <c r="EU18" s="412"/>
      <c r="EV18" s="412"/>
      <c r="EW18" s="412"/>
      <c r="EX18" s="412"/>
      <c r="EY18" s="412"/>
      <c r="EZ18" s="412"/>
      <c r="FA18" s="412"/>
      <c r="FB18" s="412"/>
      <c r="FC18" s="412"/>
      <c r="FD18" s="412"/>
      <c r="FE18" s="412"/>
      <c r="FF18" s="412"/>
      <c r="FG18" s="412"/>
      <c r="FH18" s="412"/>
      <c r="FI18" s="412"/>
      <c r="FJ18" s="412"/>
      <c r="FK18" s="412"/>
      <c r="FL18" s="412"/>
      <c r="FM18" s="412"/>
      <c r="FN18" s="412"/>
      <c r="FO18" s="412"/>
      <c r="FP18" s="412"/>
      <c r="FQ18" s="412"/>
      <c r="FR18" s="412"/>
      <c r="FS18" s="412"/>
      <c r="FT18" s="412"/>
      <c r="FU18" s="412"/>
      <c r="FV18" s="412"/>
      <c r="FW18" s="412"/>
      <c r="FX18" s="412"/>
      <c r="FY18" s="412"/>
      <c r="FZ18" s="412"/>
      <c r="GA18" s="412"/>
      <c r="GB18" s="412"/>
      <c r="GC18" s="412"/>
      <c r="GD18" s="412"/>
      <c r="GE18" s="412"/>
      <c r="GF18" s="412"/>
      <c r="GG18" s="412"/>
      <c r="GH18" s="412"/>
      <c r="GI18" s="412"/>
      <c r="GJ18" s="412"/>
      <c r="GK18" s="412"/>
      <c r="GL18" s="412"/>
      <c r="GM18" s="412"/>
      <c r="GN18" s="412"/>
      <c r="GO18" s="412"/>
      <c r="GP18" s="412"/>
      <c r="GQ18" s="412"/>
      <c r="GR18" s="412"/>
      <c r="GS18" s="412"/>
      <c r="GT18" s="412"/>
      <c r="GU18" s="412"/>
      <c r="GV18" s="412"/>
      <c r="GW18" s="412"/>
      <c r="GX18" s="412"/>
      <c r="GY18" s="412"/>
      <c r="GZ18" s="412"/>
      <c r="HA18" s="412"/>
      <c r="HB18" s="412"/>
      <c r="HC18" s="412"/>
      <c r="HD18" s="412"/>
      <c r="HE18" s="412"/>
      <c r="HF18" s="412"/>
      <c r="HG18" s="412"/>
      <c r="HH18" s="412"/>
      <c r="HI18" s="412"/>
      <c r="HJ18" s="412"/>
      <c r="HK18" s="412"/>
      <c r="HL18" s="412"/>
      <c r="HM18" s="412"/>
      <c r="HN18" s="412"/>
      <c r="HO18" s="412"/>
      <c r="HP18" s="412"/>
      <c r="HQ18" s="412"/>
      <c r="HR18" s="412"/>
      <c r="HS18" s="412"/>
      <c r="HT18" s="412"/>
      <c r="HU18" s="412"/>
      <c r="HV18" s="412"/>
      <c r="HW18" s="412"/>
      <c r="HX18" s="412"/>
      <c r="HY18" s="412"/>
      <c r="HZ18" s="412"/>
      <c r="IA18" s="412"/>
      <c r="IB18" s="412"/>
      <c r="IC18" s="412"/>
      <c r="ID18" s="412"/>
      <c r="IE18" s="412"/>
      <c r="IF18" s="412"/>
      <c r="IG18" s="412"/>
      <c r="IH18" s="412"/>
      <c r="II18" s="412"/>
      <c r="IJ18" s="412"/>
      <c r="IK18" s="412"/>
      <c r="IL18" s="412"/>
      <c r="IM18" s="412"/>
      <c r="IN18" s="412"/>
      <c r="IO18" s="412"/>
      <c r="IP18" s="412"/>
      <c r="IQ18" s="412"/>
      <c r="IR18" s="412"/>
      <c r="IS18" s="412"/>
      <c r="IT18" s="412"/>
      <c r="IU18" s="412"/>
      <c r="IV18" s="412"/>
      <c r="IW18" s="412"/>
      <c r="IX18" s="412"/>
      <c r="IY18" s="412"/>
      <c r="IZ18" s="412"/>
      <c r="JA18" s="412"/>
      <c r="JB18" s="412"/>
      <c r="JC18" s="412"/>
      <c r="JD18" s="412"/>
      <c r="JE18" s="412"/>
      <c r="JF18" s="412"/>
      <c r="JG18" s="412"/>
      <c r="JH18" s="412"/>
      <c r="JI18" s="412"/>
      <c r="JJ18" s="412"/>
      <c r="JK18" s="412"/>
      <c r="JL18" s="412"/>
      <c r="JM18" s="412"/>
      <c r="JN18" s="412"/>
      <c r="JO18" s="412"/>
      <c r="JP18" s="412"/>
      <c r="JQ18" s="412"/>
      <c r="JR18" s="412"/>
      <c r="JS18" s="412"/>
      <c r="JT18" s="412"/>
      <c r="JU18" s="412"/>
      <c r="JV18" s="412"/>
      <c r="JW18" s="412"/>
      <c r="JX18" s="412"/>
      <c r="JY18" s="412"/>
      <c r="JZ18" s="412"/>
      <c r="KA18" s="412"/>
      <c r="KB18" s="412"/>
      <c r="KC18" s="412"/>
      <c r="KD18" s="412"/>
      <c r="KE18" s="412"/>
      <c r="KF18" s="412"/>
      <c r="KG18" s="412"/>
      <c r="KH18" s="412"/>
      <c r="KI18" s="412"/>
      <c r="KJ18" s="412"/>
      <c r="KK18" s="412"/>
      <c r="KL18" s="412"/>
      <c r="KM18" s="412"/>
      <c r="KN18" s="412"/>
      <c r="KO18" s="412"/>
      <c r="KP18" s="412"/>
      <c r="KQ18" s="412"/>
      <c r="KR18" s="412"/>
      <c r="KS18" s="412"/>
      <c r="KT18" s="412"/>
      <c r="KU18" s="412"/>
      <c r="KV18" s="412"/>
      <c r="KW18" s="412"/>
      <c r="KX18" s="412"/>
      <c r="KY18" s="412"/>
      <c r="KZ18" s="412"/>
      <c r="LA18" s="412"/>
      <c r="LB18" s="412"/>
      <c r="LC18" s="412"/>
      <c r="LD18" s="412"/>
      <c r="LE18" s="412"/>
      <c r="LF18" s="412"/>
      <c r="LG18" s="412"/>
      <c r="LH18" s="412"/>
      <c r="LI18" s="412"/>
      <c r="LJ18" s="412"/>
      <c r="LK18" s="412"/>
      <c r="LL18" s="412"/>
      <c r="LM18" s="412"/>
      <c r="LN18" s="412"/>
      <c r="LO18" s="412"/>
      <c r="LP18" s="412"/>
      <c r="LQ18" s="412"/>
      <c r="LR18" s="412"/>
      <c r="LS18" s="412"/>
      <c r="LT18" s="412"/>
      <c r="LU18" s="412"/>
      <c r="LV18" s="412"/>
      <c r="LW18" s="412"/>
      <c r="LX18" s="412"/>
      <c r="LY18" s="412"/>
      <c r="LZ18" s="412"/>
      <c r="MA18" s="412"/>
      <c r="MB18" s="412"/>
      <c r="MC18" s="412"/>
      <c r="MD18" s="412"/>
      <c r="ME18" s="412"/>
      <c r="MF18" s="412"/>
      <c r="MG18" s="412"/>
      <c r="MH18" s="412"/>
      <c r="MI18" s="412"/>
      <c r="MJ18" s="412"/>
      <c r="MK18" s="412"/>
      <c r="ML18" s="412"/>
      <c r="MM18" s="412"/>
      <c r="MN18" s="412"/>
      <c r="MO18" s="412"/>
      <c r="MP18" s="412"/>
      <c r="MQ18" s="412"/>
      <c r="MR18" s="412"/>
      <c r="MS18" s="412"/>
      <c r="MT18" s="412"/>
      <c r="MU18" s="412"/>
      <c r="MV18" s="412"/>
      <c r="MW18" s="412"/>
      <c r="MX18" s="412"/>
      <c r="MY18" s="412"/>
      <c r="MZ18" s="412"/>
      <c r="NA18" s="412"/>
      <c r="NB18" s="412"/>
      <c r="NC18" s="412"/>
      <c r="ND18" s="412"/>
      <c r="NE18" s="412"/>
      <c r="NF18" s="412"/>
      <c r="NG18" s="412"/>
      <c r="NH18" s="412"/>
      <c r="NI18" s="412"/>
      <c r="NJ18" s="412"/>
      <c r="NK18" s="412"/>
      <c r="NL18" s="412"/>
      <c r="NM18" s="412"/>
      <c r="NN18" s="412"/>
      <c r="NO18" s="412"/>
      <c r="NP18" s="412"/>
      <c r="NQ18" s="412"/>
      <c r="NR18" s="412"/>
      <c r="NS18" s="412"/>
      <c r="NT18" s="412"/>
      <c r="NU18" s="412"/>
      <c r="NV18" s="412"/>
      <c r="NW18" s="412"/>
      <c r="NX18" s="412"/>
      <c r="NY18" s="412"/>
      <c r="NZ18" s="412"/>
      <c r="OA18" s="412"/>
      <c r="OB18" s="412"/>
      <c r="OC18" s="412"/>
      <c r="OD18" s="412"/>
      <c r="OE18" s="412"/>
      <c r="OF18" s="412"/>
      <c r="OG18" s="412"/>
      <c r="OH18" s="412"/>
      <c r="OI18" s="412"/>
      <c r="OJ18" s="412"/>
      <c r="OK18" s="412"/>
      <c r="OL18" s="412"/>
      <c r="OM18" s="412"/>
      <c r="ON18" s="412"/>
      <c r="OO18" s="412"/>
      <c r="OP18" s="412"/>
      <c r="OQ18" s="412"/>
      <c r="OR18" s="412"/>
      <c r="OS18" s="412"/>
      <c r="OT18" s="412"/>
      <c r="OU18" s="412"/>
      <c r="OV18" s="412"/>
      <c r="OW18" s="412"/>
      <c r="OX18" s="412"/>
      <c r="OY18" s="412"/>
      <c r="OZ18" s="412"/>
      <c r="PA18" s="412"/>
      <c r="PB18" s="412"/>
      <c r="PC18" s="412"/>
      <c r="PD18" s="412"/>
      <c r="PE18" s="412"/>
      <c r="PF18" s="412"/>
      <c r="PG18" s="412"/>
      <c r="PH18" s="412"/>
      <c r="PI18" s="412"/>
      <c r="PJ18" s="412"/>
      <c r="PK18" s="412"/>
      <c r="PL18" s="412"/>
      <c r="PM18" s="412"/>
      <c r="PN18" s="412"/>
      <c r="PO18" s="412"/>
      <c r="PP18" s="412"/>
      <c r="PQ18" s="412"/>
      <c r="PR18" s="412"/>
      <c r="PS18" s="412"/>
      <c r="PT18" s="412"/>
      <c r="PU18" s="412"/>
      <c r="PV18" s="412"/>
      <c r="PW18" s="412"/>
      <c r="PX18" s="412"/>
      <c r="PY18" s="412"/>
      <c r="PZ18" s="412"/>
      <c r="QA18" s="412"/>
      <c r="QB18" s="412"/>
      <c r="QC18" s="412"/>
      <c r="QD18" s="412"/>
      <c r="QE18" s="412"/>
      <c r="QF18" s="412"/>
      <c r="QG18" s="412"/>
      <c r="QH18" s="412"/>
      <c r="QI18" s="412"/>
      <c r="QJ18" s="412"/>
      <c r="QK18" s="412"/>
      <c r="QL18" s="412"/>
      <c r="QM18" s="412"/>
      <c r="QN18" s="412"/>
      <c r="QO18" s="412"/>
      <c r="QP18" s="412"/>
      <c r="QQ18" s="412"/>
      <c r="QR18" s="412"/>
      <c r="QS18" s="412"/>
      <c r="QT18" s="412"/>
      <c r="QU18" s="412"/>
      <c r="QV18" s="412"/>
      <c r="QW18" s="412"/>
      <c r="QX18" s="412"/>
      <c r="QY18" s="412"/>
      <c r="QZ18" s="412"/>
      <c r="RA18" s="412"/>
      <c r="RB18" s="412"/>
      <c r="RC18" s="412"/>
      <c r="RD18" s="412"/>
      <c r="RE18" s="412"/>
      <c r="RF18" s="412"/>
      <c r="RG18" s="412"/>
      <c r="RH18" s="412"/>
      <c r="RI18" s="412"/>
      <c r="RJ18" s="412"/>
      <c r="RK18" s="412"/>
      <c r="RL18" s="412"/>
      <c r="RM18" s="412"/>
      <c r="RN18" s="412"/>
      <c r="RO18" s="412"/>
      <c r="RP18" s="412"/>
      <c r="RQ18" s="412"/>
      <c r="RR18" s="412"/>
      <c r="RS18" s="412"/>
      <c r="RT18" s="412"/>
      <c r="RU18" s="412"/>
      <c r="RV18" s="412"/>
      <c r="RW18" s="412"/>
      <c r="RX18" s="412"/>
      <c r="RY18" s="412"/>
      <c r="RZ18" s="412"/>
      <c r="SA18" s="412"/>
      <c r="SB18" s="412"/>
      <c r="SC18" s="412"/>
      <c r="SD18" s="412"/>
      <c r="SE18" s="412"/>
      <c r="SF18" s="412"/>
      <c r="SG18" s="412"/>
      <c r="SH18" s="412"/>
      <c r="SI18" s="412"/>
      <c r="SJ18" s="412"/>
      <c r="SK18" s="412"/>
      <c r="SL18" s="412"/>
      <c r="SM18" s="412"/>
      <c r="SN18" s="412"/>
      <c r="SO18" s="412"/>
      <c r="SP18" s="412"/>
      <c r="SQ18" s="412"/>
      <c r="SR18" s="412"/>
      <c r="SS18" s="412"/>
      <c r="ST18" s="412"/>
      <c r="SU18" s="412"/>
      <c r="SV18" s="412"/>
      <c r="SW18" s="412"/>
      <c r="SX18" s="412"/>
      <c r="SY18" s="412"/>
      <c r="SZ18" s="412"/>
      <c r="TA18" s="412"/>
      <c r="TB18" s="412"/>
      <c r="TC18" s="412"/>
      <c r="TD18" s="412"/>
      <c r="TE18" s="412"/>
      <c r="TF18" s="412"/>
      <c r="TG18" s="412"/>
      <c r="TH18" s="412"/>
      <c r="TI18" s="412"/>
      <c r="TJ18" s="412"/>
      <c r="TK18" s="412"/>
      <c r="TL18" s="412"/>
      <c r="TM18" s="412"/>
      <c r="TN18" s="412"/>
      <c r="TO18" s="412"/>
      <c r="TP18" s="412"/>
      <c r="TQ18" s="412"/>
      <c r="TR18" s="412"/>
      <c r="TS18" s="412"/>
      <c r="TT18" s="412"/>
      <c r="TU18" s="412"/>
      <c r="TV18" s="412"/>
      <c r="TW18" s="412"/>
      <c r="TX18" s="412"/>
      <c r="TY18" s="412"/>
      <c r="TZ18" s="412"/>
      <c r="UA18" s="412"/>
      <c r="UB18" s="412"/>
      <c r="UC18" s="412"/>
      <c r="UD18" s="412"/>
      <c r="UE18" s="412"/>
      <c r="UF18" s="412"/>
      <c r="UG18" s="412"/>
      <c r="UH18" s="412"/>
      <c r="UI18" s="412"/>
      <c r="UJ18" s="412"/>
      <c r="UK18" s="412"/>
      <c r="UL18" s="412"/>
      <c r="UM18" s="412"/>
      <c r="UN18" s="412"/>
      <c r="UO18" s="412"/>
      <c r="UP18" s="412"/>
      <c r="UQ18" s="412"/>
      <c r="UR18" s="412"/>
      <c r="US18" s="412"/>
      <c r="UT18" s="412"/>
      <c r="UU18" s="412"/>
      <c r="UV18" s="412"/>
      <c r="UW18" s="412"/>
      <c r="UX18" s="412"/>
      <c r="UY18" s="412"/>
      <c r="UZ18" s="412"/>
      <c r="VA18" s="412"/>
      <c r="VB18" s="412"/>
      <c r="VC18" s="412"/>
      <c r="VD18" s="412"/>
      <c r="VE18" s="412"/>
      <c r="VF18" s="412"/>
      <c r="VG18" s="412"/>
      <c r="VH18" s="412"/>
      <c r="VI18" s="412"/>
      <c r="VJ18" s="412"/>
      <c r="VK18" s="412"/>
      <c r="VL18" s="412"/>
      <c r="VM18" s="412"/>
      <c r="VN18" s="412"/>
      <c r="VO18" s="412"/>
      <c r="VP18" s="412"/>
      <c r="VQ18" s="412"/>
      <c r="VR18" s="412"/>
      <c r="VS18" s="412"/>
      <c r="VT18" s="412"/>
      <c r="VU18" s="412"/>
      <c r="VV18" s="412"/>
      <c r="VW18" s="412"/>
      <c r="VX18" s="412"/>
      <c r="VY18" s="412"/>
      <c r="VZ18" s="412"/>
      <c r="WA18" s="412"/>
      <c r="WB18" s="412"/>
      <c r="WC18" s="412"/>
      <c r="WD18" s="412"/>
      <c r="WE18" s="412"/>
      <c r="WF18" s="412"/>
      <c r="WG18" s="412"/>
      <c r="WH18" s="412"/>
      <c r="WI18" s="412"/>
      <c r="WJ18" s="412"/>
      <c r="WK18" s="412"/>
      <c r="WL18" s="412"/>
      <c r="WM18" s="412"/>
      <c r="WN18" s="412"/>
      <c r="WO18" s="412"/>
      <c r="WP18" s="412"/>
      <c r="WQ18" s="412"/>
      <c r="WR18" s="412"/>
      <c r="WS18" s="412"/>
      <c r="WT18" s="412"/>
      <c r="WU18" s="412"/>
      <c r="WV18" s="412"/>
      <c r="WW18" s="412"/>
      <c r="WX18" s="412"/>
      <c r="WY18" s="412"/>
      <c r="WZ18" s="412"/>
      <c r="XA18" s="412"/>
      <c r="XB18" s="412"/>
      <c r="XC18" s="412"/>
      <c r="XD18" s="412"/>
      <c r="XE18" s="412"/>
      <c r="XF18" s="412"/>
      <c r="XG18" s="412"/>
      <c r="XH18" s="412"/>
      <c r="XI18" s="412"/>
      <c r="XJ18" s="412"/>
      <c r="XK18" s="412"/>
      <c r="XL18" s="412"/>
      <c r="XM18" s="412"/>
      <c r="XN18" s="412"/>
      <c r="XO18" s="412"/>
      <c r="XP18" s="412"/>
      <c r="XQ18" s="412"/>
      <c r="XR18" s="412"/>
      <c r="XS18" s="412"/>
      <c r="XT18" s="412"/>
      <c r="XU18" s="412"/>
      <c r="XV18" s="412"/>
      <c r="XW18" s="412"/>
      <c r="XX18" s="412"/>
      <c r="XY18" s="412"/>
      <c r="XZ18" s="412"/>
      <c r="YA18" s="412"/>
      <c r="YB18" s="412"/>
      <c r="YC18" s="412"/>
      <c r="YD18" s="412"/>
      <c r="YE18" s="412"/>
      <c r="YF18" s="412"/>
      <c r="YG18" s="412"/>
      <c r="YH18" s="412"/>
      <c r="YI18" s="412"/>
      <c r="YJ18" s="412"/>
      <c r="YK18" s="412"/>
      <c r="YL18" s="412"/>
      <c r="YM18" s="412"/>
      <c r="YN18" s="412"/>
      <c r="YO18" s="412"/>
      <c r="YP18" s="412"/>
      <c r="YQ18" s="412"/>
      <c r="YR18" s="412"/>
      <c r="YS18" s="412"/>
      <c r="YT18" s="412"/>
      <c r="YU18" s="412"/>
      <c r="YV18" s="412"/>
      <c r="YW18" s="412"/>
      <c r="YX18" s="412"/>
      <c r="YY18" s="412"/>
      <c r="YZ18" s="412"/>
      <c r="ZA18" s="412"/>
      <c r="ZB18" s="412"/>
      <c r="ZC18" s="412"/>
      <c r="ZD18" s="412"/>
      <c r="ZE18" s="412"/>
      <c r="ZF18" s="412"/>
      <c r="ZG18" s="412"/>
      <c r="ZH18" s="412"/>
      <c r="ZI18" s="412"/>
      <c r="ZJ18" s="412"/>
      <c r="ZK18" s="412"/>
      <c r="ZL18" s="412"/>
      <c r="ZM18" s="412"/>
      <c r="ZN18" s="412"/>
      <c r="ZO18" s="412"/>
      <c r="ZP18" s="412"/>
      <c r="ZQ18" s="412"/>
      <c r="ZR18" s="412"/>
      <c r="ZS18" s="412"/>
      <c r="ZT18" s="412"/>
      <c r="ZU18" s="412"/>
      <c r="ZV18" s="412"/>
      <c r="ZW18" s="412"/>
      <c r="ZX18" s="412"/>
      <c r="ZY18" s="412"/>
      <c r="ZZ18" s="412"/>
      <c r="AAA18" s="412"/>
      <c r="AAB18" s="412"/>
      <c r="AAC18" s="412"/>
      <c r="AAD18" s="412"/>
      <c r="AAE18" s="412"/>
      <c r="AAF18" s="412"/>
      <c r="AAG18" s="412"/>
      <c r="AAH18" s="412"/>
      <c r="AAI18" s="412"/>
      <c r="AAJ18" s="412"/>
      <c r="AAK18" s="412"/>
      <c r="AAL18" s="412"/>
      <c r="AAM18" s="412"/>
      <c r="AAN18" s="412"/>
      <c r="AAO18" s="412"/>
      <c r="AAP18" s="412"/>
      <c r="AAQ18" s="412"/>
      <c r="AAR18" s="412"/>
      <c r="AAS18" s="412"/>
      <c r="AAT18" s="412"/>
      <c r="AAU18" s="412"/>
      <c r="AAV18" s="412"/>
      <c r="AAW18" s="412"/>
      <c r="AAX18" s="412"/>
      <c r="AAY18" s="412"/>
      <c r="AAZ18" s="412"/>
      <c r="ABA18" s="412"/>
      <c r="ABB18" s="412"/>
      <c r="ABC18" s="412"/>
      <c r="ABD18" s="412"/>
      <c r="ABE18" s="412"/>
      <c r="ABF18" s="412"/>
      <c r="ABG18" s="412"/>
      <c r="ABH18" s="412"/>
      <c r="ABI18" s="412"/>
      <c r="ABJ18" s="412"/>
      <c r="ABK18" s="412"/>
      <c r="ABL18" s="412"/>
      <c r="ABM18" s="412"/>
      <c r="ABN18" s="412"/>
      <c r="ABO18" s="412"/>
      <c r="ABP18" s="412"/>
      <c r="ABQ18" s="412"/>
      <c r="ABR18" s="412"/>
      <c r="ABS18" s="412"/>
      <c r="ABT18" s="412"/>
      <c r="ABU18" s="412"/>
      <c r="ABV18" s="412"/>
      <c r="ABW18" s="412"/>
      <c r="ABX18" s="412"/>
      <c r="ABY18" s="412"/>
      <c r="ABZ18" s="412"/>
      <c r="ACA18" s="412"/>
      <c r="ACB18" s="412"/>
      <c r="ACC18" s="412"/>
      <c r="ACD18" s="412"/>
      <c r="ACE18" s="412"/>
      <c r="ACF18" s="412"/>
      <c r="ACG18" s="412"/>
      <c r="ACH18" s="412"/>
      <c r="ACI18" s="412"/>
      <c r="ACJ18" s="412"/>
      <c r="ACK18" s="412"/>
      <c r="ACL18" s="412"/>
      <c r="ACM18" s="412"/>
      <c r="ACN18" s="412"/>
      <c r="ACO18" s="412"/>
      <c r="ACP18" s="412"/>
      <c r="ACQ18" s="412"/>
      <c r="ACR18" s="412"/>
      <c r="ACS18" s="412"/>
      <c r="ACT18" s="412"/>
      <c r="ACU18" s="412"/>
      <c r="ACV18" s="412"/>
      <c r="ACW18" s="412"/>
      <c r="ACX18" s="412"/>
      <c r="ACY18" s="412"/>
      <c r="ACZ18" s="412"/>
      <c r="ADA18" s="412"/>
      <c r="ADB18" s="412"/>
      <c r="ADC18" s="412"/>
      <c r="ADD18" s="412"/>
      <c r="ADE18" s="412"/>
      <c r="ADF18" s="412"/>
      <c r="ADG18" s="412"/>
      <c r="ADH18" s="412"/>
      <c r="ADI18" s="412"/>
      <c r="ADJ18" s="412"/>
      <c r="ADK18" s="412"/>
      <c r="ADL18" s="412"/>
      <c r="ADM18" s="412"/>
      <c r="ADN18" s="412"/>
      <c r="ADO18" s="412"/>
      <c r="ADP18" s="412"/>
      <c r="ADQ18" s="412"/>
      <c r="ADR18" s="412"/>
      <c r="ADS18" s="412"/>
      <c r="ADT18" s="412"/>
      <c r="ADU18" s="412"/>
      <c r="ADV18" s="412"/>
      <c r="ADW18" s="412"/>
      <c r="ADX18" s="412"/>
      <c r="ADY18" s="412"/>
      <c r="ADZ18" s="412"/>
      <c r="AEA18" s="412"/>
      <c r="AEB18" s="412"/>
      <c r="AEC18" s="412"/>
      <c r="AED18" s="412"/>
      <c r="AEE18" s="412"/>
      <c r="AEF18" s="412"/>
      <c r="AEG18" s="412"/>
      <c r="AEH18" s="412"/>
      <c r="AEI18" s="412"/>
      <c r="AEJ18" s="412"/>
      <c r="AEK18" s="412"/>
      <c r="AEL18" s="412"/>
      <c r="AEM18" s="412"/>
      <c r="AEN18" s="412"/>
      <c r="AEO18" s="412"/>
      <c r="AEP18" s="412"/>
      <c r="AEQ18" s="412"/>
      <c r="AER18" s="412"/>
      <c r="AES18" s="412"/>
      <c r="AET18" s="412"/>
      <c r="AEU18" s="412"/>
      <c r="AEV18" s="412"/>
      <c r="AEW18" s="412"/>
      <c r="AEX18" s="412"/>
      <c r="AEY18" s="412"/>
      <c r="AEZ18" s="412"/>
      <c r="AFA18" s="412"/>
      <c r="AFB18" s="412"/>
      <c r="AFC18" s="412"/>
      <c r="AFD18" s="412"/>
      <c r="AFE18" s="412"/>
      <c r="AFF18" s="412"/>
      <c r="AFG18" s="412"/>
      <c r="AFH18" s="412"/>
      <c r="AFI18" s="412"/>
      <c r="AFJ18" s="412"/>
      <c r="AFK18" s="412"/>
      <c r="AFL18" s="412"/>
      <c r="AFM18" s="412"/>
      <c r="AFN18" s="412"/>
      <c r="AFO18" s="412"/>
      <c r="AFP18" s="412"/>
      <c r="AFQ18" s="412"/>
      <c r="AFR18" s="412"/>
      <c r="AFS18" s="412"/>
      <c r="AFT18" s="412"/>
      <c r="AFU18" s="412"/>
      <c r="AFV18" s="412"/>
      <c r="AFW18" s="412"/>
      <c r="AFX18" s="412"/>
      <c r="AFY18" s="412"/>
      <c r="AFZ18" s="412"/>
      <c r="AGA18" s="412"/>
      <c r="AGB18" s="412"/>
      <c r="AGC18" s="412"/>
      <c r="AGD18" s="412"/>
      <c r="AGE18" s="412"/>
      <c r="AGF18" s="412"/>
      <c r="AGG18" s="412"/>
      <c r="AGH18" s="412"/>
      <c r="AGI18" s="412"/>
      <c r="AGJ18" s="412"/>
      <c r="AGK18" s="412"/>
      <c r="AGL18" s="412"/>
      <c r="AGM18" s="412"/>
      <c r="AGN18" s="412"/>
      <c r="AGO18" s="412"/>
      <c r="AGP18" s="412"/>
      <c r="AGQ18" s="412"/>
      <c r="AGR18" s="412"/>
      <c r="AGS18" s="412"/>
      <c r="AGT18" s="412"/>
      <c r="AGU18" s="412"/>
      <c r="AGV18" s="412"/>
      <c r="AGW18" s="412"/>
      <c r="AGX18" s="412"/>
      <c r="AGY18" s="412"/>
      <c r="AGZ18" s="412"/>
      <c r="AHA18" s="412"/>
      <c r="AHB18" s="412"/>
      <c r="AHC18" s="412"/>
      <c r="AHD18" s="412"/>
      <c r="AHE18" s="412"/>
      <c r="AHF18" s="412"/>
      <c r="AHG18" s="412"/>
      <c r="AHH18" s="412"/>
      <c r="AHI18" s="412"/>
      <c r="AHJ18" s="412"/>
      <c r="AHK18" s="412"/>
      <c r="AHL18" s="412"/>
      <c r="AHM18" s="412"/>
      <c r="AHN18" s="412"/>
      <c r="AHO18" s="412"/>
      <c r="AHP18" s="412"/>
      <c r="AHQ18" s="412"/>
      <c r="AHR18" s="412"/>
      <c r="AHS18" s="412"/>
      <c r="AHT18" s="412"/>
      <c r="AHU18" s="412"/>
      <c r="AHV18" s="412"/>
      <c r="AHW18" s="412"/>
      <c r="AHX18" s="412"/>
      <c r="AHY18" s="412"/>
      <c r="AHZ18" s="412"/>
      <c r="AIA18" s="412"/>
      <c r="AIB18" s="412"/>
      <c r="AIC18" s="412"/>
      <c r="AID18" s="412"/>
      <c r="AIE18" s="412"/>
      <c r="AIF18" s="412"/>
      <c r="AIG18" s="412"/>
      <c r="AIH18" s="412"/>
      <c r="AII18" s="412"/>
      <c r="AIJ18" s="412"/>
      <c r="AIK18" s="412"/>
      <c r="AIL18" s="412"/>
      <c r="AIM18" s="412"/>
      <c r="AIN18" s="412"/>
      <c r="AIO18" s="412"/>
      <c r="AIP18" s="412"/>
      <c r="AIQ18" s="412"/>
      <c r="AIR18" s="412"/>
      <c r="AIS18" s="412"/>
      <c r="AIT18" s="412"/>
      <c r="AIU18" s="412"/>
      <c r="AIV18" s="412"/>
      <c r="AIW18" s="412"/>
      <c r="AIX18" s="412"/>
      <c r="AIY18" s="412"/>
      <c r="AIZ18" s="412"/>
      <c r="AJA18" s="412"/>
      <c r="AJB18" s="412"/>
      <c r="AJC18" s="412"/>
      <c r="AJD18" s="412"/>
      <c r="AJE18" s="412"/>
      <c r="AJF18" s="412"/>
      <c r="AJG18" s="412"/>
      <c r="AJH18" s="412"/>
      <c r="AJI18" s="412"/>
      <c r="AJJ18" s="412"/>
      <c r="AJK18" s="412"/>
      <c r="AJL18" s="412"/>
      <c r="AJM18" s="412"/>
      <c r="AJN18" s="412"/>
      <c r="AJO18" s="412"/>
      <c r="AJP18" s="412"/>
      <c r="AJQ18" s="412"/>
      <c r="AJR18" s="412"/>
      <c r="AJS18" s="412"/>
      <c r="AJT18" s="412"/>
      <c r="AJU18" s="412"/>
      <c r="AJV18" s="412"/>
      <c r="AJW18" s="412"/>
      <c r="AJX18" s="412"/>
      <c r="AJY18" s="412"/>
      <c r="AJZ18" s="412"/>
      <c r="AKA18" s="412"/>
      <c r="AKB18" s="412"/>
      <c r="AKC18" s="412"/>
      <c r="AKD18" s="412"/>
      <c r="AKE18" s="412"/>
      <c r="AKF18" s="412"/>
      <c r="AKG18" s="412"/>
      <c r="AKH18" s="412"/>
      <c r="AKI18" s="412"/>
      <c r="AKJ18" s="412"/>
      <c r="AKK18" s="412"/>
      <c r="AKL18" s="412"/>
      <c r="AKM18" s="412"/>
      <c r="AKN18" s="412"/>
      <c r="AKO18" s="412"/>
      <c r="AKP18" s="412"/>
      <c r="AKQ18" s="412"/>
      <c r="AKR18" s="412"/>
      <c r="AKS18" s="412"/>
      <c r="AKT18" s="412"/>
      <c r="AKU18" s="412"/>
      <c r="AKV18" s="412"/>
      <c r="AKW18" s="412"/>
      <c r="AKX18" s="412"/>
      <c r="AKY18" s="412"/>
      <c r="AKZ18" s="412"/>
      <c r="ALA18" s="412"/>
      <c r="ALB18" s="412"/>
      <c r="ALC18" s="412"/>
      <c r="ALD18" s="412"/>
      <c r="ALE18" s="412"/>
      <c r="ALF18" s="412"/>
      <c r="ALG18" s="412"/>
      <c r="ALH18" s="412"/>
      <c r="ALI18" s="412"/>
      <c r="ALJ18" s="412"/>
      <c r="ALK18" s="412"/>
      <c r="ALL18" s="412"/>
      <c r="ALM18" s="412"/>
      <c r="ALN18" s="412"/>
      <c r="ALO18" s="412"/>
      <c r="ALP18" s="412"/>
      <c r="ALQ18" s="412"/>
      <c r="ALR18" s="412"/>
      <c r="ALS18" s="412"/>
      <c r="ALT18" s="412"/>
      <c r="ALU18" s="412"/>
      <c r="ALV18" s="412"/>
      <c r="ALW18" s="412"/>
      <c r="ALX18" s="412"/>
      <c r="ALY18" s="412"/>
      <c r="ALZ18" s="412"/>
      <c r="AMA18" s="412"/>
      <c r="AMB18" s="412"/>
      <c r="AMC18" s="412"/>
      <c r="AMD18" s="412"/>
      <c r="AME18" s="412"/>
      <c r="AMF18" s="412"/>
      <c r="AMG18" s="412"/>
      <c r="AMH18" s="412"/>
      <c r="AMI18" s="412"/>
      <c r="AMJ18" s="412"/>
      <c r="AMK18" s="412"/>
      <c r="AML18" s="412"/>
      <c r="AMM18" s="412"/>
      <c r="AMN18" s="412"/>
      <c r="AMO18" s="412"/>
      <c r="AMP18" s="412"/>
      <c r="AMQ18" s="412"/>
      <c r="AMR18" s="412"/>
      <c r="AMS18" s="412"/>
      <c r="AMT18" s="412"/>
      <c r="AMU18" s="412"/>
      <c r="AMV18" s="412"/>
      <c r="AMW18" s="412"/>
      <c r="AMX18" s="412"/>
      <c r="AMY18" s="412"/>
      <c r="AMZ18" s="412"/>
      <c r="ANA18" s="412"/>
      <c r="ANB18" s="412"/>
      <c r="ANC18" s="412"/>
      <c r="AND18" s="412"/>
      <c r="ANE18" s="412"/>
      <c r="ANF18" s="412"/>
      <c r="ANG18" s="412"/>
      <c r="ANH18" s="412"/>
      <c r="ANI18" s="412"/>
      <c r="ANJ18" s="412"/>
      <c r="ANK18" s="412"/>
      <c r="ANL18" s="412"/>
      <c r="ANM18" s="412"/>
      <c r="ANN18" s="412"/>
      <c r="ANO18" s="412"/>
      <c r="ANP18" s="412"/>
      <c r="ANQ18" s="412"/>
      <c r="ANR18" s="412"/>
      <c r="ANS18" s="412"/>
      <c r="ANT18" s="412"/>
      <c r="ANU18" s="412"/>
      <c r="ANV18" s="412"/>
      <c r="ANW18" s="412"/>
      <c r="ANX18" s="412"/>
      <c r="ANY18" s="412"/>
      <c r="ANZ18" s="412"/>
      <c r="AOA18" s="412"/>
      <c r="AOB18" s="412"/>
      <c r="AOC18" s="412"/>
      <c r="AOD18" s="412"/>
      <c r="AOE18" s="412"/>
      <c r="AOF18" s="412"/>
      <c r="AOG18" s="412"/>
      <c r="AOH18" s="412"/>
      <c r="AOI18" s="412"/>
      <c r="AOJ18" s="412"/>
      <c r="AOK18" s="412"/>
      <c r="AOL18" s="412"/>
      <c r="AOM18" s="412"/>
      <c r="AON18" s="412"/>
      <c r="AOO18" s="412"/>
      <c r="AOP18" s="412"/>
      <c r="AOQ18" s="412"/>
      <c r="AOR18" s="412"/>
      <c r="AOS18" s="412"/>
      <c r="AOT18" s="412"/>
      <c r="AOU18" s="412"/>
      <c r="AOV18" s="412"/>
      <c r="AOW18" s="412"/>
      <c r="AOX18" s="412"/>
      <c r="AOY18" s="412"/>
      <c r="AOZ18" s="412"/>
      <c r="APA18" s="412"/>
      <c r="APB18" s="412"/>
      <c r="APC18" s="412"/>
      <c r="APD18" s="412"/>
      <c r="APE18" s="412"/>
      <c r="APF18" s="412"/>
      <c r="APG18" s="412"/>
      <c r="APH18" s="412"/>
      <c r="API18" s="412"/>
      <c r="APJ18" s="412"/>
      <c r="APK18" s="412"/>
      <c r="APL18" s="412"/>
      <c r="APM18" s="412"/>
      <c r="APN18" s="412"/>
      <c r="APO18" s="412"/>
      <c r="APP18" s="412"/>
      <c r="APQ18" s="412"/>
      <c r="APR18" s="412"/>
      <c r="APS18" s="412"/>
      <c r="APT18" s="412"/>
      <c r="APU18" s="412"/>
      <c r="APV18" s="412"/>
      <c r="APW18" s="412"/>
      <c r="APX18" s="412"/>
      <c r="APY18" s="412"/>
      <c r="APZ18" s="412"/>
      <c r="AQA18" s="412"/>
      <c r="AQB18" s="412"/>
      <c r="AQC18" s="412"/>
      <c r="AQD18" s="412"/>
      <c r="AQE18" s="412"/>
      <c r="AQF18" s="412"/>
      <c r="AQG18" s="412"/>
      <c r="AQH18" s="412"/>
      <c r="AQI18" s="412"/>
      <c r="AQJ18" s="412"/>
      <c r="AQK18" s="412"/>
      <c r="AQL18" s="412"/>
      <c r="AQM18" s="412"/>
      <c r="AQN18" s="412"/>
      <c r="AQO18" s="412"/>
      <c r="AQP18" s="412"/>
      <c r="AQQ18" s="412"/>
      <c r="AQR18" s="412"/>
      <c r="AQS18" s="412"/>
      <c r="AQT18" s="412"/>
      <c r="AQU18" s="412"/>
      <c r="AQV18" s="412"/>
      <c r="AQW18" s="412"/>
      <c r="AQX18" s="412"/>
      <c r="AQY18" s="412"/>
      <c r="AQZ18" s="412"/>
      <c r="ARA18" s="412"/>
      <c r="ARB18" s="412"/>
      <c r="ARC18" s="412"/>
      <c r="ARD18" s="412"/>
      <c r="ARE18" s="412"/>
      <c r="ARF18" s="412"/>
      <c r="ARG18" s="412"/>
      <c r="ARH18" s="412"/>
      <c r="ARI18" s="412"/>
      <c r="ARJ18" s="412"/>
      <c r="ARK18" s="412"/>
      <c r="ARL18" s="412"/>
      <c r="ARM18" s="412"/>
      <c r="ARN18" s="412"/>
      <c r="ARO18" s="412"/>
      <c r="ARP18" s="412"/>
      <c r="ARQ18" s="412"/>
      <c r="ARR18" s="412"/>
      <c r="ARS18" s="412"/>
      <c r="ART18" s="412"/>
      <c r="ARU18" s="412"/>
      <c r="ARV18" s="412"/>
      <c r="ARW18" s="412"/>
      <c r="ARX18" s="412"/>
      <c r="ARY18" s="412"/>
      <c r="ARZ18" s="412"/>
      <c r="ASA18" s="412"/>
      <c r="ASB18" s="412"/>
      <c r="ASC18" s="412"/>
      <c r="ASD18" s="412"/>
      <c r="ASE18" s="412"/>
      <c r="ASF18" s="412"/>
      <c r="ASG18" s="412"/>
      <c r="ASH18" s="412"/>
      <c r="ASI18" s="412"/>
      <c r="ASJ18" s="412"/>
      <c r="ASK18" s="412"/>
      <c r="ASL18" s="412"/>
      <c r="ASM18" s="412"/>
      <c r="ASN18" s="412"/>
      <c r="ASO18" s="412"/>
      <c r="ASP18" s="412"/>
      <c r="ASQ18" s="412"/>
      <c r="ASR18" s="412"/>
      <c r="ASS18" s="412"/>
      <c r="AST18" s="412"/>
      <c r="ASU18" s="412"/>
      <c r="ASV18" s="412"/>
      <c r="ASW18" s="412"/>
      <c r="ASX18" s="412"/>
      <c r="ASY18" s="412"/>
      <c r="ASZ18" s="412"/>
      <c r="ATA18" s="412"/>
      <c r="ATB18" s="412"/>
      <c r="ATC18" s="412"/>
      <c r="ATD18" s="412"/>
      <c r="ATE18" s="412"/>
      <c r="ATF18" s="412"/>
      <c r="ATG18" s="412"/>
      <c r="ATH18" s="412"/>
      <c r="ATI18" s="412"/>
      <c r="ATJ18" s="412"/>
      <c r="ATK18" s="412"/>
      <c r="ATL18" s="412"/>
      <c r="ATM18" s="412"/>
      <c r="ATN18" s="412"/>
      <c r="ATO18" s="412"/>
      <c r="ATP18" s="412"/>
      <c r="ATQ18" s="412"/>
      <c r="ATR18" s="412"/>
      <c r="ATS18" s="412"/>
      <c r="ATT18" s="412"/>
      <c r="ATU18" s="412"/>
      <c r="ATV18" s="412"/>
      <c r="ATW18" s="412"/>
      <c r="ATX18" s="412"/>
      <c r="ATY18" s="412"/>
      <c r="ATZ18" s="412"/>
      <c r="AUA18" s="412"/>
      <c r="AUB18" s="412"/>
      <c r="AUC18" s="412"/>
      <c r="AUD18" s="412"/>
      <c r="AUE18" s="412"/>
      <c r="AUF18" s="412"/>
      <c r="AUG18" s="412"/>
      <c r="AUH18" s="412"/>
      <c r="AUI18" s="412"/>
      <c r="AUJ18" s="412"/>
      <c r="AUK18" s="412"/>
      <c r="AUL18" s="412"/>
      <c r="AUM18" s="412"/>
      <c r="AUN18" s="412"/>
      <c r="AUO18" s="412"/>
      <c r="AUP18" s="412"/>
      <c r="AUQ18" s="412"/>
      <c r="AUR18" s="412"/>
      <c r="AUS18" s="412"/>
      <c r="AUT18" s="412"/>
      <c r="AUU18" s="412"/>
      <c r="AUV18" s="412"/>
      <c r="AUW18" s="412"/>
      <c r="AUX18" s="412"/>
      <c r="AUY18" s="412"/>
      <c r="AUZ18" s="412"/>
      <c r="AVA18" s="412"/>
      <c r="AVB18" s="412"/>
      <c r="AVC18" s="412"/>
      <c r="AVD18" s="412"/>
      <c r="AVE18" s="412"/>
      <c r="AVF18" s="412"/>
      <c r="AVG18" s="412"/>
      <c r="AVH18" s="412"/>
      <c r="AVI18" s="412"/>
      <c r="AVJ18" s="412"/>
      <c r="AVK18" s="412"/>
      <c r="AVL18" s="412"/>
      <c r="AVM18" s="412"/>
      <c r="AVN18" s="412"/>
      <c r="AVO18" s="412"/>
      <c r="AVP18" s="412"/>
      <c r="AVQ18" s="412"/>
      <c r="AVR18" s="412"/>
      <c r="AVS18" s="412"/>
      <c r="AVT18" s="412"/>
      <c r="AVU18" s="412"/>
      <c r="AVV18" s="412"/>
      <c r="AVW18" s="412"/>
      <c r="AVX18" s="412"/>
      <c r="AVY18" s="412"/>
      <c r="AVZ18" s="412"/>
      <c r="AWA18" s="412"/>
      <c r="AWB18" s="412"/>
      <c r="AWC18" s="412"/>
      <c r="AWD18" s="412"/>
      <c r="AWE18" s="412"/>
      <c r="AWF18" s="412"/>
      <c r="AWG18" s="412"/>
      <c r="AWH18" s="412"/>
      <c r="AWI18" s="412"/>
      <c r="AWJ18" s="412"/>
      <c r="AWK18" s="412"/>
      <c r="AWL18" s="412"/>
      <c r="AWM18" s="412"/>
      <c r="AWN18" s="412"/>
      <c r="AWO18" s="412"/>
      <c r="AWP18" s="412"/>
      <c r="AWQ18" s="412"/>
      <c r="AWR18" s="412"/>
      <c r="AWS18" s="412"/>
      <c r="AWT18" s="412"/>
      <c r="AWU18" s="412"/>
      <c r="AWV18" s="412"/>
      <c r="AWW18" s="412"/>
      <c r="AWX18" s="412"/>
      <c r="AWY18" s="412"/>
      <c r="AWZ18" s="412"/>
      <c r="AXA18" s="412"/>
      <c r="AXB18" s="412"/>
      <c r="AXC18" s="412"/>
      <c r="AXD18" s="412"/>
      <c r="AXE18" s="412"/>
      <c r="AXF18" s="412"/>
      <c r="AXG18" s="412"/>
      <c r="AXH18" s="412"/>
      <c r="AXI18" s="412"/>
      <c r="AXJ18" s="412"/>
      <c r="AXK18" s="412"/>
      <c r="AXL18" s="412"/>
      <c r="AXM18" s="412"/>
      <c r="AXN18" s="412"/>
      <c r="AXO18" s="412"/>
      <c r="AXP18" s="412"/>
      <c r="AXQ18" s="412"/>
      <c r="AXR18" s="412"/>
      <c r="AXS18" s="412"/>
      <c r="AXT18" s="412"/>
      <c r="AXU18" s="412"/>
      <c r="AXV18" s="412"/>
      <c r="AXW18" s="412"/>
      <c r="AXX18" s="412"/>
      <c r="AXY18" s="412"/>
      <c r="AXZ18" s="412"/>
      <c r="AYA18" s="412"/>
      <c r="AYB18" s="412"/>
      <c r="AYC18" s="412"/>
      <c r="AYD18" s="412"/>
      <c r="AYE18" s="412"/>
      <c r="AYF18" s="412"/>
      <c r="AYG18" s="412"/>
      <c r="AYH18" s="412"/>
      <c r="AYI18" s="412"/>
      <c r="AYJ18" s="412"/>
      <c r="AYK18" s="412"/>
      <c r="AYL18" s="412"/>
      <c r="AYM18" s="412"/>
      <c r="AYN18" s="412"/>
      <c r="AYO18" s="412"/>
      <c r="AYP18" s="412"/>
      <c r="AYQ18" s="412"/>
      <c r="AYR18" s="412"/>
      <c r="AYS18" s="412"/>
      <c r="AYT18" s="412"/>
      <c r="AYU18" s="412"/>
      <c r="AYV18" s="412"/>
      <c r="AYW18" s="412"/>
      <c r="AYX18" s="412"/>
      <c r="AYY18" s="412"/>
      <c r="AYZ18" s="412"/>
      <c r="AZA18" s="412"/>
      <c r="AZB18" s="412"/>
      <c r="AZC18" s="412"/>
      <c r="AZD18" s="412"/>
      <c r="AZE18" s="412"/>
      <c r="AZF18" s="412"/>
      <c r="AZG18" s="412"/>
      <c r="AZH18" s="412"/>
      <c r="AZI18" s="412"/>
      <c r="AZJ18" s="412"/>
      <c r="AZK18" s="412"/>
      <c r="AZL18" s="412"/>
      <c r="AZM18" s="412"/>
      <c r="AZN18" s="412"/>
      <c r="AZO18" s="412"/>
      <c r="AZP18" s="412"/>
      <c r="AZQ18" s="412"/>
      <c r="AZR18" s="412"/>
      <c r="AZS18" s="412"/>
      <c r="AZT18" s="412"/>
      <c r="AZU18" s="412"/>
      <c r="AZV18" s="412"/>
      <c r="AZW18" s="412"/>
      <c r="AZX18" s="412"/>
      <c r="AZY18" s="412"/>
      <c r="AZZ18" s="412"/>
      <c r="BAA18" s="412"/>
      <c r="BAB18" s="412"/>
      <c r="BAC18" s="412"/>
      <c r="BAD18" s="412"/>
      <c r="BAE18" s="412"/>
      <c r="BAF18" s="412"/>
      <c r="BAG18" s="412"/>
      <c r="BAH18" s="412"/>
      <c r="BAI18" s="412"/>
      <c r="BAJ18" s="412"/>
      <c r="BAK18" s="412"/>
      <c r="BAL18" s="412"/>
      <c r="BAM18" s="412"/>
      <c r="BAN18" s="412"/>
      <c r="BAO18" s="412"/>
      <c r="BAP18" s="412"/>
      <c r="BAQ18" s="412"/>
      <c r="BAR18" s="412"/>
      <c r="BAS18" s="412"/>
      <c r="BAT18" s="412"/>
      <c r="BAU18" s="412"/>
      <c r="BAV18" s="412"/>
      <c r="BAW18" s="412"/>
      <c r="BAX18" s="412"/>
      <c r="BAY18" s="412"/>
      <c r="BAZ18" s="412"/>
      <c r="BBA18" s="412"/>
      <c r="BBB18" s="412"/>
      <c r="BBC18" s="412"/>
      <c r="BBD18" s="412"/>
      <c r="BBE18" s="412"/>
      <c r="BBF18" s="412"/>
      <c r="BBG18" s="412"/>
      <c r="BBH18" s="412"/>
      <c r="BBI18" s="412"/>
      <c r="BBJ18" s="412"/>
      <c r="BBK18" s="412"/>
      <c r="BBL18" s="412"/>
      <c r="BBM18" s="412"/>
      <c r="BBN18" s="412"/>
      <c r="BBO18" s="412"/>
      <c r="BBP18" s="412"/>
      <c r="BBQ18" s="412"/>
      <c r="BBR18" s="412"/>
      <c r="BBS18" s="412"/>
      <c r="BBT18" s="412"/>
      <c r="BBU18" s="412"/>
      <c r="BBV18" s="412"/>
      <c r="BBW18" s="412"/>
      <c r="BBX18" s="412"/>
      <c r="BBY18" s="412"/>
      <c r="BBZ18" s="412"/>
      <c r="BCA18" s="412"/>
      <c r="BCB18" s="412"/>
      <c r="BCC18" s="412"/>
      <c r="BCD18" s="412"/>
      <c r="BCE18" s="412"/>
      <c r="BCF18" s="412"/>
      <c r="BCG18" s="412"/>
      <c r="BCH18" s="412"/>
      <c r="BCI18" s="412"/>
      <c r="BCJ18" s="412"/>
      <c r="BCK18" s="412"/>
      <c r="BCL18" s="412"/>
      <c r="BCM18" s="412"/>
      <c r="BCN18" s="412"/>
      <c r="BCO18" s="412"/>
      <c r="BCP18" s="412"/>
      <c r="BCQ18" s="412"/>
      <c r="BCR18" s="412"/>
      <c r="BCS18" s="412"/>
      <c r="BCT18" s="412"/>
      <c r="BCU18" s="412"/>
      <c r="BCV18" s="412"/>
      <c r="BCW18" s="412"/>
      <c r="BCX18" s="412"/>
      <c r="BCY18" s="412"/>
      <c r="BCZ18" s="412"/>
      <c r="BDA18" s="412"/>
      <c r="BDB18" s="412"/>
      <c r="BDC18" s="412"/>
      <c r="BDD18" s="412"/>
      <c r="BDE18" s="412"/>
      <c r="BDF18" s="412"/>
      <c r="BDG18" s="412"/>
      <c r="BDH18" s="412"/>
      <c r="BDI18" s="412"/>
      <c r="BDJ18" s="412"/>
      <c r="BDK18" s="412"/>
      <c r="BDL18" s="412"/>
      <c r="BDM18" s="412"/>
      <c r="BDN18" s="412"/>
      <c r="BDO18" s="412"/>
      <c r="BDP18" s="412"/>
      <c r="BDQ18" s="412"/>
      <c r="BDR18" s="412"/>
      <c r="BDS18" s="412"/>
      <c r="BDT18" s="412"/>
      <c r="BDU18" s="412"/>
      <c r="BDV18" s="412"/>
      <c r="BDW18" s="412"/>
      <c r="BDX18" s="412"/>
      <c r="BDY18" s="412"/>
      <c r="BDZ18" s="412"/>
      <c r="BEA18" s="412"/>
      <c r="BEB18" s="412"/>
      <c r="BEC18" s="412"/>
      <c r="BED18" s="412"/>
      <c r="BEE18" s="412"/>
      <c r="BEF18" s="412"/>
      <c r="BEG18" s="412"/>
      <c r="BEH18" s="412"/>
      <c r="BEI18" s="412"/>
      <c r="BEJ18" s="412"/>
      <c r="BEK18" s="412"/>
      <c r="BEL18" s="412"/>
      <c r="BEM18" s="412"/>
      <c r="BEN18" s="412"/>
      <c r="BEO18" s="412"/>
      <c r="BEP18" s="412"/>
      <c r="BEQ18" s="412"/>
      <c r="BER18" s="412"/>
      <c r="BES18" s="412"/>
      <c r="BET18" s="412"/>
      <c r="BEU18" s="412"/>
      <c r="BEV18" s="412"/>
      <c r="BEW18" s="412"/>
      <c r="BEX18" s="412"/>
      <c r="BEY18" s="412"/>
      <c r="BEZ18" s="412"/>
      <c r="BFA18" s="412"/>
      <c r="BFB18" s="412"/>
      <c r="BFC18" s="412"/>
      <c r="BFD18" s="412"/>
      <c r="BFE18" s="412"/>
      <c r="BFF18" s="412"/>
      <c r="BFG18" s="412"/>
      <c r="BFH18" s="412"/>
      <c r="BFI18" s="412"/>
      <c r="BFJ18" s="412"/>
      <c r="BFK18" s="412"/>
      <c r="BFL18" s="412"/>
      <c r="BFM18" s="412"/>
      <c r="BFN18" s="412"/>
      <c r="BFO18" s="412"/>
      <c r="BFP18" s="412"/>
      <c r="BFQ18" s="412"/>
      <c r="BFR18" s="412"/>
      <c r="BFS18" s="412"/>
      <c r="BFT18" s="412"/>
      <c r="BFU18" s="412"/>
      <c r="BFV18" s="412"/>
      <c r="BFW18" s="412"/>
      <c r="BFX18" s="412"/>
      <c r="BFY18" s="412"/>
      <c r="BFZ18" s="412"/>
      <c r="BGA18" s="412"/>
      <c r="BGB18" s="412"/>
      <c r="BGC18" s="412"/>
      <c r="BGD18" s="412"/>
      <c r="BGE18" s="412"/>
      <c r="BGF18" s="412"/>
      <c r="BGG18" s="412"/>
      <c r="BGH18" s="412"/>
      <c r="BGI18" s="412"/>
      <c r="BGJ18" s="412"/>
      <c r="BGK18" s="412"/>
      <c r="BGL18" s="412"/>
      <c r="BGM18" s="412"/>
      <c r="BGN18" s="412"/>
      <c r="BGO18" s="412"/>
      <c r="BGP18" s="412"/>
      <c r="BGQ18" s="412"/>
      <c r="BGR18" s="412"/>
      <c r="BGS18" s="412"/>
      <c r="BGT18" s="412"/>
      <c r="BGU18" s="412"/>
      <c r="BGV18" s="412"/>
      <c r="BGW18" s="412"/>
      <c r="BGX18" s="412"/>
      <c r="BGY18" s="412"/>
      <c r="BGZ18" s="412"/>
      <c r="BHA18" s="412"/>
      <c r="BHB18" s="412"/>
      <c r="BHC18" s="412"/>
      <c r="BHD18" s="412"/>
      <c r="BHE18" s="412"/>
      <c r="BHF18" s="412"/>
      <c r="BHG18" s="412"/>
      <c r="BHH18" s="412"/>
      <c r="BHI18" s="412"/>
      <c r="BHJ18" s="412"/>
      <c r="BHK18" s="412"/>
      <c r="BHL18" s="412"/>
      <c r="BHM18" s="412"/>
      <c r="BHN18" s="412"/>
      <c r="BHO18" s="412"/>
      <c r="BHP18" s="412"/>
      <c r="BHQ18" s="412"/>
      <c r="BHR18" s="412"/>
      <c r="BHS18" s="412"/>
      <c r="BHT18" s="412"/>
      <c r="BHU18" s="412"/>
      <c r="BHV18" s="412"/>
      <c r="BHW18" s="412"/>
      <c r="BHX18" s="412"/>
      <c r="BHY18" s="412"/>
      <c r="BHZ18" s="412"/>
      <c r="BIA18" s="412"/>
      <c r="BIB18" s="412"/>
      <c r="BIC18" s="412"/>
      <c r="BID18" s="412"/>
      <c r="BIE18" s="412"/>
      <c r="BIF18" s="412"/>
      <c r="BIG18" s="412"/>
      <c r="BIH18" s="412"/>
      <c r="BII18" s="412"/>
      <c r="BIJ18" s="412"/>
      <c r="BIK18" s="412"/>
      <c r="BIL18" s="412"/>
      <c r="BIM18" s="412"/>
      <c r="BIN18" s="412"/>
      <c r="BIO18" s="412"/>
      <c r="BIP18" s="412"/>
      <c r="BIQ18" s="412"/>
      <c r="BIR18" s="412"/>
      <c r="BIS18" s="412"/>
      <c r="BIT18" s="412"/>
      <c r="BIU18" s="412"/>
      <c r="BIV18" s="412"/>
      <c r="BIW18" s="412"/>
      <c r="BIX18" s="412"/>
      <c r="BIY18" s="412"/>
      <c r="BIZ18" s="412"/>
      <c r="BJA18" s="412"/>
      <c r="BJB18" s="412"/>
      <c r="BJC18" s="412"/>
      <c r="BJD18" s="412"/>
      <c r="BJE18" s="412"/>
      <c r="BJF18" s="412"/>
      <c r="BJG18" s="412"/>
      <c r="BJH18" s="412"/>
      <c r="BJI18" s="412"/>
      <c r="BJJ18" s="412"/>
      <c r="BJK18" s="412"/>
      <c r="BJL18" s="412"/>
      <c r="BJM18" s="412"/>
      <c r="BJN18" s="412"/>
      <c r="BJO18" s="412"/>
      <c r="BJP18" s="412"/>
      <c r="BJQ18" s="412"/>
      <c r="BJR18" s="412"/>
      <c r="BJS18" s="412"/>
      <c r="BJT18" s="412"/>
      <c r="BJU18" s="412"/>
      <c r="BJV18" s="412"/>
      <c r="BJW18" s="412"/>
      <c r="BJX18" s="412"/>
      <c r="BJY18" s="412"/>
      <c r="BJZ18" s="412"/>
      <c r="BKA18" s="412"/>
      <c r="BKB18" s="412"/>
      <c r="BKC18" s="412"/>
      <c r="BKD18" s="412"/>
      <c r="BKE18" s="412"/>
      <c r="BKF18" s="412"/>
      <c r="BKG18" s="412"/>
      <c r="BKH18" s="412"/>
      <c r="BKI18" s="412"/>
      <c r="BKJ18" s="412"/>
      <c r="BKK18" s="412"/>
      <c r="BKL18" s="412"/>
      <c r="BKM18" s="412"/>
      <c r="BKN18" s="412"/>
      <c r="BKO18" s="412"/>
      <c r="BKP18" s="412"/>
      <c r="BKQ18" s="412"/>
      <c r="BKR18" s="412"/>
      <c r="BKS18" s="412"/>
      <c r="BKT18" s="412"/>
      <c r="BKU18" s="412"/>
      <c r="BKV18" s="412"/>
      <c r="BKW18" s="412"/>
      <c r="BKX18" s="412"/>
      <c r="BKY18" s="412"/>
      <c r="BKZ18" s="412"/>
      <c r="BLA18" s="412"/>
      <c r="BLB18" s="412"/>
      <c r="BLC18" s="412"/>
      <c r="BLD18" s="412"/>
      <c r="BLE18" s="412"/>
      <c r="BLF18" s="412"/>
      <c r="BLG18" s="412"/>
      <c r="BLH18" s="412"/>
      <c r="BLI18" s="412"/>
      <c r="BLJ18" s="412"/>
      <c r="BLK18" s="412"/>
      <c r="BLL18" s="412"/>
      <c r="BLM18" s="412"/>
      <c r="BLN18" s="412"/>
      <c r="BLO18" s="412"/>
      <c r="BLP18" s="412"/>
      <c r="BLQ18" s="412"/>
      <c r="BLR18" s="412"/>
      <c r="BLS18" s="412"/>
      <c r="BLT18" s="412"/>
      <c r="BLU18" s="412"/>
      <c r="BLV18" s="412"/>
      <c r="BLW18" s="412"/>
      <c r="BLX18" s="412"/>
      <c r="BLY18" s="412"/>
      <c r="BLZ18" s="412"/>
      <c r="BMA18" s="412"/>
      <c r="BMB18" s="412"/>
      <c r="BMC18" s="412"/>
      <c r="BMD18" s="412"/>
      <c r="BME18" s="412"/>
      <c r="BMF18" s="412"/>
      <c r="BMG18" s="412"/>
      <c r="BMH18" s="412"/>
      <c r="BMI18" s="412"/>
      <c r="BMJ18" s="412"/>
      <c r="BMK18" s="412"/>
      <c r="BML18" s="412"/>
      <c r="BMM18" s="412"/>
      <c r="BMN18" s="412"/>
      <c r="BMO18" s="412"/>
      <c r="BMP18" s="412"/>
      <c r="BMQ18" s="412"/>
      <c r="BMR18" s="412"/>
      <c r="BMS18" s="412"/>
      <c r="BMT18" s="412"/>
      <c r="BMU18" s="412"/>
      <c r="BMV18" s="412"/>
      <c r="BMW18" s="412"/>
      <c r="BMX18" s="412"/>
      <c r="BMY18" s="412"/>
      <c r="BMZ18" s="412"/>
      <c r="BNA18" s="412"/>
      <c r="BNB18" s="412"/>
      <c r="BNC18" s="412"/>
      <c r="BND18" s="412"/>
      <c r="BNE18" s="412"/>
      <c r="BNF18" s="412"/>
      <c r="BNG18" s="412"/>
      <c r="BNH18" s="412"/>
      <c r="BNI18" s="412"/>
      <c r="BNJ18" s="412"/>
      <c r="BNK18" s="412"/>
      <c r="BNL18" s="412"/>
      <c r="BNM18" s="412"/>
      <c r="BNN18" s="412"/>
      <c r="BNO18" s="412"/>
      <c r="BNP18" s="412"/>
      <c r="BNQ18" s="412"/>
      <c r="BNR18" s="412"/>
      <c r="BNS18" s="412"/>
      <c r="BNT18" s="412"/>
      <c r="BNU18" s="412"/>
      <c r="BNV18" s="412"/>
      <c r="BNW18" s="412"/>
      <c r="BNX18" s="412"/>
      <c r="BNY18" s="412"/>
      <c r="BNZ18" s="412"/>
      <c r="BOA18" s="412"/>
      <c r="BOB18" s="412"/>
      <c r="BOC18" s="412"/>
      <c r="BOD18" s="412"/>
      <c r="BOE18" s="412"/>
      <c r="BOF18" s="412"/>
      <c r="BOG18" s="412"/>
      <c r="BOH18" s="412"/>
      <c r="BOI18" s="412"/>
      <c r="BOJ18" s="412"/>
      <c r="BOK18" s="412"/>
      <c r="BOL18" s="412"/>
      <c r="BOM18" s="412"/>
      <c r="BON18" s="412"/>
      <c r="BOO18" s="412"/>
      <c r="BOP18" s="412"/>
      <c r="BOQ18" s="412"/>
      <c r="BOR18" s="412"/>
      <c r="BOS18" s="412"/>
      <c r="BOT18" s="412"/>
      <c r="BOU18" s="412"/>
      <c r="BOV18" s="412"/>
      <c r="BOW18" s="412"/>
      <c r="BOX18" s="412"/>
      <c r="BOY18" s="412"/>
      <c r="BOZ18" s="412"/>
      <c r="BPA18" s="412"/>
      <c r="BPB18" s="412"/>
      <c r="BPC18" s="412"/>
      <c r="BPD18" s="412"/>
      <c r="BPE18" s="412"/>
      <c r="BPF18" s="412"/>
      <c r="BPG18" s="412"/>
      <c r="BPH18" s="412"/>
      <c r="BPI18" s="412"/>
      <c r="BPJ18" s="412"/>
      <c r="BPK18" s="412"/>
      <c r="BPL18" s="412"/>
      <c r="BPM18" s="412"/>
      <c r="BPN18" s="412"/>
      <c r="BPO18" s="412"/>
      <c r="BPP18" s="412"/>
      <c r="BPQ18" s="412"/>
      <c r="BPR18" s="412"/>
      <c r="BPS18" s="412"/>
      <c r="BPT18" s="412"/>
      <c r="BPU18" s="412"/>
      <c r="BPV18" s="412"/>
      <c r="BPW18" s="412"/>
      <c r="BPX18" s="412"/>
      <c r="BPY18" s="412"/>
      <c r="BPZ18" s="412"/>
      <c r="BQA18" s="412"/>
      <c r="BQB18" s="412"/>
      <c r="BQC18" s="412"/>
      <c r="BQD18" s="412"/>
      <c r="BQE18" s="412"/>
      <c r="BQF18" s="412"/>
      <c r="BQG18" s="412"/>
      <c r="BQH18" s="412"/>
      <c r="BQI18" s="412"/>
      <c r="BQJ18" s="412"/>
      <c r="BQK18" s="412"/>
      <c r="BQL18" s="412"/>
      <c r="BQM18" s="412"/>
      <c r="BQN18" s="412"/>
      <c r="BQO18" s="412"/>
      <c r="BQP18" s="412"/>
      <c r="BQQ18" s="412"/>
      <c r="BQR18" s="412"/>
      <c r="BQS18" s="412"/>
      <c r="BQT18" s="412"/>
      <c r="BQU18" s="412"/>
      <c r="BQV18" s="412"/>
      <c r="BQW18" s="412"/>
      <c r="BQX18" s="412"/>
      <c r="BQY18" s="412"/>
      <c r="BQZ18" s="412"/>
      <c r="BRA18" s="412"/>
      <c r="BRB18" s="412"/>
      <c r="BRC18" s="412"/>
      <c r="BRD18" s="412"/>
      <c r="BRE18" s="412"/>
      <c r="BRF18" s="412"/>
      <c r="BRG18" s="412"/>
      <c r="BRH18" s="412"/>
      <c r="BRI18" s="412"/>
      <c r="BRJ18" s="412"/>
      <c r="BRK18" s="412"/>
      <c r="BRL18" s="412"/>
      <c r="BRM18" s="412"/>
      <c r="BRN18" s="412"/>
      <c r="BRO18" s="412"/>
      <c r="BRP18" s="412"/>
      <c r="BRQ18" s="412"/>
      <c r="BRR18" s="412"/>
      <c r="BRS18" s="412"/>
      <c r="BRT18" s="412"/>
      <c r="BRU18" s="412"/>
      <c r="BRV18" s="412"/>
      <c r="BRW18" s="412"/>
      <c r="BRX18" s="412"/>
      <c r="BRY18" s="412"/>
      <c r="BRZ18" s="412"/>
      <c r="BSA18" s="412"/>
      <c r="BSB18" s="412"/>
      <c r="BSC18" s="412"/>
      <c r="BSD18" s="412"/>
      <c r="BSE18" s="412"/>
      <c r="BSF18" s="412"/>
      <c r="BSG18" s="412"/>
      <c r="BSH18" s="412"/>
      <c r="BSI18" s="412"/>
      <c r="BSJ18" s="412"/>
      <c r="BSK18" s="412"/>
      <c r="BSL18" s="412"/>
      <c r="BSM18" s="412"/>
      <c r="BSN18" s="412"/>
      <c r="BSO18" s="412"/>
      <c r="BSP18" s="412"/>
      <c r="BSQ18" s="412"/>
      <c r="BSR18" s="412"/>
      <c r="BSS18" s="412"/>
      <c r="BST18" s="412"/>
      <c r="BSU18" s="412"/>
      <c r="BSV18" s="412"/>
      <c r="BSW18" s="412"/>
      <c r="BSX18" s="412"/>
      <c r="BSY18" s="412"/>
      <c r="BSZ18" s="412"/>
      <c r="BTA18" s="412"/>
      <c r="BTB18" s="412"/>
      <c r="BTC18" s="412"/>
      <c r="BTD18" s="412"/>
      <c r="BTE18" s="412"/>
      <c r="BTF18" s="412"/>
      <c r="BTG18" s="412"/>
      <c r="BTH18" s="412"/>
      <c r="BTI18" s="412"/>
    </row>
    <row r="19" spans="1:1881" ht="55.5" customHeight="1" thickBot="1" x14ac:dyDescent="0.3">
      <c r="A19" s="189">
        <v>338</v>
      </c>
      <c r="B19" s="64" t="s">
        <v>63</v>
      </c>
      <c r="C19" s="183" t="s">
        <v>136</v>
      </c>
      <c r="D19" s="175" t="s">
        <v>139</v>
      </c>
      <c r="E19" s="32" t="e">
        <f>HLOOKUP($D$2,'2019 Data(H)'!$C$1:$CG$300,104,FALSE)</f>
        <v>#N/A</v>
      </c>
      <c r="F19" s="647"/>
      <c r="G19" s="413" t="str">
        <f>IF(F12&gt;F19,"Error: Please review accts 626 &gt; 338","")</f>
        <v/>
      </c>
      <c r="H19" s="13"/>
      <c r="I19" s="299"/>
      <c r="J19" s="368"/>
      <c r="L19" s="865" t="s">
        <v>1117</v>
      </c>
      <c r="M19" s="633"/>
      <c r="N19" s="656"/>
    </row>
    <row r="20" spans="1:1881" ht="83.25" customHeight="1" thickBot="1" x14ac:dyDescent="0.3">
      <c r="A20" s="189">
        <v>335</v>
      </c>
      <c r="B20" s="64" t="s">
        <v>63</v>
      </c>
      <c r="C20" s="183" t="s">
        <v>136</v>
      </c>
      <c r="D20" s="142" t="s">
        <v>1043</v>
      </c>
      <c r="E20" s="32" t="e">
        <f>HLOOKUP($D$2,'2019 Data(H)'!$C$1:$CG$300,101,FALSE)</f>
        <v>#N/A</v>
      </c>
      <c r="F20" s="647"/>
      <c r="G20" s="413">
        <f>IF(F20&lt;0,"Error: Enter as positive.",)</f>
        <v>0</v>
      </c>
      <c r="H20" s="13"/>
      <c r="I20" s="301"/>
      <c r="J20" s="368"/>
      <c r="L20" s="865" t="s">
        <v>1118</v>
      </c>
      <c r="M20" s="633"/>
      <c r="N20" s="656"/>
    </row>
    <row r="21" spans="1:1881" ht="48.75" customHeight="1" thickBot="1" x14ac:dyDescent="0.3">
      <c r="A21" s="189">
        <v>252</v>
      </c>
      <c r="B21" s="64" t="s">
        <v>63</v>
      </c>
      <c r="C21" s="183" t="s">
        <v>136</v>
      </c>
      <c r="D21" s="175" t="s">
        <v>140</v>
      </c>
      <c r="E21" s="32" t="e">
        <f>HLOOKUP($D$2,'2019 Data(H)'!$C$1:$CG$300,78,FALSE)</f>
        <v>#N/A</v>
      </c>
      <c r="F21" s="647"/>
      <c r="G21" s="572"/>
      <c r="H21" s="13"/>
      <c r="I21" s="31"/>
      <c r="J21" s="368"/>
      <c r="L21" s="865" t="s">
        <v>1119</v>
      </c>
      <c r="M21" s="633"/>
      <c r="N21" s="656"/>
    </row>
    <row r="22" spans="1:1881" ht="41.25" thickBot="1" x14ac:dyDescent="0.3">
      <c r="A22" s="189">
        <v>253</v>
      </c>
      <c r="B22" s="64" t="s">
        <v>63</v>
      </c>
      <c r="C22" s="183" t="s">
        <v>136</v>
      </c>
      <c r="D22" s="176" t="s">
        <v>141</v>
      </c>
      <c r="E22" s="32" t="e">
        <f>HLOOKUP($D$2,'2019 Data(H)'!$C$1:$CG$300,79,FALSE)</f>
        <v>#N/A</v>
      </c>
      <c r="F22" s="647"/>
      <c r="G22" s="413"/>
      <c r="H22" s="13"/>
      <c r="I22" s="31"/>
      <c r="J22" s="368"/>
      <c r="L22" s="865" t="s">
        <v>1120</v>
      </c>
      <c r="M22" s="633"/>
      <c r="N22" s="656"/>
    </row>
    <row r="23" spans="1:1881" ht="73.5" customHeight="1" thickBot="1" x14ac:dyDescent="0.3">
      <c r="A23" s="189">
        <v>254</v>
      </c>
      <c r="B23" s="64" t="s">
        <v>63</v>
      </c>
      <c r="C23" s="183" t="s">
        <v>136</v>
      </c>
      <c r="D23" s="176" t="s">
        <v>789</v>
      </c>
      <c r="E23" s="32" t="e">
        <f>HLOOKUP($D$2,'2019 Data(H)'!$C$1:$CG$300,80,FALSE)</f>
        <v>#N/A</v>
      </c>
      <c r="F23" s="647"/>
      <c r="G23" s="413">
        <f>IF(H23=0,,"Error: Total assets and deferred outflows less total liabilities and deferred inflows do not equal total net position. Account numbers  385-338-252-253-254 = 0.  The amount the formula is off is located in the cell to the right")</f>
        <v>0</v>
      </c>
      <c r="H23" s="193">
        <f>F9-F19-F21-F22-F23</f>
        <v>0</v>
      </c>
      <c r="I23" s="31"/>
      <c r="J23" s="368"/>
      <c r="L23" s="865" t="s">
        <v>1121</v>
      </c>
      <c r="M23" s="633"/>
      <c r="N23" s="656"/>
    </row>
    <row r="24" spans="1:1881" ht="21.75" customHeight="1" thickBot="1" x14ac:dyDescent="0.3">
      <c r="A24" s="189"/>
      <c r="B24" s="162" t="s">
        <v>142</v>
      </c>
      <c r="C24" s="161"/>
      <c r="D24" s="155"/>
      <c r="E24" s="144"/>
      <c r="F24" s="747"/>
      <c r="G24" s="154"/>
      <c r="H24" s="13"/>
      <c r="I24" s="31"/>
      <c r="L24" s="865" t="s">
        <v>1122</v>
      </c>
      <c r="M24" s="633"/>
      <c r="N24" s="656"/>
    </row>
    <row r="25" spans="1:1881" ht="59.25" customHeight="1" thickBot="1" x14ac:dyDescent="0.3">
      <c r="A25" s="189">
        <v>502</v>
      </c>
      <c r="B25" s="64" t="s">
        <v>62</v>
      </c>
      <c r="C25" s="183" t="s">
        <v>145</v>
      </c>
      <c r="D25" s="166" t="s">
        <v>143</v>
      </c>
      <c r="E25" s="32" t="e">
        <f>HLOOKUP($D$2,'2019 Data(H)'!$C$1:$CG$300,152,FALSE)</f>
        <v>#N/A</v>
      </c>
      <c r="F25" s="647"/>
      <c r="G25" s="413">
        <f>IF(F25&lt;0,"Note: Number is normally positive.",)</f>
        <v>0</v>
      </c>
      <c r="H25" s="13"/>
      <c r="I25" s="31"/>
      <c r="L25" s="865" t="s">
        <v>1123</v>
      </c>
      <c r="M25" s="633"/>
      <c r="N25" s="656"/>
    </row>
    <row r="26" spans="1:1881" ht="59.25" customHeight="1" thickBot="1" x14ac:dyDescent="0.3">
      <c r="A26" s="189">
        <v>503</v>
      </c>
      <c r="B26" s="64" t="s">
        <v>62</v>
      </c>
      <c r="C26" s="183" t="s">
        <v>145</v>
      </c>
      <c r="D26" s="176" t="s">
        <v>144</v>
      </c>
      <c r="E26" s="32" t="e">
        <f>HLOOKUP($D$2,'2019 Data(H)'!$C$1:$CG$300,153,FALSE)</f>
        <v>#N/A</v>
      </c>
      <c r="F26" s="647"/>
      <c r="G26" s="413">
        <f>IF(F26&lt;0,"Note: Number is normally positive.",)</f>
        <v>0</v>
      </c>
      <c r="H26" s="13"/>
      <c r="I26" s="31"/>
      <c r="L26" s="865" t="s">
        <v>1124</v>
      </c>
      <c r="M26" s="633"/>
      <c r="N26" s="656"/>
    </row>
    <row r="27" spans="1:1881" ht="27" customHeight="1" thickBot="1" x14ac:dyDescent="0.3">
      <c r="A27" s="189"/>
      <c r="B27" s="162" t="s">
        <v>146</v>
      </c>
      <c r="C27" s="161"/>
      <c r="D27" s="129"/>
      <c r="E27" s="144"/>
      <c r="F27" s="748"/>
      <c r="G27" s="571"/>
      <c r="H27" s="13"/>
      <c r="I27" s="31"/>
      <c r="L27" s="865" t="s">
        <v>1125</v>
      </c>
      <c r="M27" s="633"/>
      <c r="N27" s="656"/>
    </row>
    <row r="28" spans="1:1881" ht="49.5" customHeight="1" thickBot="1" x14ac:dyDescent="0.3">
      <c r="A28" s="189">
        <v>344</v>
      </c>
      <c r="B28" s="64" t="s">
        <v>63</v>
      </c>
      <c r="C28" s="160" t="s">
        <v>154</v>
      </c>
      <c r="D28" s="176" t="s">
        <v>147</v>
      </c>
      <c r="E28" s="32" t="e">
        <f>HLOOKUP($D$2,'2019 Data(H)'!$C$1:$CG$300,110,FALSE)</f>
        <v>#N/A</v>
      </c>
      <c r="F28" s="647"/>
      <c r="G28" s="413">
        <f t="shared" ref="G28:G35" si="0">IF(F28&lt;0,"Error: Enter as positive.",)</f>
        <v>0</v>
      </c>
      <c r="H28" s="13"/>
      <c r="I28" s="31"/>
      <c r="L28" s="865" t="s">
        <v>1126</v>
      </c>
      <c r="M28" s="633"/>
      <c r="N28" s="656"/>
    </row>
    <row r="29" spans="1:1881" ht="49.5" customHeight="1" thickBot="1" x14ac:dyDescent="0.3">
      <c r="A29" s="189">
        <v>388</v>
      </c>
      <c r="B29" s="64" t="s">
        <v>67</v>
      </c>
      <c r="C29" s="160" t="s">
        <v>154</v>
      </c>
      <c r="D29" s="176" t="s">
        <v>148</v>
      </c>
      <c r="E29" s="32" t="e">
        <f>HLOOKUP($D$2,'2019 Data(H)'!$C$1:$CG$300,147,FALSE)</f>
        <v>#N/A</v>
      </c>
      <c r="F29" s="647"/>
      <c r="G29" s="413">
        <f t="shared" si="0"/>
        <v>0</v>
      </c>
      <c r="H29" s="13"/>
      <c r="I29" s="31"/>
      <c r="J29" s="368"/>
      <c r="L29" s="865" t="s">
        <v>1127</v>
      </c>
      <c r="M29" s="633"/>
      <c r="N29" s="656"/>
    </row>
    <row r="30" spans="1:1881" ht="51.75" customHeight="1" thickBot="1" x14ac:dyDescent="0.3">
      <c r="A30" s="189">
        <v>339</v>
      </c>
      <c r="B30" s="64" t="s">
        <v>63</v>
      </c>
      <c r="C30" s="160" t="s">
        <v>154</v>
      </c>
      <c r="D30" s="176" t="s">
        <v>149</v>
      </c>
      <c r="E30" s="32" t="e">
        <f>HLOOKUP($D$2,'2019 Data(H)'!$C$1:$CG$300,105,FALSE)</f>
        <v>#N/A</v>
      </c>
      <c r="F30" s="647"/>
      <c r="G30" s="413">
        <f t="shared" si="0"/>
        <v>0</v>
      </c>
      <c r="H30" s="13"/>
      <c r="I30" s="31"/>
      <c r="J30" s="368"/>
      <c r="L30" s="865" t="s">
        <v>1128</v>
      </c>
      <c r="M30" s="633"/>
      <c r="N30" s="656"/>
    </row>
    <row r="31" spans="1:1881" ht="50.25" customHeight="1" thickBot="1" x14ac:dyDescent="0.3">
      <c r="A31" s="189">
        <v>504</v>
      </c>
      <c r="B31" s="64" t="s">
        <v>63</v>
      </c>
      <c r="C31" s="160" t="s">
        <v>154</v>
      </c>
      <c r="D31" s="176" t="s">
        <v>150</v>
      </c>
      <c r="E31" s="32" t="e">
        <f>HLOOKUP($D$2,'2019 Data(H)'!$C$1:$CG$300,154,FALSE)</f>
        <v>#N/A</v>
      </c>
      <c r="F31" s="647"/>
      <c r="G31" s="413">
        <f t="shared" si="0"/>
        <v>0</v>
      </c>
      <c r="H31" s="13"/>
      <c r="I31" s="31"/>
      <c r="J31" s="368"/>
      <c r="L31" s="865" t="s">
        <v>1129</v>
      </c>
      <c r="M31" s="633"/>
      <c r="N31" s="656"/>
    </row>
    <row r="32" spans="1:1881" ht="60" customHeight="1" thickBot="1" x14ac:dyDescent="0.3">
      <c r="A32" s="189">
        <v>505</v>
      </c>
      <c r="B32" s="64" t="s">
        <v>63</v>
      </c>
      <c r="C32" s="160" t="s">
        <v>154</v>
      </c>
      <c r="D32" s="131" t="s">
        <v>151</v>
      </c>
      <c r="E32" s="32" t="e">
        <f>HLOOKUP($D$2,'2019 Data(H)'!$C$1:$CG$300,155,FALSE)</f>
        <v>#N/A</v>
      </c>
      <c r="F32" s="647"/>
      <c r="G32" s="413">
        <f t="shared" si="0"/>
        <v>0</v>
      </c>
      <c r="H32" s="13"/>
      <c r="I32" s="31"/>
      <c r="J32" s="368"/>
      <c r="L32" s="865" t="s">
        <v>1130</v>
      </c>
      <c r="M32" s="633"/>
      <c r="N32" s="656"/>
    </row>
    <row r="33" spans="1:1881" ht="67.900000000000006" customHeight="1" thickBot="1" x14ac:dyDescent="0.3">
      <c r="A33" s="189">
        <v>341</v>
      </c>
      <c r="B33" s="64" t="s">
        <v>63</v>
      </c>
      <c r="C33" s="160" t="s">
        <v>154</v>
      </c>
      <c r="D33" s="130" t="s">
        <v>611</v>
      </c>
      <c r="E33" s="32" t="e">
        <f>HLOOKUP($D$2,'2019 Data(H)'!$C$1:$CG$300,107,FALSE)</f>
        <v>#N/A</v>
      </c>
      <c r="F33" s="647"/>
      <c r="G33" s="413">
        <f t="shared" si="0"/>
        <v>0</v>
      </c>
      <c r="H33" s="13"/>
      <c r="I33" s="31"/>
      <c r="J33" s="368"/>
      <c r="L33" s="865" t="s">
        <v>1131</v>
      </c>
      <c r="M33" s="633"/>
      <c r="N33" s="656"/>
    </row>
    <row r="34" spans="1:1881" ht="44.25" customHeight="1" thickBot="1" x14ac:dyDescent="0.3">
      <c r="A34" s="189">
        <v>386</v>
      </c>
      <c r="B34" s="64" t="s">
        <v>63</v>
      </c>
      <c r="C34" s="160" t="s">
        <v>154</v>
      </c>
      <c r="D34" s="176" t="s">
        <v>155</v>
      </c>
      <c r="E34" s="32" t="e">
        <f>HLOOKUP($D$2,'2019 Data(H)'!$C$1:$CG$300,145,FALSE)</f>
        <v>#N/A</v>
      </c>
      <c r="F34" s="647"/>
      <c r="G34" s="413">
        <f t="shared" si="0"/>
        <v>0</v>
      </c>
      <c r="H34" s="13"/>
      <c r="I34" s="31"/>
      <c r="L34" s="865" t="s">
        <v>1132</v>
      </c>
      <c r="M34" s="633"/>
      <c r="N34" s="656"/>
    </row>
    <row r="35" spans="1:1881" ht="48.75" customHeight="1" thickBot="1" x14ac:dyDescent="0.3">
      <c r="A35" s="189">
        <v>387</v>
      </c>
      <c r="B35" s="64" t="s">
        <v>67</v>
      </c>
      <c r="C35" s="160" t="s">
        <v>154</v>
      </c>
      <c r="D35" s="176" t="s">
        <v>156</v>
      </c>
      <c r="E35" s="32" t="e">
        <f>HLOOKUP($D$2,'2019 Data(H)'!$C$1:$CG$300,146,FALSE)</f>
        <v>#N/A</v>
      </c>
      <c r="F35" s="647"/>
      <c r="G35" s="413">
        <f t="shared" si="0"/>
        <v>0</v>
      </c>
      <c r="H35" s="13"/>
      <c r="I35" s="31"/>
      <c r="L35" s="865" t="s">
        <v>1133</v>
      </c>
      <c r="M35" s="633"/>
      <c r="N35" s="656"/>
    </row>
    <row r="36" spans="1:1881" ht="66.75" customHeight="1" thickBot="1" x14ac:dyDescent="0.3">
      <c r="A36" s="189">
        <v>389</v>
      </c>
      <c r="B36" s="64" t="s">
        <v>67</v>
      </c>
      <c r="C36" s="160" t="s">
        <v>154</v>
      </c>
      <c r="D36" s="166" t="s">
        <v>247</v>
      </c>
      <c r="E36" s="32" t="e">
        <f>HLOOKUP($D$2,'2019 Data(H)'!$C$1:$CG$300,148,FALSE)</f>
        <v>#N/A</v>
      </c>
      <c r="F36" s="647"/>
      <c r="G36" s="413"/>
      <c r="H36" s="13"/>
      <c r="I36" s="31"/>
      <c r="J36" s="368"/>
      <c r="L36" s="865" t="s">
        <v>1134</v>
      </c>
      <c r="M36" s="633"/>
      <c r="N36" s="656"/>
    </row>
    <row r="37" spans="1:1881" ht="61.5" customHeight="1" thickBot="1" x14ac:dyDescent="0.3">
      <c r="A37" s="189">
        <v>255</v>
      </c>
      <c r="B37" s="64" t="s">
        <v>63</v>
      </c>
      <c r="C37" s="160" t="s">
        <v>154</v>
      </c>
      <c r="D37" s="166" t="s">
        <v>248</v>
      </c>
      <c r="E37" s="32" t="e">
        <f>HLOOKUP($D$2,'2019 Data(H)'!$C$1:$CG$300,81,FALSE)</f>
        <v>#N/A</v>
      </c>
      <c r="F37" s="647"/>
      <c r="G37" s="413">
        <f>IF(H37=0,,"Error: Total revenues less total expenses do not equal total change in net position. Account numbers 339+504+505+341+386-387+389-388-255 = 0  The amount the formula is off is located in the cell to the right")</f>
        <v>0</v>
      </c>
      <c r="H37" s="193">
        <f>F30+F31+F32+F33+F34-F35+F36-F29-F37</f>
        <v>0</v>
      </c>
      <c r="I37" s="31"/>
      <c r="J37" s="368"/>
      <c r="L37" s="865" t="s">
        <v>1135</v>
      </c>
      <c r="M37" s="633"/>
      <c r="N37" s="656"/>
    </row>
    <row r="38" spans="1:1881" ht="74.25" customHeight="1" thickBot="1" x14ac:dyDescent="0.3">
      <c r="A38" s="189">
        <v>376</v>
      </c>
      <c r="B38" s="64" t="s">
        <v>63</v>
      </c>
      <c r="C38" s="160" t="s">
        <v>154</v>
      </c>
      <c r="D38" s="142" t="s">
        <v>612</v>
      </c>
      <c r="E38" s="32" t="e">
        <f>HLOOKUP($D$2,'2019 Data(H)'!$C$1:$CG$300,135,FALSE)</f>
        <v>#N/A</v>
      </c>
      <c r="F38" s="746"/>
      <c r="G38" s="413" t="e">
        <f>IF(H38=0,,"Error: Beginning Balance does not agree with our records.  Account numbers  252+253+254-255-376-(E21+ E22+ E23)=0  The amount the formula is off is located in the cell to the right")</f>
        <v>#N/A</v>
      </c>
      <c r="H38" s="292" t="e">
        <f>F21+F22+F23-F37-F38-(E21+E22+E23)</f>
        <v>#N/A</v>
      </c>
      <c r="I38" s="31"/>
      <c r="J38" s="368"/>
      <c r="L38" s="865" t="s">
        <v>1136</v>
      </c>
      <c r="M38" s="633"/>
      <c r="N38" s="656"/>
    </row>
    <row r="39" spans="1:1881" s="4" customFormat="1" ht="105.75" thickBot="1" x14ac:dyDescent="0.3">
      <c r="A39" s="189">
        <v>597</v>
      </c>
      <c r="B39" s="151" t="s">
        <v>705</v>
      </c>
      <c r="C39" s="151" t="s">
        <v>772</v>
      </c>
      <c r="D39" s="339" t="s">
        <v>773</v>
      </c>
      <c r="E39" s="32" t="e">
        <f>HLOOKUP($D$2,'2019 Data(H)'!$C$1:$CG$300,256,FALSE)</f>
        <v>#N/A</v>
      </c>
      <c r="F39" s="746"/>
      <c r="G39" s="413">
        <f>IF(F39&lt;0,"Note: Number is normally positive.",)</f>
        <v>0</v>
      </c>
      <c r="H39" s="17"/>
      <c r="I39" s="298"/>
      <c r="J39" s="368"/>
      <c r="K39" s="412"/>
      <c r="L39" s="865" t="s">
        <v>1137</v>
      </c>
      <c r="M39" s="633"/>
      <c r="N39" s="656"/>
      <c r="O39" s="412"/>
      <c r="P39" s="412"/>
      <c r="Q39" s="412"/>
      <c r="R39" s="412"/>
      <c r="S39" s="412"/>
      <c r="T39" s="412"/>
      <c r="U39" s="412"/>
      <c r="V39" s="412"/>
      <c r="W39" s="412"/>
      <c r="X39" s="412"/>
      <c r="Y39" s="412"/>
      <c r="Z39" s="412"/>
      <c r="AA39" s="412"/>
      <c r="AB39" s="412"/>
      <c r="AC39" s="412"/>
      <c r="AD39" s="412"/>
      <c r="AE39" s="412"/>
      <c r="AF39" s="412"/>
      <c r="AG39" s="412"/>
      <c r="AH39" s="412"/>
      <c r="AI39" s="412"/>
      <c r="AJ39" s="412"/>
      <c r="AK39" s="412"/>
      <c r="AL39" s="412"/>
      <c r="AM39" s="412"/>
      <c r="AN39" s="412"/>
      <c r="AO39" s="412"/>
      <c r="AP39" s="412"/>
      <c r="AQ39" s="412"/>
      <c r="AR39" s="412"/>
      <c r="AS39" s="412"/>
      <c r="AT39" s="412"/>
      <c r="AU39" s="412"/>
      <c r="AV39" s="412"/>
      <c r="AW39" s="412"/>
      <c r="AX39" s="412"/>
      <c r="AY39" s="412"/>
      <c r="AZ39" s="412"/>
      <c r="BA39" s="412"/>
      <c r="BB39" s="412"/>
      <c r="BC39" s="412"/>
      <c r="BD39" s="412"/>
      <c r="BE39" s="412"/>
      <c r="BF39" s="412"/>
      <c r="BG39" s="412"/>
      <c r="BH39" s="412"/>
      <c r="BI39" s="412"/>
      <c r="BJ39" s="412"/>
      <c r="BK39" s="412"/>
      <c r="BL39" s="412"/>
      <c r="BM39" s="412"/>
      <c r="BN39" s="412"/>
      <c r="BO39" s="412"/>
      <c r="BP39" s="412"/>
      <c r="BQ39" s="412"/>
      <c r="BR39" s="412"/>
      <c r="BS39" s="412"/>
      <c r="BT39" s="412"/>
      <c r="BU39" s="412"/>
      <c r="BV39" s="412"/>
      <c r="BW39" s="412"/>
      <c r="BX39" s="412"/>
      <c r="BY39" s="412"/>
      <c r="BZ39" s="412"/>
      <c r="CA39" s="412"/>
      <c r="CB39" s="412"/>
      <c r="CC39" s="412"/>
      <c r="CD39" s="412"/>
      <c r="CE39" s="412"/>
      <c r="CF39" s="412"/>
      <c r="CG39" s="412"/>
      <c r="CH39" s="412"/>
      <c r="CI39" s="412"/>
      <c r="CJ39" s="412"/>
      <c r="CK39" s="412"/>
      <c r="CL39" s="412"/>
      <c r="CM39" s="412"/>
      <c r="CN39" s="412"/>
      <c r="CO39" s="412"/>
      <c r="CP39" s="412"/>
      <c r="CQ39" s="412"/>
      <c r="CR39" s="412"/>
      <c r="CS39" s="412"/>
      <c r="CT39" s="412"/>
      <c r="CU39" s="412"/>
      <c r="CV39" s="412"/>
      <c r="CW39" s="412"/>
      <c r="CX39" s="412"/>
      <c r="CY39" s="412"/>
      <c r="CZ39" s="412"/>
      <c r="DA39" s="412"/>
      <c r="DB39" s="412"/>
      <c r="DC39" s="412"/>
      <c r="DD39" s="412"/>
      <c r="DE39" s="412"/>
      <c r="DF39" s="412"/>
      <c r="DG39" s="412"/>
      <c r="DH39" s="412"/>
      <c r="DI39" s="412"/>
      <c r="DJ39" s="412"/>
      <c r="DK39" s="412"/>
      <c r="DL39" s="412"/>
      <c r="DM39" s="412"/>
      <c r="DN39" s="412"/>
      <c r="DO39" s="412"/>
      <c r="DP39" s="412"/>
      <c r="DQ39" s="412"/>
      <c r="DR39" s="412"/>
      <c r="DS39" s="412"/>
      <c r="DT39" s="412"/>
      <c r="DU39" s="412"/>
      <c r="DV39" s="412"/>
      <c r="DW39" s="412"/>
      <c r="DX39" s="412"/>
      <c r="DY39" s="412"/>
      <c r="DZ39" s="412"/>
      <c r="EA39" s="412"/>
      <c r="EB39" s="412"/>
      <c r="EC39" s="412"/>
      <c r="ED39" s="412"/>
      <c r="EE39" s="412"/>
      <c r="EF39" s="412"/>
      <c r="EG39" s="412"/>
      <c r="EH39" s="412"/>
      <c r="EI39" s="412"/>
      <c r="EJ39" s="412"/>
      <c r="EK39" s="412"/>
      <c r="EL39" s="412"/>
      <c r="EM39" s="412"/>
      <c r="EN39" s="412"/>
      <c r="EO39" s="412"/>
      <c r="EP39" s="412"/>
      <c r="EQ39" s="412"/>
      <c r="ER39" s="412"/>
      <c r="ES39" s="412"/>
      <c r="ET39" s="412"/>
      <c r="EU39" s="412"/>
      <c r="EV39" s="412"/>
      <c r="EW39" s="412"/>
      <c r="EX39" s="412"/>
      <c r="EY39" s="412"/>
      <c r="EZ39" s="412"/>
      <c r="FA39" s="412"/>
      <c r="FB39" s="412"/>
      <c r="FC39" s="412"/>
      <c r="FD39" s="412"/>
      <c r="FE39" s="412"/>
      <c r="FF39" s="412"/>
      <c r="FG39" s="412"/>
      <c r="FH39" s="412"/>
      <c r="FI39" s="412"/>
      <c r="FJ39" s="412"/>
      <c r="FK39" s="412"/>
      <c r="FL39" s="412"/>
      <c r="FM39" s="412"/>
      <c r="FN39" s="412"/>
      <c r="FO39" s="412"/>
      <c r="FP39" s="412"/>
      <c r="FQ39" s="412"/>
      <c r="FR39" s="412"/>
      <c r="FS39" s="412"/>
      <c r="FT39" s="412"/>
      <c r="FU39" s="412"/>
      <c r="FV39" s="412"/>
      <c r="FW39" s="412"/>
      <c r="FX39" s="412"/>
      <c r="FY39" s="412"/>
      <c r="FZ39" s="412"/>
      <c r="GA39" s="412"/>
      <c r="GB39" s="412"/>
      <c r="GC39" s="412"/>
      <c r="GD39" s="412"/>
      <c r="GE39" s="412"/>
      <c r="GF39" s="412"/>
      <c r="GG39" s="412"/>
      <c r="GH39" s="412"/>
      <c r="GI39" s="412"/>
      <c r="GJ39" s="412"/>
      <c r="GK39" s="412"/>
      <c r="GL39" s="412"/>
      <c r="GM39" s="412"/>
      <c r="GN39" s="412"/>
      <c r="GO39" s="412"/>
      <c r="GP39" s="412"/>
      <c r="GQ39" s="412"/>
      <c r="GR39" s="412"/>
      <c r="GS39" s="412"/>
      <c r="GT39" s="412"/>
      <c r="GU39" s="412"/>
      <c r="GV39" s="412"/>
      <c r="GW39" s="412"/>
      <c r="GX39" s="412"/>
      <c r="GY39" s="412"/>
      <c r="GZ39" s="412"/>
      <c r="HA39" s="412"/>
      <c r="HB39" s="412"/>
      <c r="HC39" s="412"/>
      <c r="HD39" s="412"/>
      <c r="HE39" s="412"/>
      <c r="HF39" s="412"/>
      <c r="HG39" s="412"/>
      <c r="HH39" s="412"/>
      <c r="HI39" s="412"/>
      <c r="HJ39" s="412"/>
      <c r="HK39" s="412"/>
      <c r="HL39" s="412"/>
      <c r="HM39" s="412"/>
      <c r="HN39" s="412"/>
      <c r="HO39" s="412"/>
      <c r="HP39" s="412"/>
      <c r="HQ39" s="412"/>
      <c r="HR39" s="412"/>
      <c r="HS39" s="412"/>
      <c r="HT39" s="412"/>
      <c r="HU39" s="412"/>
      <c r="HV39" s="412"/>
      <c r="HW39" s="412"/>
      <c r="HX39" s="412"/>
      <c r="HY39" s="412"/>
      <c r="HZ39" s="412"/>
      <c r="IA39" s="412"/>
      <c r="IB39" s="412"/>
      <c r="IC39" s="412"/>
      <c r="ID39" s="412"/>
      <c r="IE39" s="412"/>
      <c r="IF39" s="412"/>
      <c r="IG39" s="412"/>
      <c r="IH39" s="412"/>
      <c r="II39" s="412"/>
      <c r="IJ39" s="412"/>
      <c r="IK39" s="412"/>
      <c r="IL39" s="412"/>
      <c r="IM39" s="412"/>
      <c r="IN39" s="412"/>
      <c r="IO39" s="412"/>
      <c r="IP39" s="412"/>
      <c r="IQ39" s="412"/>
      <c r="IR39" s="412"/>
      <c r="IS39" s="412"/>
      <c r="IT39" s="412"/>
      <c r="IU39" s="412"/>
      <c r="IV39" s="412"/>
      <c r="IW39" s="412"/>
      <c r="IX39" s="412"/>
      <c r="IY39" s="412"/>
      <c r="IZ39" s="412"/>
      <c r="JA39" s="412"/>
      <c r="JB39" s="412"/>
      <c r="JC39" s="412"/>
      <c r="JD39" s="412"/>
      <c r="JE39" s="412"/>
      <c r="JF39" s="412"/>
      <c r="JG39" s="412"/>
      <c r="JH39" s="412"/>
      <c r="JI39" s="412"/>
      <c r="JJ39" s="412"/>
      <c r="JK39" s="412"/>
      <c r="JL39" s="412"/>
      <c r="JM39" s="412"/>
      <c r="JN39" s="412"/>
      <c r="JO39" s="412"/>
      <c r="JP39" s="412"/>
      <c r="JQ39" s="412"/>
      <c r="JR39" s="412"/>
      <c r="JS39" s="412"/>
      <c r="JT39" s="412"/>
      <c r="JU39" s="412"/>
      <c r="JV39" s="412"/>
      <c r="JW39" s="412"/>
      <c r="JX39" s="412"/>
      <c r="JY39" s="412"/>
      <c r="JZ39" s="412"/>
      <c r="KA39" s="412"/>
      <c r="KB39" s="412"/>
      <c r="KC39" s="412"/>
      <c r="KD39" s="412"/>
      <c r="KE39" s="412"/>
      <c r="KF39" s="412"/>
      <c r="KG39" s="412"/>
      <c r="KH39" s="412"/>
      <c r="KI39" s="412"/>
      <c r="KJ39" s="412"/>
      <c r="KK39" s="412"/>
      <c r="KL39" s="412"/>
      <c r="KM39" s="412"/>
      <c r="KN39" s="412"/>
      <c r="KO39" s="412"/>
      <c r="KP39" s="412"/>
      <c r="KQ39" s="412"/>
      <c r="KR39" s="412"/>
      <c r="KS39" s="412"/>
      <c r="KT39" s="412"/>
      <c r="KU39" s="412"/>
      <c r="KV39" s="412"/>
      <c r="KW39" s="412"/>
      <c r="KX39" s="412"/>
      <c r="KY39" s="412"/>
      <c r="KZ39" s="412"/>
      <c r="LA39" s="412"/>
      <c r="LB39" s="412"/>
      <c r="LC39" s="412"/>
      <c r="LD39" s="412"/>
      <c r="LE39" s="412"/>
      <c r="LF39" s="412"/>
      <c r="LG39" s="412"/>
      <c r="LH39" s="412"/>
      <c r="LI39" s="412"/>
      <c r="LJ39" s="412"/>
      <c r="LK39" s="412"/>
      <c r="LL39" s="412"/>
      <c r="LM39" s="412"/>
      <c r="LN39" s="412"/>
      <c r="LO39" s="412"/>
      <c r="LP39" s="412"/>
      <c r="LQ39" s="412"/>
      <c r="LR39" s="412"/>
      <c r="LS39" s="412"/>
      <c r="LT39" s="412"/>
      <c r="LU39" s="412"/>
      <c r="LV39" s="412"/>
      <c r="LW39" s="412"/>
      <c r="LX39" s="412"/>
      <c r="LY39" s="412"/>
      <c r="LZ39" s="412"/>
      <c r="MA39" s="412"/>
      <c r="MB39" s="412"/>
      <c r="MC39" s="412"/>
      <c r="MD39" s="412"/>
      <c r="ME39" s="412"/>
      <c r="MF39" s="412"/>
      <c r="MG39" s="412"/>
      <c r="MH39" s="412"/>
      <c r="MI39" s="412"/>
      <c r="MJ39" s="412"/>
      <c r="MK39" s="412"/>
      <c r="ML39" s="412"/>
      <c r="MM39" s="412"/>
      <c r="MN39" s="412"/>
      <c r="MO39" s="412"/>
      <c r="MP39" s="412"/>
      <c r="MQ39" s="412"/>
      <c r="MR39" s="412"/>
      <c r="MS39" s="412"/>
      <c r="MT39" s="412"/>
      <c r="MU39" s="412"/>
      <c r="MV39" s="412"/>
      <c r="MW39" s="412"/>
      <c r="MX39" s="412"/>
      <c r="MY39" s="412"/>
      <c r="MZ39" s="412"/>
      <c r="NA39" s="412"/>
      <c r="NB39" s="412"/>
      <c r="NC39" s="412"/>
      <c r="ND39" s="412"/>
      <c r="NE39" s="412"/>
      <c r="NF39" s="412"/>
      <c r="NG39" s="412"/>
      <c r="NH39" s="412"/>
      <c r="NI39" s="412"/>
      <c r="NJ39" s="412"/>
      <c r="NK39" s="412"/>
      <c r="NL39" s="412"/>
      <c r="NM39" s="412"/>
      <c r="NN39" s="412"/>
      <c r="NO39" s="412"/>
      <c r="NP39" s="412"/>
      <c r="NQ39" s="412"/>
      <c r="NR39" s="412"/>
      <c r="NS39" s="412"/>
      <c r="NT39" s="412"/>
      <c r="NU39" s="412"/>
      <c r="NV39" s="412"/>
      <c r="NW39" s="412"/>
      <c r="NX39" s="412"/>
      <c r="NY39" s="412"/>
      <c r="NZ39" s="412"/>
      <c r="OA39" s="412"/>
      <c r="OB39" s="412"/>
      <c r="OC39" s="412"/>
      <c r="OD39" s="412"/>
      <c r="OE39" s="412"/>
      <c r="OF39" s="412"/>
      <c r="OG39" s="412"/>
      <c r="OH39" s="412"/>
      <c r="OI39" s="412"/>
      <c r="OJ39" s="412"/>
      <c r="OK39" s="412"/>
      <c r="OL39" s="412"/>
      <c r="OM39" s="412"/>
      <c r="ON39" s="412"/>
      <c r="OO39" s="412"/>
      <c r="OP39" s="412"/>
      <c r="OQ39" s="412"/>
      <c r="OR39" s="412"/>
      <c r="OS39" s="412"/>
      <c r="OT39" s="412"/>
      <c r="OU39" s="412"/>
      <c r="OV39" s="412"/>
      <c r="OW39" s="412"/>
      <c r="OX39" s="412"/>
      <c r="OY39" s="412"/>
      <c r="OZ39" s="412"/>
      <c r="PA39" s="412"/>
      <c r="PB39" s="412"/>
      <c r="PC39" s="412"/>
      <c r="PD39" s="412"/>
      <c r="PE39" s="412"/>
      <c r="PF39" s="412"/>
      <c r="PG39" s="412"/>
      <c r="PH39" s="412"/>
      <c r="PI39" s="412"/>
      <c r="PJ39" s="412"/>
      <c r="PK39" s="412"/>
      <c r="PL39" s="412"/>
      <c r="PM39" s="412"/>
      <c r="PN39" s="412"/>
      <c r="PO39" s="412"/>
      <c r="PP39" s="412"/>
      <c r="PQ39" s="412"/>
      <c r="PR39" s="412"/>
      <c r="PS39" s="412"/>
      <c r="PT39" s="412"/>
      <c r="PU39" s="412"/>
      <c r="PV39" s="412"/>
      <c r="PW39" s="412"/>
      <c r="PX39" s="412"/>
      <c r="PY39" s="412"/>
      <c r="PZ39" s="412"/>
      <c r="QA39" s="412"/>
      <c r="QB39" s="412"/>
      <c r="QC39" s="412"/>
      <c r="QD39" s="412"/>
      <c r="QE39" s="412"/>
      <c r="QF39" s="412"/>
      <c r="QG39" s="412"/>
      <c r="QH39" s="412"/>
      <c r="QI39" s="412"/>
      <c r="QJ39" s="412"/>
      <c r="QK39" s="412"/>
      <c r="QL39" s="412"/>
      <c r="QM39" s="412"/>
      <c r="QN39" s="412"/>
      <c r="QO39" s="412"/>
      <c r="QP39" s="412"/>
      <c r="QQ39" s="412"/>
      <c r="QR39" s="412"/>
      <c r="QS39" s="412"/>
      <c r="QT39" s="412"/>
      <c r="QU39" s="412"/>
      <c r="QV39" s="412"/>
      <c r="QW39" s="412"/>
      <c r="QX39" s="412"/>
      <c r="QY39" s="412"/>
      <c r="QZ39" s="412"/>
      <c r="RA39" s="412"/>
      <c r="RB39" s="412"/>
      <c r="RC39" s="412"/>
      <c r="RD39" s="412"/>
      <c r="RE39" s="412"/>
      <c r="RF39" s="412"/>
      <c r="RG39" s="412"/>
      <c r="RH39" s="412"/>
      <c r="RI39" s="412"/>
      <c r="RJ39" s="412"/>
      <c r="RK39" s="412"/>
      <c r="RL39" s="412"/>
      <c r="RM39" s="412"/>
      <c r="RN39" s="412"/>
      <c r="RO39" s="412"/>
      <c r="RP39" s="412"/>
      <c r="RQ39" s="412"/>
      <c r="RR39" s="412"/>
      <c r="RS39" s="412"/>
      <c r="RT39" s="412"/>
      <c r="RU39" s="412"/>
      <c r="RV39" s="412"/>
      <c r="RW39" s="412"/>
      <c r="RX39" s="412"/>
      <c r="RY39" s="412"/>
      <c r="RZ39" s="412"/>
      <c r="SA39" s="412"/>
      <c r="SB39" s="412"/>
      <c r="SC39" s="412"/>
      <c r="SD39" s="412"/>
      <c r="SE39" s="412"/>
      <c r="SF39" s="412"/>
      <c r="SG39" s="412"/>
      <c r="SH39" s="412"/>
      <c r="SI39" s="412"/>
      <c r="SJ39" s="412"/>
      <c r="SK39" s="412"/>
      <c r="SL39" s="412"/>
      <c r="SM39" s="412"/>
      <c r="SN39" s="412"/>
      <c r="SO39" s="412"/>
      <c r="SP39" s="412"/>
      <c r="SQ39" s="412"/>
      <c r="SR39" s="412"/>
      <c r="SS39" s="412"/>
      <c r="ST39" s="412"/>
      <c r="SU39" s="412"/>
      <c r="SV39" s="412"/>
      <c r="SW39" s="412"/>
      <c r="SX39" s="412"/>
      <c r="SY39" s="412"/>
      <c r="SZ39" s="412"/>
      <c r="TA39" s="412"/>
      <c r="TB39" s="412"/>
      <c r="TC39" s="412"/>
      <c r="TD39" s="412"/>
      <c r="TE39" s="412"/>
      <c r="TF39" s="412"/>
      <c r="TG39" s="412"/>
      <c r="TH39" s="412"/>
      <c r="TI39" s="412"/>
      <c r="TJ39" s="412"/>
      <c r="TK39" s="412"/>
      <c r="TL39" s="412"/>
      <c r="TM39" s="412"/>
      <c r="TN39" s="412"/>
      <c r="TO39" s="412"/>
      <c r="TP39" s="412"/>
      <c r="TQ39" s="412"/>
      <c r="TR39" s="412"/>
      <c r="TS39" s="412"/>
      <c r="TT39" s="412"/>
      <c r="TU39" s="412"/>
      <c r="TV39" s="412"/>
      <c r="TW39" s="412"/>
      <c r="TX39" s="412"/>
      <c r="TY39" s="412"/>
      <c r="TZ39" s="412"/>
      <c r="UA39" s="412"/>
      <c r="UB39" s="412"/>
      <c r="UC39" s="412"/>
      <c r="UD39" s="412"/>
      <c r="UE39" s="412"/>
      <c r="UF39" s="412"/>
      <c r="UG39" s="412"/>
      <c r="UH39" s="412"/>
      <c r="UI39" s="412"/>
      <c r="UJ39" s="412"/>
      <c r="UK39" s="412"/>
      <c r="UL39" s="412"/>
      <c r="UM39" s="412"/>
      <c r="UN39" s="412"/>
      <c r="UO39" s="412"/>
      <c r="UP39" s="412"/>
      <c r="UQ39" s="412"/>
      <c r="UR39" s="412"/>
      <c r="US39" s="412"/>
      <c r="UT39" s="412"/>
      <c r="UU39" s="412"/>
      <c r="UV39" s="412"/>
      <c r="UW39" s="412"/>
      <c r="UX39" s="412"/>
      <c r="UY39" s="412"/>
      <c r="UZ39" s="412"/>
      <c r="VA39" s="412"/>
      <c r="VB39" s="412"/>
      <c r="VC39" s="412"/>
      <c r="VD39" s="412"/>
      <c r="VE39" s="412"/>
      <c r="VF39" s="412"/>
      <c r="VG39" s="412"/>
      <c r="VH39" s="412"/>
      <c r="VI39" s="412"/>
      <c r="VJ39" s="412"/>
      <c r="VK39" s="412"/>
      <c r="VL39" s="412"/>
      <c r="VM39" s="412"/>
      <c r="VN39" s="412"/>
      <c r="VO39" s="412"/>
      <c r="VP39" s="412"/>
      <c r="VQ39" s="412"/>
      <c r="VR39" s="412"/>
      <c r="VS39" s="412"/>
      <c r="VT39" s="412"/>
      <c r="VU39" s="412"/>
      <c r="VV39" s="412"/>
      <c r="VW39" s="412"/>
      <c r="VX39" s="412"/>
      <c r="VY39" s="412"/>
      <c r="VZ39" s="412"/>
      <c r="WA39" s="412"/>
      <c r="WB39" s="412"/>
      <c r="WC39" s="412"/>
      <c r="WD39" s="412"/>
      <c r="WE39" s="412"/>
      <c r="WF39" s="412"/>
      <c r="WG39" s="412"/>
      <c r="WH39" s="412"/>
      <c r="WI39" s="412"/>
      <c r="WJ39" s="412"/>
      <c r="WK39" s="412"/>
      <c r="WL39" s="412"/>
      <c r="WM39" s="412"/>
      <c r="WN39" s="412"/>
      <c r="WO39" s="412"/>
      <c r="WP39" s="412"/>
      <c r="WQ39" s="412"/>
      <c r="WR39" s="412"/>
      <c r="WS39" s="412"/>
      <c r="WT39" s="412"/>
      <c r="WU39" s="412"/>
      <c r="WV39" s="412"/>
      <c r="WW39" s="412"/>
      <c r="WX39" s="412"/>
      <c r="WY39" s="412"/>
      <c r="WZ39" s="412"/>
      <c r="XA39" s="412"/>
      <c r="XB39" s="412"/>
      <c r="XC39" s="412"/>
      <c r="XD39" s="412"/>
      <c r="XE39" s="412"/>
      <c r="XF39" s="412"/>
      <c r="XG39" s="412"/>
      <c r="XH39" s="412"/>
      <c r="XI39" s="412"/>
      <c r="XJ39" s="412"/>
      <c r="XK39" s="412"/>
      <c r="XL39" s="412"/>
      <c r="XM39" s="412"/>
      <c r="XN39" s="412"/>
      <c r="XO39" s="412"/>
      <c r="XP39" s="412"/>
      <c r="XQ39" s="412"/>
      <c r="XR39" s="412"/>
      <c r="XS39" s="412"/>
      <c r="XT39" s="412"/>
      <c r="XU39" s="412"/>
      <c r="XV39" s="412"/>
      <c r="XW39" s="412"/>
      <c r="XX39" s="412"/>
      <c r="XY39" s="412"/>
      <c r="XZ39" s="412"/>
      <c r="YA39" s="412"/>
      <c r="YB39" s="412"/>
      <c r="YC39" s="412"/>
      <c r="YD39" s="412"/>
      <c r="YE39" s="412"/>
      <c r="YF39" s="412"/>
      <c r="YG39" s="412"/>
      <c r="YH39" s="412"/>
      <c r="YI39" s="412"/>
      <c r="YJ39" s="412"/>
      <c r="YK39" s="412"/>
      <c r="YL39" s="412"/>
      <c r="YM39" s="412"/>
      <c r="YN39" s="412"/>
      <c r="YO39" s="412"/>
      <c r="YP39" s="412"/>
      <c r="YQ39" s="412"/>
      <c r="YR39" s="412"/>
      <c r="YS39" s="412"/>
      <c r="YT39" s="412"/>
      <c r="YU39" s="412"/>
      <c r="YV39" s="412"/>
      <c r="YW39" s="412"/>
      <c r="YX39" s="412"/>
      <c r="YY39" s="412"/>
      <c r="YZ39" s="412"/>
      <c r="ZA39" s="412"/>
      <c r="ZB39" s="412"/>
      <c r="ZC39" s="412"/>
      <c r="ZD39" s="412"/>
      <c r="ZE39" s="412"/>
      <c r="ZF39" s="412"/>
      <c r="ZG39" s="412"/>
      <c r="ZH39" s="412"/>
      <c r="ZI39" s="412"/>
      <c r="ZJ39" s="412"/>
      <c r="ZK39" s="412"/>
      <c r="ZL39" s="412"/>
      <c r="ZM39" s="412"/>
      <c r="ZN39" s="412"/>
      <c r="ZO39" s="412"/>
      <c r="ZP39" s="412"/>
      <c r="ZQ39" s="412"/>
      <c r="ZR39" s="412"/>
      <c r="ZS39" s="412"/>
      <c r="ZT39" s="412"/>
      <c r="ZU39" s="412"/>
      <c r="ZV39" s="412"/>
      <c r="ZW39" s="412"/>
      <c r="ZX39" s="412"/>
      <c r="ZY39" s="412"/>
      <c r="ZZ39" s="412"/>
      <c r="AAA39" s="412"/>
      <c r="AAB39" s="412"/>
      <c r="AAC39" s="412"/>
      <c r="AAD39" s="412"/>
      <c r="AAE39" s="412"/>
      <c r="AAF39" s="412"/>
      <c r="AAG39" s="412"/>
      <c r="AAH39" s="412"/>
      <c r="AAI39" s="412"/>
      <c r="AAJ39" s="412"/>
      <c r="AAK39" s="412"/>
      <c r="AAL39" s="412"/>
      <c r="AAM39" s="412"/>
      <c r="AAN39" s="412"/>
      <c r="AAO39" s="412"/>
      <c r="AAP39" s="412"/>
      <c r="AAQ39" s="412"/>
      <c r="AAR39" s="412"/>
      <c r="AAS39" s="412"/>
      <c r="AAT39" s="412"/>
      <c r="AAU39" s="412"/>
      <c r="AAV39" s="412"/>
      <c r="AAW39" s="412"/>
      <c r="AAX39" s="412"/>
      <c r="AAY39" s="412"/>
      <c r="AAZ39" s="412"/>
      <c r="ABA39" s="412"/>
      <c r="ABB39" s="412"/>
      <c r="ABC39" s="412"/>
      <c r="ABD39" s="412"/>
      <c r="ABE39" s="412"/>
      <c r="ABF39" s="412"/>
      <c r="ABG39" s="412"/>
      <c r="ABH39" s="412"/>
      <c r="ABI39" s="412"/>
      <c r="ABJ39" s="412"/>
      <c r="ABK39" s="412"/>
      <c r="ABL39" s="412"/>
      <c r="ABM39" s="412"/>
      <c r="ABN39" s="412"/>
      <c r="ABO39" s="412"/>
      <c r="ABP39" s="412"/>
      <c r="ABQ39" s="412"/>
      <c r="ABR39" s="412"/>
      <c r="ABS39" s="412"/>
      <c r="ABT39" s="412"/>
      <c r="ABU39" s="412"/>
      <c r="ABV39" s="412"/>
      <c r="ABW39" s="412"/>
      <c r="ABX39" s="412"/>
      <c r="ABY39" s="412"/>
      <c r="ABZ39" s="412"/>
      <c r="ACA39" s="412"/>
      <c r="ACB39" s="412"/>
      <c r="ACC39" s="412"/>
      <c r="ACD39" s="412"/>
      <c r="ACE39" s="412"/>
      <c r="ACF39" s="412"/>
      <c r="ACG39" s="412"/>
      <c r="ACH39" s="412"/>
      <c r="ACI39" s="412"/>
      <c r="ACJ39" s="412"/>
      <c r="ACK39" s="412"/>
      <c r="ACL39" s="412"/>
      <c r="ACM39" s="412"/>
      <c r="ACN39" s="412"/>
      <c r="ACO39" s="412"/>
      <c r="ACP39" s="412"/>
      <c r="ACQ39" s="412"/>
      <c r="ACR39" s="412"/>
      <c r="ACS39" s="412"/>
      <c r="ACT39" s="412"/>
      <c r="ACU39" s="412"/>
      <c r="ACV39" s="412"/>
      <c r="ACW39" s="412"/>
      <c r="ACX39" s="412"/>
      <c r="ACY39" s="412"/>
      <c r="ACZ39" s="412"/>
      <c r="ADA39" s="412"/>
      <c r="ADB39" s="412"/>
      <c r="ADC39" s="412"/>
      <c r="ADD39" s="412"/>
      <c r="ADE39" s="412"/>
      <c r="ADF39" s="412"/>
      <c r="ADG39" s="412"/>
      <c r="ADH39" s="412"/>
      <c r="ADI39" s="412"/>
      <c r="ADJ39" s="412"/>
      <c r="ADK39" s="412"/>
      <c r="ADL39" s="412"/>
      <c r="ADM39" s="412"/>
      <c r="ADN39" s="412"/>
      <c r="ADO39" s="412"/>
      <c r="ADP39" s="412"/>
      <c r="ADQ39" s="412"/>
      <c r="ADR39" s="412"/>
      <c r="ADS39" s="412"/>
      <c r="ADT39" s="412"/>
      <c r="ADU39" s="412"/>
      <c r="ADV39" s="412"/>
      <c r="ADW39" s="412"/>
      <c r="ADX39" s="412"/>
      <c r="ADY39" s="412"/>
      <c r="ADZ39" s="412"/>
      <c r="AEA39" s="412"/>
      <c r="AEB39" s="412"/>
      <c r="AEC39" s="412"/>
      <c r="AED39" s="412"/>
      <c r="AEE39" s="412"/>
      <c r="AEF39" s="412"/>
      <c r="AEG39" s="412"/>
      <c r="AEH39" s="412"/>
      <c r="AEI39" s="412"/>
      <c r="AEJ39" s="412"/>
      <c r="AEK39" s="412"/>
      <c r="AEL39" s="412"/>
      <c r="AEM39" s="412"/>
      <c r="AEN39" s="412"/>
      <c r="AEO39" s="412"/>
      <c r="AEP39" s="412"/>
      <c r="AEQ39" s="412"/>
      <c r="AER39" s="412"/>
      <c r="AES39" s="412"/>
      <c r="AET39" s="412"/>
      <c r="AEU39" s="412"/>
      <c r="AEV39" s="412"/>
      <c r="AEW39" s="412"/>
      <c r="AEX39" s="412"/>
      <c r="AEY39" s="412"/>
      <c r="AEZ39" s="412"/>
      <c r="AFA39" s="412"/>
      <c r="AFB39" s="412"/>
      <c r="AFC39" s="412"/>
      <c r="AFD39" s="412"/>
      <c r="AFE39" s="412"/>
      <c r="AFF39" s="412"/>
      <c r="AFG39" s="412"/>
      <c r="AFH39" s="412"/>
      <c r="AFI39" s="412"/>
      <c r="AFJ39" s="412"/>
      <c r="AFK39" s="412"/>
      <c r="AFL39" s="412"/>
      <c r="AFM39" s="412"/>
      <c r="AFN39" s="412"/>
      <c r="AFO39" s="412"/>
      <c r="AFP39" s="412"/>
      <c r="AFQ39" s="412"/>
      <c r="AFR39" s="412"/>
      <c r="AFS39" s="412"/>
      <c r="AFT39" s="412"/>
      <c r="AFU39" s="412"/>
      <c r="AFV39" s="412"/>
      <c r="AFW39" s="412"/>
      <c r="AFX39" s="412"/>
      <c r="AFY39" s="412"/>
      <c r="AFZ39" s="412"/>
      <c r="AGA39" s="412"/>
      <c r="AGB39" s="412"/>
      <c r="AGC39" s="412"/>
      <c r="AGD39" s="412"/>
      <c r="AGE39" s="412"/>
      <c r="AGF39" s="412"/>
      <c r="AGG39" s="412"/>
      <c r="AGH39" s="412"/>
      <c r="AGI39" s="412"/>
      <c r="AGJ39" s="412"/>
      <c r="AGK39" s="412"/>
      <c r="AGL39" s="412"/>
      <c r="AGM39" s="412"/>
      <c r="AGN39" s="412"/>
      <c r="AGO39" s="412"/>
      <c r="AGP39" s="412"/>
      <c r="AGQ39" s="412"/>
      <c r="AGR39" s="412"/>
      <c r="AGS39" s="412"/>
      <c r="AGT39" s="412"/>
      <c r="AGU39" s="412"/>
      <c r="AGV39" s="412"/>
      <c r="AGW39" s="412"/>
      <c r="AGX39" s="412"/>
      <c r="AGY39" s="412"/>
      <c r="AGZ39" s="412"/>
      <c r="AHA39" s="412"/>
      <c r="AHB39" s="412"/>
      <c r="AHC39" s="412"/>
      <c r="AHD39" s="412"/>
      <c r="AHE39" s="412"/>
      <c r="AHF39" s="412"/>
      <c r="AHG39" s="412"/>
      <c r="AHH39" s="412"/>
      <c r="AHI39" s="412"/>
      <c r="AHJ39" s="412"/>
      <c r="AHK39" s="412"/>
      <c r="AHL39" s="412"/>
      <c r="AHM39" s="412"/>
      <c r="AHN39" s="412"/>
      <c r="AHO39" s="412"/>
      <c r="AHP39" s="412"/>
      <c r="AHQ39" s="412"/>
      <c r="AHR39" s="412"/>
      <c r="AHS39" s="412"/>
      <c r="AHT39" s="412"/>
      <c r="AHU39" s="412"/>
      <c r="AHV39" s="412"/>
      <c r="AHW39" s="412"/>
      <c r="AHX39" s="412"/>
      <c r="AHY39" s="412"/>
      <c r="AHZ39" s="412"/>
      <c r="AIA39" s="412"/>
      <c r="AIB39" s="412"/>
      <c r="AIC39" s="412"/>
      <c r="AID39" s="412"/>
      <c r="AIE39" s="412"/>
      <c r="AIF39" s="412"/>
      <c r="AIG39" s="412"/>
      <c r="AIH39" s="412"/>
      <c r="AII39" s="412"/>
      <c r="AIJ39" s="412"/>
      <c r="AIK39" s="412"/>
      <c r="AIL39" s="412"/>
      <c r="AIM39" s="412"/>
      <c r="AIN39" s="412"/>
      <c r="AIO39" s="412"/>
      <c r="AIP39" s="412"/>
      <c r="AIQ39" s="412"/>
      <c r="AIR39" s="412"/>
      <c r="AIS39" s="412"/>
      <c r="AIT39" s="412"/>
      <c r="AIU39" s="412"/>
      <c r="AIV39" s="412"/>
      <c r="AIW39" s="412"/>
      <c r="AIX39" s="412"/>
      <c r="AIY39" s="412"/>
      <c r="AIZ39" s="412"/>
      <c r="AJA39" s="412"/>
      <c r="AJB39" s="412"/>
      <c r="AJC39" s="412"/>
      <c r="AJD39" s="412"/>
      <c r="AJE39" s="412"/>
      <c r="AJF39" s="412"/>
      <c r="AJG39" s="412"/>
      <c r="AJH39" s="412"/>
      <c r="AJI39" s="412"/>
      <c r="AJJ39" s="412"/>
      <c r="AJK39" s="412"/>
      <c r="AJL39" s="412"/>
      <c r="AJM39" s="412"/>
      <c r="AJN39" s="412"/>
      <c r="AJO39" s="412"/>
      <c r="AJP39" s="412"/>
      <c r="AJQ39" s="412"/>
      <c r="AJR39" s="412"/>
      <c r="AJS39" s="412"/>
      <c r="AJT39" s="412"/>
      <c r="AJU39" s="412"/>
      <c r="AJV39" s="412"/>
      <c r="AJW39" s="412"/>
      <c r="AJX39" s="412"/>
      <c r="AJY39" s="412"/>
      <c r="AJZ39" s="412"/>
      <c r="AKA39" s="412"/>
      <c r="AKB39" s="412"/>
      <c r="AKC39" s="412"/>
      <c r="AKD39" s="412"/>
      <c r="AKE39" s="412"/>
      <c r="AKF39" s="412"/>
      <c r="AKG39" s="412"/>
      <c r="AKH39" s="412"/>
      <c r="AKI39" s="412"/>
      <c r="AKJ39" s="412"/>
      <c r="AKK39" s="412"/>
      <c r="AKL39" s="412"/>
      <c r="AKM39" s="412"/>
      <c r="AKN39" s="412"/>
      <c r="AKO39" s="412"/>
      <c r="AKP39" s="412"/>
      <c r="AKQ39" s="412"/>
      <c r="AKR39" s="412"/>
      <c r="AKS39" s="412"/>
      <c r="AKT39" s="412"/>
      <c r="AKU39" s="412"/>
      <c r="AKV39" s="412"/>
      <c r="AKW39" s="412"/>
      <c r="AKX39" s="412"/>
      <c r="AKY39" s="412"/>
      <c r="AKZ39" s="412"/>
      <c r="ALA39" s="412"/>
      <c r="ALB39" s="412"/>
      <c r="ALC39" s="412"/>
      <c r="ALD39" s="412"/>
      <c r="ALE39" s="412"/>
      <c r="ALF39" s="412"/>
      <c r="ALG39" s="412"/>
      <c r="ALH39" s="412"/>
      <c r="ALI39" s="412"/>
      <c r="ALJ39" s="412"/>
      <c r="ALK39" s="412"/>
      <c r="ALL39" s="412"/>
      <c r="ALM39" s="412"/>
      <c r="ALN39" s="412"/>
      <c r="ALO39" s="412"/>
      <c r="ALP39" s="412"/>
      <c r="ALQ39" s="412"/>
      <c r="ALR39" s="412"/>
      <c r="ALS39" s="412"/>
      <c r="ALT39" s="412"/>
      <c r="ALU39" s="412"/>
      <c r="ALV39" s="412"/>
      <c r="ALW39" s="412"/>
      <c r="ALX39" s="412"/>
      <c r="ALY39" s="412"/>
      <c r="ALZ39" s="412"/>
      <c r="AMA39" s="412"/>
      <c r="AMB39" s="412"/>
      <c r="AMC39" s="412"/>
      <c r="AMD39" s="412"/>
      <c r="AME39" s="412"/>
      <c r="AMF39" s="412"/>
      <c r="AMG39" s="412"/>
      <c r="AMH39" s="412"/>
      <c r="AMI39" s="412"/>
      <c r="AMJ39" s="412"/>
      <c r="AMK39" s="412"/>
      <c r="AML39" s="412"/>
      <c r="AMM39" s="412"/>
      <c r="AMN39" s="412"/>
      <c r="AMO39" s="412"/>
      <c r="AMP39" s="412"/>
      <c r="AMQ39" s="412"/>
      <c r="AMR39" s="412"/>
      <c r="AMS39" s="412"/>
      <c r="AMT39" s="412"/>
      <c r="AMU39" s="412"/>
      <c r="AMV39" s="412"/>
      <c r="AMW39" s="412"/>
      <c r="AMX39" s="412"/>
      <c r="AMY39" s="412"/>
      <c r="AMZ39" s="412"/>
      <c r="ANA39" s="412"/>
      <c r="ANB39" s="412"/>
      <c r="ANC39" s="412"/>
      <c r="AND39" s="412"/>
      <c r="ANE39" s="412"/>
      <c r="ANF39" s="412"/>
      <c r="ANG39" s="412"/>
      <c r="ANH39" s="412"/>
      <c r="ANI39" s="412"/>
      <c r="ANJ39" s="412"/>
      <c r="ANK39" s="412"/>
      <c r="ANL39" s="412"/>
      <c r="ANM39" s="412"/>
      <c r="ANN39" s="412"/>
      <c r="ANO39" s="412"/>
      <c r="ANP39" s="412"/>
      <c r="ANQ39" s="412"/>
      <c r="ANR39" s="412"/>
      <c r="ANS39" s="412"/>
      <c r="ANT39" s="412"/>
      <c r="ANU39" s="412"/>
      <c r="ANV39" s="412"/>
      <c r="ANW39" s="412"/>
      <c r="ANX39" s="412"/>
      <c r="ANY39" s="412"/>
      <c r="ANZ39" s="412"/>
      <c r="AOA39" s="412"/>
      <c r="AOB39" s="412"/>
      <c r="AOC39" s="412"/>
      <c r="AOD39" s="412"/>
      <c r="AOE39" s="412"/>
      <c r="AOF39" s="412"/>
      <c r="AOG39" s="412"/>
      <c r="AOH39" s="412"/>
      <c r="AOI39" s="412"/>
      <c r="AOJ39" s="412"/>
      <c r="AOK39" s="412"/>
      <c r="AOL39" s="412"/>
      <c r="AOM39" s="412"/>
      <c r="AON39" s="412"/>
      <c r="AOO39" s="412"/>
      <c r="AOP39" s="412"/>
      <c r="AOQ39" s="412"/>
      <c r="AOR39" s="412"/>
      <c r="AOS39" s="412"/>
      <c r="AOT39" s="412"/>
      <c r="AOU39" s="412"/>
      <c r="AOV39" s="412"/>
      <c r="AOW39" s="412"/>
      <c r="AOX39" s="412"/>
      <c r="AOY39" s="412"/>
      <c r="AOZ39" s="412"/>
      <c r="APA39" s="412"/>
      <c r="APB39" s="412"/>
      <c r="APC39" s="412"/>
      <c r="APD39" s="412"/>
      <c r="APE39" s="412"/>
      <c r="APF39" s="412"/>
      <c r="APG39" s="412"/>
      <c r="APH39" s="412"/>
      <c r="API39" s="412"/>
      <c r="APJ39" s="412"/>
      <c r="APK39" s="412"/>
      <c r="APL39" s="412"/>
      <c r="APM39" s="412"/>
      <c r="APN39" s="412"/>
      <c r="APO39" s="412"/>
      <c r="APP39" s="412"/>
      <c r="APQ39" s="412"/>
      <c r="APR39" s="412"/>
      <c r="APS39" s="412"/>
      <c r="APT39" s="412"/>
      <c r="APU39" s="412"/>
      <c r="APV39" s="412"/>
      <c r="APW39" s="412"/>
      <c r="APX39" s="412"/>
      <c r="APY39" s="412"/>
      <c r="APZ39" s="412"/>
      <c r="AQA39" s="412"/>
      <c r="AQB39" s="412"/>
      <c r="AQC39" s="412"/>
      <c r="AQD39" s="412"/>
      <c r="AQE39" s="412"/>
      <c r="AQF39" s="412"/>
      <c r="AQG39" s="412"/>
      <c r="AQH39" s="412"/>
      <c r="AQI39" s="412"/>
      <c r="AQJ39" s="412"/>
      <c r="AQK39" s="412"/>
      <c r="AQL39" s="412"/>
      <c r="AQM39" s="412"/>
      <c r="AQN39" s="412"/>
      <c r="AQO39" s="412"/>
      <c r="AQP39" s="412"/>
      <c r="AQQ39" s="412"/>
      <c r="AQR39" s="412"/>
      <c r="AQS39" s="412"/>
      <c r="AQT39" s="412"/>
      <c r="AQU39" s="412"/>
      <c r="AQV39" s="412"/>
      <c r="AQW39" s="412"/>
      <c r="AQX39" s="412"/>
      <c r="AQY39" s="412"/>
      <c r="AQZ39" s="412"/>
      <c r="ARA39" s="412"/>
      <c r="ARB39" s="412"/>
      <c r="ARC39" s="412"/>
      <c r="ARD39" s="412"/>
      <c r="ARE39" s="412"/>
      <c r="ARF39" s="412"/>
      <c r="ARG39" s="412"/>
      <c r="ARH39" s="412"/>
      <c r="ARI39" s="412"/>
      <c r="ARJ39" s="412"/>
      <c r="ARK39" s="412"/>
      <c r="ARL39" s="412"/>
      <c r="ARM39" s="412"/>
      <c r="ARN39" s="412"/>
      <c r="ARO39" s="412"/>
      <c r="ARP39" s="412"/>
      <c r="ARQ39" s="412"/>
      <c r="ARR39" s="412"/>
      <c r="ARS39" s="412"/>
      <c r="ART39" s="412"/>
      <c r="ARU39" s="412"/>
      <c r="ARV39" s="412"/>
      <c r="ARW39" s="412"/>
      <c r="ARX39" s="412"/>
      <c r="ARY39" s="412"/>
      <c r="ARZ39" s="412"/>
      <c r="ASA39" s="412"/>
      <c r="ASB39" s="412"/>
      <c r="ASC39" s="412"/>
      <c r="ASD39" s="412"/>
      <c r="ASE39" s="412"/>
      <c r="ASF39" s="412"/>
      <c r="ASG39" s="412"/>
      <c r="ASH39" s="412"/>
      <c r="ASI39" s="412"/>
      <c r="ASJ39" s="412"/>
      <c r="ASK39" s="412"/>
      <c r="ASL39" s="412"/>
      <c r="ASM39" s="412"/>
      <c r="ASN39" s="412"/>
      <c r="ASO39" s="412"/>
      <c r="ASP39" s="412"/>
      <c r="ASQ39" s="412"/>
      <c r="ASR39" s="412"/>
      <c r="ASS39" s="412"/>
      <c r="AST39" s="412"/>
      <c r="ASU39" s="412"/>
      <c r="ASV39" s="412"/>
      <c r="ASW39" s="412"/>
      <c r="ASX39" s="412"/>
      <c r="ASY39" s="412"/>
      <c r="ASZ39" s="412"/>
      <c r="ATA39" s="412"/>
      <c r="ATB39" s="412"/>
      <c r="ATC39" s="412"/>
      <c r="ATD39" s="412"/>
      <c r="ATE39" s="412"/>
      <c r="ATF39" s="412"/>
      <c r="ATG39" s="412"/>
      <c r="ATH39" s="412"/>
      <c r="ATI39" s="412"/>
      <c r="ATJ39" s="412"/>
      <c r="ATK39" s="412"/>
      <c r="ATL39" s="412"/>
      <c r="ATM39" s="412"/>
      <c r="ATN39" s="412"/>
      <c r="ATO39" s="412"/>
      <c r="ATP39" s="412"/>
      <c r="ATQ39" s="412"/>
      <c r="ATR39" s="412"/>
      <c r="ATS39" s="412"/>
      <c r="ATT39" s="412"/>
      <c r="ATU39" s="412"/>
      <c r="ATV39" s="412"/>
      <c r="ATW39" s="412"/>
      <c r="ATX39" s="412"/>
      <c r="ATY39" s="412"/>
      <c r="ATZ39" s="412"/>
      <c r="AUA39" s="412"/>
      <c r="AUB39" s="412"/>
      <c r="AUC39" s="412"/>
      <c r="AUD39" s="412"/>
      <c r="AUE39" s="412"/>
      <c r="AUF39" s="412"/>
      <c r="AUG39" s="412"/>
      <c r="AUH39" s="412"/>
      <c r="AUI39" s="412"/>
      <c r="AUJ39" s="412"/>
      <c r="AUK39" s="412"/>
      <c r="AUL39" s="412"/>
      <c r="AUM39" s="412"/>
      <c r="AUN39" s="412"/>
      <c r="AUO39" s="412"/>
      <c r="AUP39" s="412"/>
      <c r="AUQ39" s="412"/>
      <c r="AUR39" s="412"/>
      <c r="AUS39" s="412"/>
      <c r="AUT39" s="412"/>
      <c r="AUU39" s="412"/>
      <c r="AUV39" s="412"/>
      <c r="AUW39" s="412"/>
      <c r="AUX39" s="412"/>
      <c r="AUY39" s="412"/>
      <c r="AUZ39" s="412"/>
      <c r="AVA39" s="412"/>
      <c r="AVB39" s="412"/>
      <c r="AVC39" s="412"/>
      <c r="AVD39" s="412"/>
      <c r="AVE39" s="412"/>
      <c r="AVF39" s="412"/>
      <c r="AVG39" s="412"/>
      <c r="AVH39" s="412"/>
      <c r="AVI39" s="412"/>
      <c r="AVJ39" s="412"/>
      <c r="AVK39" s="412"/>
      <c r="AVL39" s="412"/>
      <c r="AVM39" s="412"/>
      <c r="AVN39" s="412"/>
      <c r="AVO39" s="412"/>
      <c r="AVP39" s="412"/>
      <c r="AVQ39" s="412"/>
      <c r="AVR39" s="412"/>
      <c r="AVS39" s="412"/>
      <c r="AVT39" s="412"/>
      <c r="AVU39" s="412"/>
      <c r="AVV39" s="412"/>
      <c r="AVW39" s="412"/>
      <c r="AVX39" s="412"/>
      <c r="AVY39" s="412"/>
      <c r="AVZ39" s="412"/>
      <c r="AWA39" s="412"/>
      <c r="AWB39" s="412"/>
      <c r="AWC39" s="412"/>
      <c r="AWD39" s="412"/>
      <c r="AWE39" s="412"/>
      <c r="AWF39" s="412"/>
      <c r="AWG39" s="412"/>
      <c r="AWH39" s="412"/>
      <c r="AWI39" s="412"/>
      <c r="AWJ39" s="412"/>
      <c r="AWK39" s="412"/>
      <c r="AWL39" s="412"/>
      <c r="AWM39" s="412"/>
      <c r="AWN39" s="412"/>
      <c r="AWO39" s="412"/>
      <c r="AWP39" s="412"/>
      <c r="AWQ39" s="412"/>
      <c r="AWR39" s="412"/>
      <c r="AWS39" s="412"/>
      <c r="AWT39" s="412"/>
      <c r="AWU39" s="412"/>
      <c r="AWV39" s="412"/>
      <c r="AWW39" s="412"/>
      <c r="AWX39" s="412"/>
      <c r="AWY39" s="412"/>
      <c r="AWZ39" s="412"/>
      <c r="AXA39" s="412"/>
      <c r="AXB39" s="412"/>
      <c r="AXC39" s="412"/>
      <c r="AXD39" s="412"/>
      <c r="AXE39" s="412"/>
      <c r="AXF39" s="412"/>
      <c r="AXG39" s="412"/>
      <c r="AXH39" s="412"/>
      <c r="AXI39" s="412"/>
      <c r="AXJ39" s="412"/>
      <c r="AXK39" s="412"/>
      <c r="AXL39" s="412"/>
      <c r="AXM39" s="412"/>
      <c r="AXN39" s="412"/>
      <c r="AXO39" s="412"/>
      <c r="AXP39" s="412"/>
      <c r="AXQ39" s="412"/>
      <c r="AXR39" s="412"/>
      <c r="AXS39" s="412"/>
      <c r="AXT39" s="412"/>
      <c r="AXU39" s="412"/>
      <c r="AXV39" s="412"/>
      <c r="AXW39" s="412"/>
      <c r="AXX39" s="412"/>
      <c r="AXY39" s="412"/>
      <c r="AXZ39" s="412"/>
      <c r="AYA39" s="412"/>
      <c r="AYB39" s="412"/>
      <c r="AYC39" s="412"/>
      <c r="AYD39" s="412"/>
      <c r="AYE39" s="412"/>
      <c r="AYF39" s="412"/>
      <c r="AYG39" s="412"/>
      <c r="AYH39" s="412"/>
      <c r="AYI39" s="412"/>
      <c r="AYJ39" s="412"/>
      <c r="AYK39" s="412"/>
      <c r="AYL39" s="412"/>
      <c r="AYM39" s="412"/>
      <c r="AYN39" s="412"/>
      <c r="AYO39" s="412"/>
      <c r="AYP39" s="412"/>
      <c r="AYQ39" s="412"/>
      <c r="AYR39" s="412"/>
      <c r="AYS39" s="412"/>
      <c r="AYT39" s="412"/>
      <c r="AYU39" s="412"/>
      <c r="AYV39" s="412"/>
      <c r="AYW39" s="412"/>
      <c r="AYX39" s="412"/>
      <c r="AYY39" s="412"/>
      <c r="AYZ39" s="412"/>
      <c r="AZA39" s="412"/>
      <c r="AZB39" s="412"/>
      <c r="AZC39" s="412"/>
      <c r="AZD39" s="412"/>
      <c r="AZE39" s="412"/>
      <c r="AZF39" s="412"/>
      <c r="AZG39" s="412"/>
      <c r="AZH39" s="412"/>
      <c r="AZI39" s="412"/>
      <c r="AZJ39" s="412"/>
      <c r="AZK39" s="412"/>
      <c r="AZL39" s="412"/>
      <c r="AZM39" s="412"/>
      <c r="AZN39" s="412"/>
      <c r="AZO39" s="412"/>
      <c r="AZP39" s="412"/>
      <c r="AZQ39" s="412"/>
      <c r="AZR39" s="412"/>
      <c r="AZS39" s="412"/>
      <c r="AZT39" s="412"/>
      <c r="AZU39" s="412"/>
      <c r="AZV39" s="412"/>
      <c r="AZW39" s="412"/>
      <c r="AZX39" s="412"/>
      <c r="AZY39" s="412"/>
      <c r="AZZ39" s="412"/>
      <c r="BAA39" s="412"/>
      <c r="BAB39" s="412"/>
      <c r="BAC39" s="412"/>
      <c r="BAD39" s="412"/>
      <c r="BAE39" s="412"/>
      <c r="BAF39" s="412"/>
      <c r="BAG39" s="412"/>
      <c r="BAH39" s="412"/>
      <c r="BAI39" s="412"/>
      <c r="BAJ39" s="412"/>
      <c r="BAK39" s="412"/>
      <c r="BAL39" s="412"/>
      <c r="BAM39" s="412"/>
      <c r="BAN39" s="412"/>
      <c r="BAO39" s="412"/>
      <c r="BAP39" s="412"/>
      <c r="BAQ39" s="412"/>
      <c r="BAR39" s="412"/>
      <c r="BAS39" s="412"/>
      <c r="BAT39" s="412"/>
      <c r="BAU39" s="412"/>
      <c r="BAV39" s="412"/>
      <c r="BAW39" s="412"/>
      <c r="BAX39" s="412"/>
      <c r="BAY39" s="412"/>
      <c r="BAZ39" s="412"/>
      <c r="BBA39" s="412"/>
      <c r="BBB39" s="412"/>
      <c r="BBC39" s="412"/>
      <c r="BBD39" s="412"/>
      <c r="BBE39" s="412"/>
      <c r="BBF39" s="412"/>
      <c r="BBG39" s="412"/>
      <c r="BBH39" s="412"/>
      <c r="BBI39" s="412"/>
      <c r="BBJ39" s="412"/>
      <c r="BBK39" s="412"/>
      <c r="BBL39" s="412"/>
      <c r="BBM39" s="412"/>
      <c r="BBN39" s="412"/>
      <c r="BBO39" s="412"/>
      <c r="BBP39" s="412"/>
      <c r="BBQ39" s="412"/>
      <c r="BBR39" s="412"/>
      <c r="BBS39" s="412"/>
      <c r="BBT39" s="412"/>
      <c r="BBU39" s="412"/>
      <c r="BBV39" s="412"/>
      <c r="BBW39" s="412"/>
      <c r="BBX39" s="412"/>
      <c r="BBY39" s="412"/>
      <c r="BBZ39" s="412"/>
      <c r="BCA39" s="412"/>
      <c r="BCB39" s="412"/>
      <c r="BCC39" s="412"/>
      <c r="BCD39" s="412"/>
      <c r="BCE39" s="412"/>
      <c r="BCF39" s="412"/>
      <c r="BCG39" s="412"/>
      <c r="BCH39" s="412"/>
      <c r="BCI39" s="412"/>
      <c r="BCJ39" s="412"/>
      <c r="BCK39" s="412"/>
      <c r="BCL39" s="412"/>
      <c r="BCM39" s="412"/>
      <c r="BCN39" s="412"/>
      <c r="BCO39" s="412"/>
      <c r="BCP39" s="412"/>
      <c r="BCQ39" s="412"/>
      <c r="BCR39" s="412"/>
      <c r="BCS39" s="412"/>
      <c r="BCT39" s="412"/>
      <c r="BCU39" s="412"/>
      <c r="BCV39" s="412"/>
      <c r="BCW39" s="412"/>
      <c r="BCX39" s="412"/>
      <c r="BCY39" s="412"/>
      <c r="BCZ39" s="412"/>
      <c r="BDA39" s="412"/>
      <c r="BDB39" s="412"/>
      <c r="BDC39" s="412"/>
      <c r="BDD39" s="412"/>
      <c r="BDE39" s="412"/>
      <c r="BDF39" s="412"/>
      <c r="BDG39" s="412"/>
      <c r="BDH39" s="412"/>
      <c r="BDI39" s="412"/>
      <c r="BDJ39" s="412"/>
      <c r="BDK39" s="412"/>
      <c r="BDL39" s="412"/>
      <c r="BDM39" s="412"/>
      <c r="BDN39" s="412"/>
      <c r="BDO39" s="412"/>
      <c r="BDP39" s="412"/>
      <c r="BDQ39" s="412"/>
      <c r="BDR39" s="412"/>
      <c r="BDS39" s="412"/>
      <c r="BDT39" s="412"/>
      <c r="BDU39" s="412"/>
      <c r="BDV39" s="412"/>
      <c r="BDW39" s="412"/>
      <c r="BDX39" s="412"/>
      <c r="BDY39" s="412"/>
      <c r="BDZ39" s="412"/>
      <c r="BEA39" s="412"/>
      <c r="BEB39" s="412"/>
      <c r="BEC39" s="412"/>
      <c r="BED39" s="412"/>
      <c r="BEE39" s="412"/>
      <c r="BEF39" s="412"/>
      <c r="BEG39" s="412"/>
      <c r="BEH39" s="412"/>
      <c r="BEI39" s="412"/>
      <c r="BEJ39" s="412"/>
      <c r="BEK39" s="412"/>
      <c r="BEL39" s="412"/>
      <c r="BEM39" s="412"/>
      <c r="BEN39" s="412"/>
      <c r="BEO39" s="412"/>
      <c r="BEP39" s="412"/>
      <c r="BEQ39" s="412"/>
      <c r="BER39" s="412"/>
      <c r="BES39" s="412"/>
      <c r="BET39" s="412"/>
      <c r="BEU39" s="412"/>
      <c r="BEV39" s="412"/>
      <c r="BEW39" s="412"/>
      <c r="BEX39" s="412"/>
      <c r="BEY39" s="412"/>
      <c r="BEZ39" s="412"/>
      <c r="BFA39" s="412"/>
      <c r="BFB39" s="412"/>
      <c r="BFC39" s="412"/>
      <c r="BFD39" s="412"/>
      <c r="BFE39" s="412"/>
      <c r="BFF39" s="412"/>
      <c r="BFG39" s="412"/>
      <c r="BFH39" s="412"/>
      <c r="BFI39" s="412"/>
      <c r="BFJ39" s="412"/>
      <c r="BFK39" s="412"/>
      <c r="BFL39" s="412"/>
      <c r="BFM39" s="412"/>
      <c r="BFN39" s="412"/>
      <c r="BFO39" s="412"/>
      <c r="BFP39" s="412"/>
      <c r="BFQ39" s="412"/>
      <c r="BFR39" s="412"/>
      <c r="BFS39" s="412"/>
      <c r="BFT39" s="412"/>
      <c r="BFU39" s="412"/>
      <c r="BFV39" s="412"/>
      <c r="BFW39" s="412"/>
      <c r="BFX39" s="412"/>
      <c r="BFY39" s="412"/>
      <c r="BFZ39" s="412"/>
      <c r="BGA39" s="412"/>
      <c r="BGB39" s="412"/>
      <c r="BGC39" s="412"/>
      <c r="BGD39" s="412"/>
      <c r="BGE39" s="412"/>
      <c r="BGF39" s="412"/>
      <c r="BGG39" s="412"/>
      <c r="BGH39" s="412"/>
      <c r="BGI39" s="412"/>
      <c r="BGJ39" s="412"/>
      <c r="BGK39" s="412"/>
      <c r="BGL39" s="412"/>
      <c r="BGM39" s="412"/>
      <c r="BGN39" s="412"/>
      <c r="BGO39" s="412"/>
      <c r="BGP39" s="412"/>
      <c r="BGQ39" s="412"/>
      <c r="BGR39" s="412"/>
      <c r="BGS39" s="412"/>
      <c r="BGT39" s="412"/>
      <c r="BGU39" s="412"/>
      <c r="BGV39" s="412"/>
      <c r="BGW39" s="412"/>
      <c r="BGX39" s="412"/>
      <c r="BGY39" s="412"/>
      <c r="BGZ39" s="412"/>
      <c r="BHA39" s="412"/>
      <c r="BHB39" s="412"/>
      <c r="BHC39" s="412"/>
      <c r="BHD39" s="412"/>
      <c r="BHE39" s="412"/>
      <c r="BHF39" s="412"/>
      <c r="BHG39" s="412"/>
      <c r="BHH39" s="412"/>
      <c r="BHI39" s="412"/>
      <c r="BHJ39" s="412"/>
      <c r="BHK39" s="412"/>
      <c r="BHL39" s="412"/>
      <c r="BHM39" s="412"/>
      <c r="BHN39" s="412"/>
      <c r="BHO39" s="412"/>
      <c r="BHP39" s="412"/>
      <c r="BHQ39" s="412"/>
      <c r="BHR39" s="412"/>
      <c r="BHS39" s="412"/>
      <c r="BHT39" s="412"/>
      <c r="BHU39" s="412"/>
      <c r="BHV39" s="412"/>
      <c r="BHW39" s="412"/>
      <c r="BHX39" s="412"/>
      <c r="BHY39" s="412"/>
      <c r="BHZ39" s="412"/>
      <c r="BIA39" s="412"/>
      <c r="BIB39" s="412"/>
      <c r="BIC39" s="412"/>
      <c r="BID39" s="412"/>
      <c r="BIE39" s="412"/>
      <c r="BIF39" s="412"/>
      <c r="BIG39" s="412"/>
      <c r="BIH39" s="412"/>
      <c r="BII39" s="412"/>
      <c r="BIJ39" s="412"/>
      <c r="BIK39" s="412"/>
      <c r="BIL39" s="412"/>
      <c r="BIM39" s="412"/>
      <c r="BIN39" s="412"/>
      <c r="BIO39" s="412"/>
      <c r="BIP39" s="412"/>
      <c r="BIQ39" s="412"/>
      <c r="BIR39" s="412"/>
      <c r="BIS39" s="412"/>
      <c r="BIT39" s="412"/>
      <c r="BIU39" s="412"/>
      <c r="BIV39" s="412"/>
      <c r="BIW39" s="412"/>
      <c r="BIX39" s="412"/>
      <c r="BIY39" s="412"/>
      <c r="BIZ39" s="412"/>
      <c r="BJA39" s="412"/>
      <c r="BJB39" s="412"/>
      <c r="BJC39" s="412"/>
      <c r="BJD39" s="412"/>
      <c r="BJE39" s="412"/>
      <c r="BJF39" s="412"/>
      <c r="BJG39" s="412"/>
      <c r="BJH39" s="412"/>
      <c r="BJI39" s="412"/>
      <c r="BJJ39" s="412"/>
      <c r="BJK39" s="412"/>
      <c r="BJL39" s="412"/>
      <c r="BJM39" s="412"/>
      <c r="BJN39" s="412"/>
      <c r="BJO39" s="412"/>
      <c r="BJP39" s="412"/>
      <c r="BJQ39" s="412"/>
      <c r="BJR39" s="412"/>
      <c r="BJS39" s="412"/>
      <c r="BJT39" s="412"/>
      <c r="BJU39" s="412"/>
      <c r="BJV39" s="412"/>
      <c r="BJW39" s="412"/>
      <c r="BJX39" s="412"/>
      <c r="BJY39" s="412"/>
      <c r="BJZ39" s="412"/>
      <c r="BKA39" s="412"/>
      <c r="BKB39" s="412"/>
      <c r="BKC39" s="412"/>
      <c r="BKD39" s="412"/>
      <c r="BKE39" s="412"/>
      <c r="BKF39" s="412"/>
      <c r="BKG39" s="412"/>
      <c r="BKH39" s="412"/>
      <c r="BKI39" s="412"/>
      <c r="BKJ39" s="412"/>
      <c r="BKK39" s="412"/>
      <c r="BKL39" s="412"/>
      <c r="BKM39" s="412"/>
      <c r="BKN39" s="412"/>
      <c r="BKO39" s="412"/>
      <c r="BKP39" s="412"/>
      <c r="BKQ39" s="412"/>
      <c r="BKR39" s="412"/>
      <c r="BKS39" s="412"/>
      <c r="BKT39" s="412"/>
      <c r="BKU39" s="412"/>
      <c r="BKV39" s="412"/>
      <c r="BKW39" s="412"/>
      <c r="BKX39" s="412"/>
      <c r="BKY39" s="412"/>
      <c r="BKZ39" s="412"/>
      <c r="BLA39" s="412"/>
      <c r="BLB39" s="412"/>
      <c r="BLC39" s="412"/>
      <c r="BLD39" s="412"/>
      <c r="BLE39" s="412"/>
      <c r="BLF39" s="412"/>
      <c r="BLG39" s="412"/>
      <c r="BLH39" s="412"/>
      <c r="BLI39" s="412"/>
      <c r="BLJ39" s="412"/>
      <c r="BLK39" s="412"/>
      <c r="BLL39" s="412"/>
      <c r="BLM39" s="412"/>
      <c r="BLN39" s="412"/>
      <c r="BLO39" s="412"/>
      <c r="BLP39" s="412"/>
      <c r="BLQ39" s="412"/>
      <c r="BLR39" s="412"/>
      <c r="BLS39" s="412"/>
      <c r="BLT39" s="412"/>
      <c r="BLU39" s="412"/>
      <c r="BLV39" s="412"/>
      <c r="BLW39" s="412"/>
      <c r="BLX39" s="412"/>
      <c r="BLY39" s="412"/>
      <c r="BLZ39" s="412"/>
      <c r="BMA39" s="412"/>
      <c r="BMB39" s="412"/>
      <c r="BMC39" s="412"/>
      <c r="BMD39" s="412"/>
      <c r="BME39" s="412"/>
      <c r="BMF39" s="412"/>
      <c r="BMG39" s="412"/>
      <c r="BMH39" s="412"/>
      <c r="BMI39" s="412"/>
      <c r="BMJ39" s="412"/>
      <c r="BMK39" s="412"/>
      <c r="BML39" s="412"/>
      <c r="BMM39" s="412"/>
      <c r="BMN39" s="412"/>
      <c r="BMO39" s="412"/>
      <c r="BMP39" s="412"/>
      <c r="BMQ39" s="412"/>
      <c r="BMR39" s="412"/>
      <c r="BMS39" s="412"/>
      <c r="BMT39" s="412"/>
      <c r="BMU39" s="412"/>
      <c r="BMV39" s="412"/>
      <c r="BMW39" s="412"/>
      <c r="BMX39" s="412"/>
      <c r="BMY39" s="412"/>
      <c r="BMZ39" s="412"/>
      <c r="BNA39" s="412"/>
      <c r="BNB39" s="412"/>
      <c r="BNC39" s="412"/>
      <c r="BND39" s="412"/>
      <c r="BNE39" s="412"/>
      <c r="BNF39" s="412"/>
      <c r="BNG39" s="412"/>
      <c r="BNH39" s="412"/>
      <c r="BNI39" s="412"/>
      <c r="BNJ39" s="412"/>
      <c r="BNK39" s="412"/>
      <c r="BNL39" s="412"/>
      <c r="BNM39" s="412"/>
      <c r="BNN39" s="412"/>
      <c r="BNO39" s="412"/>
      <c r="BNP39" s="412"/>
      <c r="BNQ39" s="412"/>
      <c r="BNR39" s="412"/>
      <c r="BNS39" s="412"/>
      <c r="BNT39" s="412"/>
      <c r="BNU39" s="412"/>
      <c r="BNV39" s="412"/>
      <c r="BNW39" s="412"/>
      <c r="BNX39" s="412"/>
      <c r="BNY39" s="412"/>
      <c r="BNZ39" s="412"/>
      <c r="BOA39" s="412"/>
      <c r="BOB39" s="412"/>
      <c r="BOC39" s="412"/>
      <c r="BOD39" s="412"/>
      <c r="BOE39" s="412"/>
      <c r="BOF39" s="412"/>
      <c r="BOG39" s="412"/>
      <c r="BOH39" s="412"/>
      <c r="BOI39" s="412"/>
      <c r="BOJ39" s="412"/>
      <c r="BOK39" s="412"/>
      <c r="BOL39" s="412"/>
      <c r="BOM39" s="412"/>
      <c r="BON39" s="412"/>
      <c r="BOO39" s="412"/>
      <c r="BOP39" s="412"/>
      <c r="BOQ39" s="412"/>
      <c r="BOR39" s="412"/>
      <c r="BOS39" s="412"/>
      <c r="BOT39" s="412"/>
      <c r="BOU39" s="412"/>
      <c r="BOV39" s="412"/>
      <c r="BOW39" s="412"/>
      <c r="BOX39" s="412"/>
      <c r="BOY39" s="412"/>
      <c r="BOZ39" s="412"/>
      <c r="BPA39" s="412"/>
      <c r="BPB39" s="412"/>
      <c r="BPC39" s="412"/>
      <c r="BPD39" s="412"/>
      <c r="BPE39" s="412"/>
      <c r="BPF39" s="412"/>
      <c r="BPG39" s="412"/>
      <c r="BPH39" s="412"/>
      <c r="BPI39" s="412"/>
      <c r="BPJ39" s="412"/>
      <c r="BPK39" s="412"/>
      <c r="BPL39" s="412"/>
      <c r="BPM39" s="412"/>
      <c r="BPN39" s="412"/>
      <c r="BPO39" s="412"/>
      <c r="BPP39" s="412"/>
      <c r="BPQ39" s="412"/>
      <c r="BPR39" s="412"/>
      <c r="BPS39" s="412"/>
      <c r="BPT39" s="412"/>
      <c r="BPU39" s="412"/>
      <c r="BPV39" s="412"/>
      <c r="BPW39" s="412"/>
      <c r="BPX39" s="412"/>
      <c r="BPY39" s="412"/>
      <c r="BPZ39" s="412"/>
      <c r="BQA39" s="412"/>
      <c r="BQB39" s="412"/>
      <c r="BQC39" s="412"/>
      <c r="BQD39" s="412"/>
      <c r="BQE39" s="412"/>
      <c r="BQF39" s="412"/>
      <c r="BQG39" s="412"/>
      <c r="BQH39" s="412"/>
      <c r="BQI39" s="412"/>
      <c r="BQJ39" s="412"/>
      <c r="BQK39" s="412"/>
      <c r="BQL39" s="412"/>
      <c r="BQM39" s="412"/>
      <c r="BQN39" s="412"/>
      <c r="BQO39" s="412"/>
      <c r="BQP39" s="412"/>
      <c r="BQQ39" s="412"/>
      <c r="BQR39" s="412"/>
      <c r="BQS39" s="412"/>
      <c r="BQT39" s="412"/>
      <c r="BQU39" s="412"/>
      <c r="BQV39" s="412"/>
      <c r="BQW39" s="412"/>
      <c r="BQX39" s="412"/>
      <c r="BQY39" s="412"/>
      <c r="BQZ39" s="412"/>
      <c r="BRA39" s="412"/>
      <c r="BRB39" s="412"/>
      <c r="BRC39" s="412"/>
      <c r="BRD39" s="412"/>
      <c r="BRE39" s="412"/>
      <c r="BRF39" s="412"/>
      <c r="BRG39" s="412"/>
      <c r="BRH39" s="412"/>
      <c r="BRI39" s="412"/>
      <c r="BRJ39" s="412"/>
      <c r="BRK39" s="412"/>
      <c r="BRL39" s="412"/>
      <c r="BRM39" s="412"/>
      <c r="BRN39" s="412"/>
      <c r="BRO39" s="412"/>
      <c r="BRP39" s="412"/>
      <c r="BRQ39" s="412"/>
      <c r="BRR39" s="412"/>
      <c r="BRS39" s="412"/>
      <c r="BRT39" s="412"/>
      <c r="BRU39" s="412"/>
      <c r="BRV39" s="412"/>
      <c r="BRW39" s="412"/>
      <c r="BRX39" s="412"/>
      <c r="BRY39" s="412"/>
      <c r="BRZ39" s="412"/>
      <c r="BSA39" s="412"/>
      <c r="BSB39" s="412"/>
      <c r="BSC39" s="412"/>
      <c r="BSD39" s="412"/>
      <c r="BSE39" s="412"/>
      <c r="BSF39" s="412"/>
      <c r="BSG39" s="412"/>
      <c r="BSH39" s="412"/>
      <c r="BSI39" s="412"/>
      <c r="BSJ39" s="412"/>
      <c r="BSK39" s="412"/>
      <c r="BSL39" s="412"/>
      <c r="BSM39" s="412"/>
      <c r="BSN39" s="412"/>
      <c r="BSO39" s="412"/>
      <c r="BSP39" s="412"/>
      <c r="BSQ39" s="412"/>
      <c r="BSR39" s="412"/>
      <c r="BSS39" s="412"/>
      <c r="BST39" s="412"/>
      <c r="BSU39" s="412"/>
      <c r="BSV39" s="412"/>
      <c r="BSW39" s="412"/>
      <c r="BSX39" s="412"/>
      <c r="BSY39" s="412"/>
      <c r="BSZ39" s="412"/>
      <c r="BTA39" s="412"/>
      <c r="BTB39" s="412"/>
      <c r="BTC39" s="412"/>
      <c r="BTD39" s="412"/>
      <c r="BTE39" s="412"/>
      <c r="BTF39" s="412"/>
      <c r="BTG39" s="412"/>
      <c r="BTH39" s="412"/>
      <c r="BTI39" s="412"/>
    </row>
    <row r="40" spans="1:1881" s="226" customFormat="1" ht="25.5" customHeight="1" thickBot="1" x14ac:dyDescent="0.3">
      <c r="A40" s="189"/>
      <c r="B40" s="162" t="s">
        <v>704</v>
      </c>
      <c r="C40" s="161"/>
      <c r="D40" s="129"/>
      <c r="E40" s="144"/>
      <c r="F40" s="748"/>
      <c r="G40" s="571"/>
      <c r="H40" s="67"/>
      <c r="I40" s="31"/>
      <c r="J40" s="412"/>
      <c r="K40" s="412"/>
      <c r="L40" s="865" t="s">
        <v>1138</v>
      </c>
      <c r="M40" s="633"/>
      <c r="N40" s="656"/>
      <c r="O40" s="412"/>
      <c r="P40" s="412"/>
      <c r="Q40" s="412"/>
      <c r="R40" s="412"/>
      <c r="S40" s="412"/>
      <c r="T40" s="412"/>
      <c r="U40" s="412"/>
      <c r="V40" s="412"/>
      <c r="W40" s="412"/>
      <c r="X40" s="412"/>
      <c r="Y40" s="412"/>
      <c r="Z40" s="412"/>
      <c r="AA40" s="412"/>
      <c r="AB40" s="412"/>
      <c r="AC40" s="412"/>
      <c r="AD40" s="412"/>
      <c r="AE40" s="412"/>
      <c r="AF40" s="412"/>
      <c r="AG40" s="412"/>
      <c r="AH40" s="412"/>
      <c r="AI40" s="412"/>
      <c r="AJ40" s="412"/>
      <c r="AK40" s="412"/>
      <c r="AL40" s="412"/>
      <c r="AM40" s="412"/>
      <c r="AN40" s="412"/>
      <c r="AO40" s="412"/>
      <c r="AP40" s="412"/>
      <c r="AQ40" s="412"/>
      <c r="AR40" s="412"/>
      <c r="AS40" s="412"/>
      <c r="AT40" s="412"/>
      <c r="AU40" s="412"/>
      <c r="AV40" s="412"/>
      <c r="AW40" s="412"/>
      <c r="AX40" s="412"/>
      <c r="AY40" s="412"/>
      <c r="AZ40" s="412"/>
      <c r="BA40" s="412"/>
      <c r="BB40" s="412"/>
      <c r="BC40" s="412"/>
      <c r="BD40" s="412"/>
      <c r="BE40" s="412"/>
      <c r="BF40" s="412"/>
      <c r="BG40" s="412"/>
      <c r="BH40" s="412"/>
      <c r="BI40" s="412"/>
      <c r="BJ40" s="412"/>
      <c r="BK40" s="412"/>
      <c r="BL40" s="412"/>
      <c r="BM40" s="412"/>
      <c r="BN40" s="412"/>
      <c r="BO40" s="412"/>
      <c r="BP40" s="412"/>
      <c r="BQ40" s="412"/>
      <c r="BR40" s="412"/>
      <c r="BS40" s="412"/>
      <c r="BT40" s="412"/>
      <c r="BU40" s="412"/>
      <c r="BV40" s="412"/>
      <c r="BW40" s="412"/>
      <c r="BX40" s="412"/>
      <c r="BY40" s="412"/>
      <c r="BZ40" s="412"/>
      <c r="CA40" s="412"/>
      <c r="CB40" s="412"/>
      <c r="CC40" s="412"/>
      <c r="CD40" s="412"/>
      <c r="CE40" s="412"/>
      <c r="CF40" s="412"/>
      <c r="CG40" s="412"/>
      <c r="CH40" s="412"/>
      <c r="CI40" s="412"/>
      <c r="CJ40" s="412"/>
      <c r="CK40" s="412"/>
      <c r="CL40" s="412"/>
      <c r="CM40" s="412"/>
      <c r="CN40" s="412"/>
      <c r="CO40" s="412"/>
      <c r="CP40" s="412"/>
      <c r="CQ40" s="412"/>
      <c r="CR40" s="412"/>
      <c r="CS40" s="412"/>
      <c r="CT40" s="412"/>
      <c r="CU40" s="412"/>
      <c r="CV40" s="412"/>
      <c r="CW40" s="412"/>
      <c r="CX40" s="412"/>
      <c r="CY40" s="412"/>
      <c r="CZ40" s="412"/>
      <c r="DA40" s="412"/>
      <c r="DB40" s="412"/>
      <c r="DC40" s="412"/>
      <c r="DD40" s="412"/>
      <c r="DE40" s="412"/>
      <c r="DF40" s="412"/>
      <c r="DG40" s="412"/>
      <c r="DH40" s="412"/>
      <c r="DI40" s="412"/>
      <c r="DJ40" s="412"/>
      <c r="DK40" s="412"/>
      <c r="DL40" s="412"/>
      <c r="DM40" s="412"/>
      <c r="DN40" s="412"/>
      <c r="DO40" s="412"/>
      <c r="DP40" s="412"/>
      <c r="DQ40" s="412"/>
      <c r="DR40" s="412"/>
      <c r="DS40" s="412"/>
      <c r="DT40" s="412"/>
      <c r="DU40" s="412"/>
      <c r="DV40" s="412"/>
      <c r="DW40" s="412"/>
      <c r="DX40" s="412"/>
      <c r="DY40" s="412"/>
      <c r="DZ40" s="412"/>
      <c r="EA40" s="412"/>
      <c r="EB40" s="412"/>
      <c r="EC40" s="412"/>
      <c r="ED40" s="412"/>
      <c r="EE40" s="412"/>
      <c r="EF40" s="412"/>
      <c r="EG40" s="412"/>
      <c r="EH40" s="412"/>
      <c r="EI40" s="412"/>
      <c r="EJ40" s="412"/>
      <c r="EK40" s="412"/>
      <c r="EL40" s="412"/>
      <c r="EM40" s="412"/>
      <c r="EN40" s="412"/>
      <c r="EO40" s="412"/>
      <c r="EP40" s="412"/>
      <c r="EQ40" s="412"/>
      <c r="ER40" s="412"/>
      <c r="ES40" s="412"/>
      <c r="ET40" s="412"/>
      <c r="EU40" s="412"/>
      <c r="EV40" s="412"/>
      <c r="EW40" s="412"/>
      <c r="EX40" s="412"/>
      <c r="EY40" s="412"/>
      <c r="EZ40" s="412"/>
      <c r="FA40" s="412"/>
      <c r="FB40" s="412"/>
      <c r="FC40" s="412"/>
      <c r="FD40" s="412"/>
      <c r="FE40" s="412"/>
      <c r="FF40" s="412"/>
      <c r="FG40" s="412"/>
      <c r="FH40" s="412"/>
      <c r="FI40" s="412"/>
      <c r="FJ40" s="412"/>
      <c r="FK40" s="412"/>
      <c r="FL40" s="412"/>
      <c r="FM40" s="412"/>
      <c r="FN40" s="412"/>
      <c r="FO40" s="412"/>
      <c r="FP40" s="412"/>
      <c r="FQ40" s="412"/>
      <c r="FR40" s="412"/>
      <c r="FS40" s="412"/>
      <c r="FT40" s="412"/>
      <c r="FU40" s="412"/>
      <c r="FV40" s="412"/>
      <c r="FW40" s="412"/>
      <c r="FX40" s="412"/>
      <c r="FY40" s="412"/>
      <c r="FZ40" s="412"/>
      <c r="GA40" s="412"/>
      <c r="GB40" s="412"/>
      <c r="GC40" s="412"/>
      <c r="GD40" s="412"/>
      <c r="GE40" s="412"/>
      <c r="GF40" s="412"/>
      <c r="GG40" s="412"/>
      <c r="GH40" s="412"/>
      <c r="GI40" s="412"/>
      <c r="GJ40" s="412"/>
      <c r="GK40" s="412"/>
      <c r="GL40" s="412"/>
      <c r="GM40" s="412"/>
      <c r="GN40" s="412"/>
      <c r="GO40" s="412"/>
      <c r="GP40" s="412"/>
      <c r="GQ40" s="412"/>
      <c r="GR40" s="412"/>
      <c r="GS40" s="412"/>
      <c r="GT40" s="412"/>
      <c r="GU40" s="412"/>
      <c r="GV40" s="412"/>
      <c r="GW40" s="412"/>
      <c r="GX40" s="412"/>
      <c r="GY40" s="412"/>
      <c r="GZ40" s="412"/>
      <c r="HA40" s="412"/>
      <c r="HB40" s="412"/>
      <c r="HC40" s="412"/>
      <c r="HD40" s="412"/>
      <c r="HE40" s="412"/>
      <c r="HF40" s="412"/>
      <c r="HG40" s="412"/>
      <c r="HH40" s="412"/>
      <c r="HI40" s="412"/>
      <c r="HJ40" s="412"/>
      <c r="HK40" s="412"/>
      <c r="HL40" s="412"/>
      <c r="HM40" s="412"/>
      <c r="HN40" s="412"/>
      <c r="HO40" s="412"/>
      <c r="HP40" s="412"/>
      <c r="HQ40" s="412"/>
      <c r="HR40" s="412"/>
      <c r="HS40" s="412"/>
      <c r="HT40" s="412"/>
      <c r="HU40" s="412"/>
      <c r="HV40" s="412"/>
      <c r="HW40" s="412"/>
      <c r="HX40" s="412"/>
      <c r="HY40" s="412"/>
      <c r="HZ40" s="412"/>
      <c r="IA40" s="412"/>
      <c r="IB40" s="412"/>
      <c r="IC40" s="412"/>
      <c r="ID40" s="412"/>
      <c r="IE40" s="412"/>
      <c r="IF40" s="412"/>
      <c r="IG40" s="412"/>
      <c r="IH40" s="412"/>
      <c r="II40" s="412"/>
      <c r="IJ40" s="412"/>
      <c r="IK40" s="412"/>
      <c r="IL40" s="412"/>
      <c r="IM40" s="412"/>
      <c r="IN40" s="412"/>
      <c r="IO40" s="412"/>
      <c r="IP40" s="412"/>
      <c r="IQ40" s="412"/>
      <c r="IR40" s="412"/>
      <c r="IS40" s="412"/>
      <c r="IT40" s="412"/>
      <c r="IU40" s="412"/>
      <c r="IV40" s="412"/>
      <c r="IW40" s="412"/>
      <c r="IX40" s="412"/>
      <c r="IY40" s="412"/>
      <c r="IZ40" s="412"/>
      <c r="JA40" s="412"/>
      <c r="JB40" s="412"/>
      <c r="JC40" s="412"/>
      <c r="JD40" s="412"/>
      <c r="JE40" s="412"/>
      <c r="JF40" s="412"/>
      <c r="JG40" s="412"/>
      <c r="JH40" s="412"/>
      <c r="JI40" s="412"/>
      <c r="JJ40" s="412"/>
      <c r="JK40" s="412"/>
      <c r="JL40" s="412"/>
      <c r="JM40" s="412"/>
      <c r="JN40" s="412"/>
      <c r="JO40" s="412"/>
      <c r="JP40" s="412"/>
      <c r="JQ40" s="412"/>
      <c r="JR40" s="412"/>
      <c r="JS40" s="412"/>
      <c r="JT40" s="412"/>
      <c r="JU40" s="412"/>
      <c r="JV40" s="412"/>
      <c r="JW40" s="412"/>
      <c r="JX40" s="412"/>
      <c r="JY40" s="412"/>
      <c r="JZ40" s="412"/>
      <c r="KA40" s="412"/>
      <c r="KB40" s="412"/>
      <c r="KC40" s="412"/>
      <c r="KD40" s="412"/>
      <c r="KE40" s="412"/>
      <c r="KF40" s="412"/>
      <c r="KG40" s="412"/>
      <c r="KH40" s="412"/>
      <c r="KI40" s="412"/>
      <c r="KJ40" s="412"/>
      <c r="KK40" s="412"/>
      <c r="KL40" s="412"/>
      <c r="KM40" s="412"/>
      <c r="KN40" s="412"/>
      <c r="KO40" s="412"/>
      <c r="KP40" s="412"/>
      <c r="KQ40" s="412"/>
      <c r="KR40" s="412"/>
      <c r="KS40" s="412"/>
      <c r="KT40" s="412"/>
      <c r="KU40" s="412"/>
      <c r="KV40" s="412"/>
      <c r="KW40" s="412"/>
      <c r="KX40" s="412"/>
      <c r="KY40" s="412"/>
      <c r="KZ40" s="412"/>
      <c r="LA40" s="412"/>
      <c r="LB40" s="412"/>
      <c r="LC40" s="412"/>
      <c r="LD40" s="412"/>
      <c r="LE40" s="412"/>
      <c r="LF40" s="412"/>
      <c r="LG40" s="412"/>
      <c r="LH40" s="412"/>
      <c r="LI40" s="412"/>
      <c r="LJ40" s="412"/>
      <c r="LK40" s="412"/>
      <c r="LL40" s="412"/>
      <c r="LM40" s="412"/>
      <c r="LN40" s="412"/>
      <c r="LO40" s="412"/>
      <c r="LP40" s="412"/>
      <c r="LQ40" s="412"/>
      <c r="LR40" s="412"/>
      <c r="LS40" s="412"/>
      <c r="LT40" s="412"/>
      <c r="LU40" s="412"/>
      <c r="LV40" s="412"/>
      <c r="LW40" s="412"/>
      <c r="LX40" s="412"/>
      <c r="LY40" s="412"/>
      <c r="LZ40" s="412"/>
      <c r="MA40" s="412"/>
      <c r="MB40" s="412"/>
      <c r="MC40" s="412"/>
      <c r="MD40" s="412"/>
      <c r="ME40" s="412"/>
      <c r="MF40" s="412"/>
      <c r="MG40" s="412"/>
      <c r="MH40" s="412"/>
      <c r="MI40" s="412"/>
      <c r="MJ40" s="412"/>
      <c r="MK40" s="412"/>
      <c r="ML40" s="412"/>
      <c r="MM40" s="412"/>
      <c r="MN40" s="412"/>
      <c r="MO40" s="412"/>
      <c r="MP40" s="412"/>
      <c r="MQ40" s="412"/>
      <c r="MR40" s="412"/>
      <c r="MS40" s="412"/>
      <c r="MT40" s="412"/>
      <c r="MU40" s="412"/>
      <c r="MV40" s="412"/>
      <c r="MW40" s="412"/>
      <c r="MX40" s="412"/>
      <c r="MY40" s="412"/>
      <c r="MZ40" s="412"/>
      <c r="NA40" s="412"/>
      <c r="NB40" s="412"/>
      <c r="NC40" s="412"/>
      <c r="ND40" s="412"/>
      <c r="NE40" s="412"/>
      <c r="NF40" s="412"/>
      <c r="NG40" s="412"/>
      <c r="NH40" s="412"/>
      <c r="NI40" s="412"/>
      <c r="NJ40" s="412"/>
      <c r="NK40" s="412"/>
      <c r="NL40" s="412"/>
      <c r="NM40" s="412"/>
      <c r="NN40" s="412"/>
      <c r="NO40" s="412"/>
      <c r="NP40" s="412"/>
      <c r="NQ40" s="412"/>
      <c r="NR40" s="412"/>
      <c r="NS40" s="412"/>
      <c r="NT40" s="412"/>
      <c r="NU40" s="412"/>
      <c r="NV40" s="412"/>
      <c r="NW40" s="412"/>
      <c r="NX40" s="412"/>
      <c r="NY40" s="412"/>
      <c r="NZ40" s="412"/>
      <c r="OA40" s="412"/>
      <c r="OB40" s="412"/>
      <c r="OC40" s="412"/>
      <c r="OD40" s="412"/>
      <c r="OE40" s="412"/>
      <c r="OF40" s="412"/>
      <c r="OG40" s="412"/>
      <c r="OH40" s="412"/>
      <c r="OI40" s="412"/>
      <c r="OJ40" s="412"/>
      <c r="OK40" s="412"/>
      <c r="OL40" s="412"/>
      <c r="OM40" s="412"/>
      <c r="ON40" s="412"/>
      <c r="OO40" s="412"/>
      <c r="OP40" s="412"/>
      <c r="OQ40" s="412"/>
      <c r="OR40" s="412"/>
      <c r="OS40" s="412"/>
      <c r="OT40" s="412"/>
      <c r="OU40" s="412"/>
      <c r="OV40" s="412"/>
      <c r="OW40" s="412"/>
      <c r="OX40" s="412"/>
      <c r="OY40" s="412"/>
      <c r="OZ40" s="412"/>
      <c r="PA40" s="412"/>
      <c r="PB40" s="412"/>
      <c r="PC40" s="412"/>
      <c r="PD40" s="412"/>
      <c r="PE40" s="412"/>
      <c r="PF40" s="412"/>
      <c r="PG40" s="412"/>
      <c r="PH40" s="412"/>
      <c r="PI40" s="412"/>
      <c r="PJ40" s="412"/>
      <c r="PK40" s="412"/>
      <c r="PL40" s="412"/>
      <c r="PM40" s="412"/>
      <c r="PN40" s="412"/>
      <c r="PO40" s="412"/>
      <c r="PP40" s="412"/>
      <c r="PQ40" s="412"/>
      <c r="PR40" s="412"/>
      <c r="PS40" s="412"/>
      <c r="PT40" s="412"/>
      <c r="PU40" s="412"/>
      <c r="PV40" s="412"/>
      <c r="PW40" s="412"/>
      <c r="PX40" s="412"/>
      <c r="PY40" s="412"/>
      <c r="PZ40" s="412"/>
      <c r="QA40" s="412"/>
      <c r="QB40" s="412"/>
      <c r="QC40" s="412"/>
      <c r="QD40" s="412"/>
      <c r="QE40" s="412"/>
      <c r="QF40" s="412"/>
      <c r="QG40" s="412"/>
      <c r="QH40" s="412"/>
      <c r="QI40" s="412"/>
      <c r="QJ40" s="412"/>
      <c r="QK40" s="412"/>
      <c r="QL40" s="412"/>
      <c r="QM40" s="412"/>
      <c r="QN40" s="412"/>
      <c r="QO40" s="412"/>
      <c r="QP40" s="412"/>
      <c r="QQ40" s="412"/>
      <c r="QR40" s="412"/>
      <c r="QS40" s="412"/>
      <c r="QT40" s="412"/>
      <c r="QU40" s="412"/>
      <c r="QV40" s="412"/>
      <c r="QW40" s="412"/>
      <c r="QX40" s="412"/>
      <c r="QY40" s="412"/>
      <c r="QZ40" s="412"/>
      <c r="RA40" s="412"/>
      <c r="RB40" s="412"/>
      <c r="RC40" s="412"/>
      <c r="RD40" s="412"/>
      <c r="RE40" s="412"/>
      <c r="RF40" s="412"/>
      <c r="RG40" s="412"/>
      <c r="RH40" s="412"/>
      <c r="RI40" s="412"/>
      <c r="RJ40" s="412"/>
      <c r="RK40" s="412"/>
      <c r="RL40" s="412"/>
      <c r="RM40" s="412"/>
      <c r="RN40" s="412"/>
      <c r="RO40" s="412"/>
      <c r="RP40" s="412"/>
      <c r="RQ40" s="412"/>
      <c r="RR40" s="412"/>
      <c r="RS40" s="412"/>
      <c r="RT40" s="412"/>
      <c r="RU40" s="412"/>
      <c r="RV40" s="412"/>
      <c r="RW40" s="412"/>
      <c r="RX40" s="412"/>
      <c r="RY40" s="412"/>
      <c r="RZ40" s="412"/>
      <c r="SA40" s="412"/>
      <c r="SB40" s="412"/>
      <c r="SC40" s="412"/>
      <c r="SD40" s="412"/>
      <c r="SE40" s="412"/>
      <c r="SF40" s="412"/>
      <c r="SG40" s="412"/>
      <c r="SH40" s="412"/>
      <c r="SI40" s="412"/>
      <c r="SJ40" s="412"/>
      <c r="SK40" s="412"/>
      <c r="SL40" s="412"/>
      <c r="SM40" s="412"/>
      <c r="SN40" s="412"/>
      <c r="SO40" s="412"/>
      <c r="SP40" s="412"/>
      <c r="SQ40" s="412"/>
      <c r="SR40" s="412"/>
      <c r="SS40" s="412"/>
      <c r="ST40" s="412"/>
      <c r="SU40" s="412"/>
      <c r="SV40" s="412"/>
      <c r="SW40" s="412"/>
      <c r="SX40" s="412"/>
      <c r="SY40" s="412"/>
      <c r="SZ40" s="412"/>
      <c r="TA40" s="412"/>
      <c r="TB40" s="412"/>
      <c r="TC40" s="412"/>
      <c r="TD40" s="412"/>
      <c r="TE40" s="412"/>
      <c r="TF40" s="412"/>
      <c r="TG40" s="412"/>
      <c r="TH40" s="412"/>
      <c r="TI40" s="412"/>
      <c r="TJ40" s="412"/>
      <c r="TK40" s="412"/>
      <c r="TL40" s="412"/>
      <c r="TM40" s="412"/>
      <c r="TN40" s="412"/>
      <c r="TO40" s="412"/>
      <c r="TP40" s="412"/>
      <c r="TQ40" s="412"/>
      <c r="TR40" s="412"/>
      <c r="TS40" s="412"/>
      <c r="TT40" s="412"/>
      <c r="TU40" s="412"/>
      <c r="TV40" s="412"/>
      <c r="TW40" s="412"/>
      <c r="TX40" s="412"/>
      <c r="TY40" s="412"/>
      <c r="TZ40" s="412"/>
      <c r="UA40" s="412"/>
      <c r="UB40" s="412"/>
      <c r="UC40" s="412"/>
      <c r="UD40" s="412"/>
      <c r="UE40" s="412"/>
      <c r="UF40" s="412"/>
      <c r="UG40" s="412"/>
      <c r="UH40" s="412"/>
      <c r="UI40" s="412"/>
      <c r="UJ40" s="412"/>
      <c r="UK40" s="412"/>
      <c r="UL40" s="412"/>
      <c r="UM40" s="412"/>
      <c r="UN40" s="412"/>
      <c r="UO40" s="412"/>
      <c r="UP40" s="412"/>
      <c r="UQ40" s="412"/>
      <c r="UR40" s="412"/>
      <c r="US40" s="412"/>
      <c r="UT40" s="412"/>
      <c r="UU40" s="412"/>
      <c r="UV40" s="412"/>
      <c r="UW40" s="412"/>
      <c r="UX40" s="412"/>
      <c r="UY40" s="412"/>
      <c r="UZ40" s="412"/>
      <c r="VA40" s="412"/>
      <c r="VB40" s="412"/>
      <c r="VC40" s="412"/>
      <c r="VD40" s="412"/>
      <c r="VE40" s="412"/>
      <c r="VF40" s="412"/>
      <c r="VG40" s="412"/>
      <c r="VH40" s="412"/>
      <c r="VI40" s="412"/>
      <c r="VJ40" s="412"/>
      <c r="VK40" s="412"/>
      <c r="VL40" s="412"/>
      <c r="VM40" s="412"/>
      <c r="VN40" s="412"/>
      <c r="VO40" s="412"/>
      <c r="VP40" s="412"/>
      <c r="VQ40" s="412"/>
      <c r="VR40" s="412"/>
      <c r="VS40" s="412"/>
      <c r="VT40" s="412"/>
      <c r="VU40" s="412"/>
      <c r="VV40" s="412"/>
      <c r="VW40" s="412"/>
      <c r="VX40" s="412"/>
      <c r="VY40" s="412"/>
      <c r="VZ40" s="412"/>
      <c r="WA40" s="412"/>
      <c r="WB40" s="412"/>
      <c r="WC40" s="412"/>
      <c r="WD40" s="412"/>
      <c r="WE40" s="412"/>
      <c r="WF40" s="412"/>
      <c r="WG40" s="412"/>
      <c r="WH40" s="412"/>
      <c r="WI40" s="412"/>
      <c r="WJ40" s="412"/>
      <c r="WK40" s="412"/>
      <c r="WL40" s="412"/>
      <c r="WM40" s="412"/>
      <c r="WN40" s="412"/>
      <c r="WO40" s="412"/>
      <c r="WP40" s="412"/>
      <c r="WQ40" s="412"/>
      <c r="WR40" s="412"/>
      <c r="WS40" s="412"/>
      <c r="WT40" s="412"/>
      <c r="WU40" s="412"/>
      <c r="WV40" s="412"/>
      <c r="WW40" s="412"/>
      <c r="WX40" s="412"/>
      <c r="WY40" s="412"/>
      <c r="WZ40" s="412"/>
      <c r="XA40" s="412"/>
      <c r="XB40" s="412"/>
      <c r="XC40" s="412"/>
      <c r="XD40" s="412"/>
      <c r="XE40" s="412"/>
      <c r="XF40" s="412"/>
      <c r="XG40" s="412"/>
      <c r="XH40" s="412"/>
      <c r="XI40" s="412"/>
      <c r="XJ40" s="412"/>
      <c r="XK40" s="412"/>
      <c r="XL40" s="412"/>
      <c r="XM40" s="412"/>
      <c r="XN40" s="412"/>
      <c r="XO40" s="412"/>
      <c r="XP40" s="412"/>
      <c r="XQ40" s="412"/>
      <c r="XR40" s="412"/>
      <c r="XS40" s="412"/>
      <c r="XT40" s="412"/>
      <c r="XU40" s="412"/>
      <c r="XV40" s="412"/>
      <c r="XW40" s="412"/>
      <c r="XX40" s="412"/>
      <c r="XY40" s="412"/>
      <c r="XZ40" s="412"/>
      <c r="YA40" s="412"/>
      <c r="YB40" s="412"/>
      <c r="YC40" s="412"/>
      <c r="YD40" s="412"/>
      <c r="YE40" s="412"/>
      <c r="YF40" s="412"/>
      <c r="YG40" s="412"/>
      <c r="YH40" s="412"/>
      <c r="YI40" s="412"/>
      <c r="YJ40" s="412"/>
      <c r="YK40" s="412"/>
      <c r="YL40" s="412"/>
      <c r="YM40" s="412"/>
      <c r="YN40" s="412"/>
      <c r="YO40" s="412"/>
      <c r="YP40" s="412"/>
      <c r="YQ40" s="412"/>
      <c r="YR40" s="412"/>
      <c r="YS40" s="412"/>
      <c r="YT40" s="412"/>
      <c r="YU40" s="412"/>
      <c r="YV40" s="412"/>
      <c r="YW40" s="412"/>
      <c r="YX40" s="412"/>
      <c r="YY40" s="412"/>
      <c r="YZ40" s="412"/>
      <c r="ZA40" s="412"/>
      <c r="ZB40" s="412"/>
      <c r="ZC40" s="412"/>
      <c r="ZD40" s="412"/>
      <c r="ZE40" s="412"/>
      <c r="ZF40" s="412"/>
      <c r="ZG40" s="412"/>
      <c r="ZH40" s="412"/>
      <c r="ZI40" s="412"/>
      <c r="ZJ40" s="412"/>
      <c r="ZK40" s="412"/>
      <c r="ZL40" s="412"/>
      <c r="ZM40" s="412"/>
      <c r="ZN40" s="412"/>
      <c r="ZO40" s="412"/>
      <c r="ZP40" s="412"/>
      <c r="ZQ40" s="412"/>
      <c r="ZR40" s="412"/>
      <c r="ZS40" s="412"/>
      <c r="ZT40" s="412"/>
      <c r="ZU40" s="412"/>
      <c r="ZV40" s="412"/>
      <c r="ZW40" s="412"/>
      <c r="ZX40" s="412"/>
      <c r="ZY40" s="412"/>
      <c r="ZZ40" s="412"/>
      <c r="AAA40" s="412"/>
      <c r="AAB40" s="412"/>
      <c r="AAC40" s="412"/>
      <c r="AAD40" s="412"/>
      <c r="AAE40" s="412"/>
      <c r="AAF40" s="412"/>
      <c r="AAG40" s="412"/>
      <c r="AAH40" s="412"/>
      <c r="AAI40" s="412"/>
      <c r="AAJ40" s="412"/>
      <c r="AAK40" s="412"/>
      <c r="AAL40" s="412"/>
      <c r="AAM40" s="412"/>
      <c r="AAN40" s="412"/>
      <c r="AAO40" s="412"/>
      <c r="AAP40" s="412"/>
      <c r="AAQ40" s="412"/>
      <c r="AAR40" s="412"/>
      <c r="AAS40" s="412"/>
      <c r="AAT40" s="412"/>
      <c r="AAU40" s="412"/>
      <c r="AAV40" s="412"/>
      <c r="AAW40" s="412"/>
      <c r="AAX40" s="412"/>
      <c r="AAY40" s="412"/>
      <c r="AAZ40" s="412"/>
      <c r="ABA40" s="412"/>
      <c r="ABB40" s="412"/>
      <c r="ABC40" s="412"/>
      <c r="ABD40" s="412"/>
      <c r="ABE40" s="412"/>
      <c r="ABF40" s="412"/>
      <c r="ABG40" s="412"/>
      <c r="ABH40" s="412"/>
      <c r="ABI40" s="412"/>
      <c r="ABJ40" s="412"/>
      <c r="ABK40" s="412"/>
      <c r="ABL40" s="412"/>
      <c r="ABM40" s="412"/>
      <c r="ABN40" s="412"/>
      <c r="ABO40" s="412"/>
      <c r="ABP40" s="412"/>
      <c r="ABQ40" s="412"/>
      <c r="ABR40" s="412"/>
      <c r="ABS40" s="412"/>
      <c r="ABT40" s="412"/>
      <c r="ABU40" s="412"/>
      <c r="ABV40" s="412"/>
      <c r="ABW40" s="412"/>
      <c r="ABX40" s="412"/>
      <c r="ABY40" s="412"/>
      <c r="ABZ40" s="412"/>
      <c r="ACA40" s="412"/>
      <c r="ACB40" s="412"/>
      <c r="ACC40" s="412"/>
      <c r="ACD40" s="412"/>
      <c r="ACE40" s="412"/>
      <c r="ACF40" s="412"/>
      <c r="ACG40" s="412"/>
      <c r="ACH40" s="412"/>
      <c r="ACI40" s="412"/>
      <c r="ACJ40" s="412"/>
      <c r="ACK40" s="412"/>
      <c r="ACL40" s="412"/>
      <c r="ACM40" s="412"/>
      <c r="ACN40" s="412"/>
      <c r="ACO40" s="412"/>
      <c r="ACP40" s="412"/>
      <c r="ACQ40" s="412"/>
      <c r="ACR40" s="412"/>
      <c r="ACS40" s="412"/>
      <c r="ACT40" s="412"/>
      <c r="ACU40" s="412"/>
      <c r="ACV40" s="412"/>
      <c r="ACW40" s="412"/>
      <c r="ACX40" s="412"/>
      <c r="ACY40" s="412"/>
      <c r="ACZ40" s="412"/>
      <c r="ADA40" s="412"/>
      <c r="ADB40" s="412"/>
      <c r="ADC40" s="412"/>
      <c r="ADD40" s="412"/>
      <c r="ADE40" s="412"/>
      <c r="ADF40" s="412"/>
      <c r="ADG40" s="412"/>
      <c r="ADH40" s="412"/>
      <c r="ADI40" s="412"/>
      <c r="ADJ40" s="412"/>
      <c r="ADK40" s="412"/>
      <c r="ADL40" s="412"/>
      <c r="ADM40" s="412"/>
      <c r="ADN40" s="412"/>
      <c r="ADO40" s="412"/>
      <c r="ADP40" s="412"/>
      <c r="ADQ40" s="412"/>
      <c r="ADR40" s="412"/>
      <c r="ADS40" s="412"/>
      <c r="ADT40" s="412"/>
      <c r="ADU40" s="412"/>
      <c r="ADV40" s="412"/>
      <c r="ADW40" s="412"/>
      <c r="ADX40" s="412"/>
      <c r="ADY40" s="412"/>
      <c r="ADZ40" s="412"/>
      <c r="AEA40" s="412"/>
      <c r="AEB40" s="412"/>
      <c r="AEC40" s="412"/>
      <c r="AED40" s="412"/>
      <c r="AEE40" s="412"/>
      <c r="AEF40" s="412"/>
      <c r="AEG40" s="412"/>
      <c r="AEH40" s="412"/>
      <c r="AEI40" s="412"/>
      <c r="AEJ40" s="412"/>
      <c r="AEK40" s="412"/>
      <c r="AEL40" s="412"/>
      <c r="AEM40" s="412"/>
      <c r="AEN40" s="412"/>
      <c r="AEO40" s="412"/>
      <c r="AEP40" s="412"/>
      <c r="AEQ40" s="412"/>
      <c r="AER40" s="412"/>
      <c r="AES40" s="412"/>
      <c r="AET40" s="412"/>
      <c r="AEU40" s="412"/>
      <c r="AEV40" s="412"/>
      <c r="AEW40" s="412"/>
      <c r="AEX40" s="412"/>
      <c r="AEY40" s="412"/>
      <c r="AEZ40" s="412"/>
      <c r="AFA40" s="412"/>
      <c r="AFB40" s="412"/>
      <c r="AFC40" s="412"/>
      <c r="AFD40" s="412"/>
      <c r="AFE40" s="412"/>
      <c r="AFF40" s="412"/>
      <c r="AFG40" s="412"/>
      <c r="AFH40" s="412"/>
      <c r="AFI40" s="412"/>
      <c r="AFJ40" s="412"/>
      <c r="AFK40" s="412"/>
      <c r="AFL40" s="412"/>
      <c r="AFM40" s="412"/>
      <c r="AFN40" s="412"/>
      <c r="AFO40" s="412"/>
      <c r="AFP40" s="412"/>
      <c r="AFQ40" s="412"/>
      <c r="AFR40" s="412"/>
      <c r="AFS40" s="412"/>
      <c r="AFT40" s="412"/>
      <c r="AFU40" s="412"/>
      <c r="AFV40" s="412"/>
      <c r="AFW40" s="412"/>
      <c r="AFX40" s="412"/>
      <c r="AFY40" s="412"/>
      <c r="AFZ40" s="412"/>
      <c r="AGA40" s="412"/>
      <c r="AGB40" s="412"/>
      <c r="AGC40" s="412"/>
      <c r="AGD40" s="412"/>
      <c r="AGE40" s="412"/>
      <c r="AGF40" s="412"/>
      <c r="AGG40" s="412"/>
      <c r="AGH40" s="412"/>
      <c r="AGI40" s="412"/>
      <c r="AGJ40" s="412"/>
      <c r="AGK40" s="412"/>
      <c r="AGL40" s="412"/>
      <c r="AGM40" s="412"/>
      <c r="AGN40" s="412"/>
      <c r="AGO40" s="412"/>
      <c r="AGP40" s="412"/>
      <c r="AGQ40" s="412"/>
      <c r="AGR40" s="412"/>
      <c r="AGS40" s="412"/>
      <c r="AGT40" s="412"/>
      <c r="AGU40" s="412"/>
      <c r="AGV40" s="412"/>
      <c r="AGW40" s="412"/>
      <c r="AGX40" s="412"/>
      <c r="AGY40" s="412"/>
      <c r="AGZ40" s="412"/>
      <c r="AHA40" s="412"/>
      <c r="AHB40" s="412"/>
      <c r="AHC40" s="412"/>
      <c r="AHD40" s="412"/>
      <c r="AHE40" s="412"/>
      <c r="AHF40" s="412"/>
      <c r="AHG40" s="412"/>
      <c r="AHH40" s="412"/>
      <c r="AHI40" s="412"/>
      <c r="AHJ40" s="412"/>
      <c r="AHK40" s="412"/>
      <c r="AHL40" s="412"/>
      <c r="AHM40" s="412"/>
      <c r="AHN40" s="412"/>
      <c r="AHO40" s="412"/>
      <c r="AHP40" s="412"/>
      <c r="AHQ40" s="412"/>
      <c r="AHR40" s="412"/>
      <c r="AHS40" s="412"/>
      <c r="AHT40" s="412"/>
      <c r="AHU40" s="412"/>
      <c r="AHV40" s="412"/>
      <c r="AHW40" s="412"/>
      <c r="AHX40" s="412"/>
      <c r="AHY40" s="412"/>
      <c r="AHZ40" s="412"/>
      <c r="AIA40" s="412"/>
      <c r="AIB40" s="412"/>
      <c r="AIC40" s="412"/>
      <c r="AID40" s="412"/>
      <c r="AIE40" s="412"/>
      <c r="AIF40" s="412"/>
      <c r="AIG40" s="412"/>
      <c r="AIH40" s="412"/>
      <c r="AII40" s="412"/>
      <c r="AIJ40" s="412"/>
      <c r="AIK40" s="412"/>
      <c r="AIL40" s="412"/>
      <c r="AIM40" s="412"/>
      <c r="AIN40" s="412"/>
      <c r="AIO40" s="412"/>
      <c r="AIP40" s="412"/>
      <c r="AIQ40" s="412"/>
      <c r="AIR40" s="412"/>
      <c r="AIS40" s="412"/>
      <c r="AIT40" s="412"/>
      <c r="AIU40" s="412"/>
      <c r="AIV40" s="412"/>
      <c r="AIW40" s="412"/>
      <c r="AIX40" s="412"/>
      <c r="AIY40" s="412"/>
      <c r="AIZ40" s="412"/>
      <c r="AJA40" s="412"/>
      <c r="AJB40" s="412"/>
      <c r="AJC40" s="412"/>
      <c r="AJD40" s="412"/>
      <c r="AJE40" s="412"/>
      <c r="AJF40" s="412"/>
      <c r="AJG40" s="412"/>
      <c r="AJH40" s="412"/>
      <c r="AJI40" s="412"/>
      <c r="AJJ40" s="412"/>
      <c r="AJK40" s="412"/>
      <c r="AJL40" s="412"/>
      <c r="AJM40" s="412"/>
      <c r="AJN40" s="412"/>
      <c r="AJO40" s="412"/>
      <c r="AJP40" s="412"/>
      <c r="AJQ40" s="412"/>
      <c r="AJR40" s="412"/>
      <c r="AJS40" s="412"/>
      <c r="AJT40" s="412"/>
      <c r="AJU40" s="412"/>
      <c r="AJV40" s="412"/>
      <c r="AJW40" s="412"/>
      <c r="AJX40" s="412"/>
      <c r="AJY40" s="412"/>
      <c r="AJZ40" s="412"/>
      <c r="AKA40" s="412"/>
      <c r="AKB40" s="412"/>
      <c r="AKC40" s="412"/>
      <c r="AKD40" s="412"/>
      <c r="AKE40" s="412"/>
      <c r="AKF40" s="412"/>
      <c r="AKG40" s="412"/>
      <c r="AKH40" s="412"/>
      <c r="AKI40" s="412"/>
      <c r="AKJ40" s="412"/>
      <c r="AKK40" s="412"/>
      <c r="AKL40" s="412"/>
      <c r="AKM40" s="412"/>
      <c r="AKN40" s="412"/>
      <c r="AKO40" s="412"/>
      <c r="AKP40" s="412"/>
      <c r="AKQ40" s="412"/>
      <c r="AKR40" s="412"/>
      <c r="AKS40" s="412"/>
      <c r="AKT40" s="412"/>
      <c r="AKU40" s="412"/>
      <c r="AKV40" s="412"/>
      <c r="AKW40" s="412"/>
      <c r="AKX40" s="412"/>
      <c r="AKY40" s="412"/>
      <c r="AKZ40" s="412"/>
      <c r="ALA40" s="412"/>
      <c r="ALB40" s="412"/>
      <c r="ALC40" s="412"/>
      <c r="ALD40" s="412"/>
      <c r="ALE40" s="412"/>
      <c r="ALF40" s="412"/>
      <c r="ALG40" s="412"/>
      <c r="ALH40" s="412"/>
      <c r="ALI40" s="412"/>
      <c r="ALJ40" s="412"/>
      <c r="ALK40" s="412"/>
      <c r="ALL40" s="412"/>
      <c r="ALM40" s="412"/>
      <c r="ALN40" s="412"/>
      <c r="ALO40" s="412"/>
      <c r="ALP40" s="412"/>
      <c r="ALQ40" s="412"/>
      <c r="ALR40" s="412"/>
      <c r="ALS40" s="412"/>
      <c r="ALT40" s="412"/>
      <c r="ALU40" s="412"/>
      <c r="ALV40" s="412"/>
      <c r="ALW40" s="412"/>
      <c r="ALX40" s="412"/>
      <c r="ALY40" s="412"/>
      <c r="ALZ40" s="412"/>
      <c r="AMA40" s="412"/>
      <c r="AMB40" s="412"/>
      <c r="AMC40" s="412"/>
      <c r="AMD40" s="412"/>
      <c r="AME40" s="412"/>
      <c r="AMF40" s="412"/>
      <c r="AMG40" s="412"/>
      <c r="AMH40" s="412"/>
      <c r="AMI40" s="412"/>
      <c r="AMJ40" s="412"/>
      <c r="AMK40" s="412"/>
      <c r="AML40" s="412"/>
      <c r="AMM40" s="412"/>
      <c r="AMN40" s="412"/>
      <c r="AMO40" s="412"/>
      <c r="AMP40" s="412"/>
      <c r="AMQ40" s="412"/>
      <c r="AMR40" s="412"/>
      <c r="AMS40" s="412"/>
      <c r="AMT40" s="412"/>
      <c r="AMU40" s="412"/>
      <c r="AMV40" s="412"/>
      <c r="AMW40" s="412"/>
      <c r="AMX40" s="412"/>
      <c r="AMY40" s="412"/>
      <c r="AMZ40" s="412"/>
      <c r="ANA40" s="412"/>
      <c r="ANB40" s="412"/>
      <c r="ANC40" s="412"/>
      <c r="AND40" s="412"/>
      <c r="ANE40" s="412"/>
      <c r="ANF40" s="412"/>
      <c r="ANG40" s="412"/>
      <c r="ANH40" s="412"/>
      <c r="ANI40" s="412"/>
      <c r="ANJ40" s="412"/>
      <c r="ANK40" s="412"/>
      <c r="ANL40" s="412"/>
      <c r="ANM40" s="412"/>
      <c r="ANN40" s="412"/>
      <c r="ANO40" s="412"/>
      <c r="ANP40" s="412"/>
      <c r="ANQ40" s="412"/>
      <c r="ANR40" s="412"/>
      <c r="ANS40" s="412"/>
      <c r="ANT40" s="412"/>
      <c r="ANU40" s="412"/>
      <c r="ANV40" s="412"/>
      <c r="ANW40" s="412"/>
      <c r="ANX40" s="412"/>
      <c r="ANY40" s="412"/>
      <c r="ANZ40" s="412"/>
      <c r="AOA40" s="412"/>
      <c r="AOB40" s="412"/>
      <c r="AOC40" s="412"/>
      <c r="AOD40" s="412"/>
      <c r="AOE40" s="412"/>
      <c r="AOF40" s="412"/>
      <c r="AOG40" s="412"/>
      <c r="AOH40" s="412"/>
      <c r="AOI40" s="412"/>
      <c r="AOJ40" s="412"/>
      <c r="AOK40" s="412"/>
      <c r="AOL40" s="412"/>
      <c r="AOM40" s="412"/>
      <c r="AON40" s="412"/>
      <c r="AOO40" s="412"/>
      <c r="AOP40" s="412"/>
      <c r="AOQ40" s="412"/>
      <c r="AOR40" s="412"/>
      <c r="AOS40" s="412"/>
      <c r="AOT40" s="412"/>
      <c r="AOU40" s="412"/>
      <c r="AOV40" s="412"/>
      <c r="AOW40" s="412"/>
      <c r="AOX40" s="412"/>
      <c r="AOY40" s="412"/>
      <c r="AOZ40" s="412"/>
      <c r="APA40" s="412"/>
      <c r="APB40" s="412"/>
      <c r="APC40" s="412"/>
      <c r="APD40" s="412"/>
      <c r="APE40" s="412"/>
      <c r="APF40" s="412"/>
      <c r="APG40" s="412"/>
      <c r="APH40" s="412"/>
      <c r="API40" s="412"/>
      <c r="APJ40" s="412"/>
      <c r="APK40" s="412"/>
      <c r="APL40" s="412"/>
      <c r="APM40" s="412"/>
      <c r="APN40" s="412"/>
      <c r="APO40" s="412"/>
      <c r="APP40" s="412"/>
      <c r="APQ40" s="412"/>
      <c r="APR40" s="412"/>
      <c r="APS40" s="412"/>
      <c r="APT40" s="412"/>
      <c r="APU40" s="412"/>
      <c r="APV40" s="412"/>
      <c r="APW40" s="412"/>
      <c r="APX40" s="412"/>
      <c r="APY40" s="412"/>
      <c r="APZ40" s="412"/>
      <c r="AQA40" s="412"/>
      <c r="AQB40" s="412"/>
      <c r="AQC40" s="412"/>
      <c r="AQD40" s="412"/>
      <c r="AQE40" s="412"/>
      <c r="AQF40" s="412"/>
      <c r="AQG40" s="412"/>
      <c r="AQH40" s="412"/>
      <c r="AQI40" s="412"/>
      <c r="AQJ40" s="412"/>
      <c r="AQK40" s="412"/>
      <c r="AQL40" s="412"/>
      <c r="AQM40" s="412"/>
      <c r="AQN40" s="412"/>
      <c r="AQO40" s="412"/>
      <c r="AQP40" s="412"/>
      <c r="AQQ40" s="412"/>
      <c r="AQR40" s="412"/>
      <c r="AQS40" s="412"/>
      <c r="AQT40" s="412"/>
      <c r="AQU40" s="412"/>
      <c r="AQV40" s="412"/>
      <c r="AQW40" s="412"/>
      <c r="AQX40" s="412"/>
      <c r="AQY40" s="412"/>
      <c r="AQZ40" s="412"/>
      <c r="ARA40" s="412"/>
      <c r="ARB40" s="412"/>
      <c r="ARC40" s="412"/>
      <c r="ARD40" s="412"/>
      <c r="ARE40" s="412"/>
      <c r="ARF40" s="412"/>
      <c r="ARG40" s="412"/>
      <c r="ARH40" s="412"/>
      <c r="ARI40" s="412"/>
      <c r="ARJ40" s="412"/>
      <c r="ARK40" s="412"/>
      <c r="ARL40" s="412"/>
      <c r="ARM40" s="412"/>
      <c r="ARN40" s="412"/>
      <c r="ARO40" s="412"/>
      <c r="ARP40" s="412"/>
      <c r="ARQ40" s="412"/>
      <c r="ARR40" s="412"/>
      <c r="ARS40" s="412"/>
      <c r="ART40" s="412"/>
      <c r="ARU40" s="412"/>
      <c r="ARV40" s="412"/>
      <c r="ARW40" s="412"/>
      <c r="ARX40" s="412"/>
      <c r="ARY40" s="412"/>
      <c r="ARZ40" s="412"/>
      <c r="ASA40" s="412"/>
      <c r="ASB40" s="412"/>
      <c r="ASC40" s="412"/>
      <c r="ASD40" s="412"/>
      <c r="ASE40" s="412"/>
      <c r="ASF40" s="412"/>
      <c r="ASG40" s="412"/>
      <c r="ASH40" s="412"/>
      <c r="ASI40" s="412"/>
      <c r="ASJ40" s="412"/>
      <c r="ASK40" s="412"/>
      <c r="ASL40" s="412"/>
      <c r="ASM40" s="412"/>
      <c r="ASN40" s="412"/>
      <c r="ASO40" s="412"/>
      <c r="ASP40" s="412"/>
      <c r="ASQ40" s="412"/>
      <c r="ASR40" s="412"/>
      <c r="ASS40" s="412"/>
      <c r="AST40" s="412"/>
      <c r="ASU40" s="412"/>
      <c r="ASV40" s="412"/>
      <c r="ASW40" s="412"/>
      <c r="ASX40" s="412"/>
      <c r="ASY40" s="412"/>
      <c r="ASZ40" s="412"/>
      <c r="ATA40" s="412"/>
      <c r="ATB40" s="412"/>
      <c r="ATC40" s="412"/>
      <c r="ATD40" s="412"/>
      <c r="ATE40" s="412"/>
      <c r="ATF40" s="412"/>
      <c r="ATG40" s="412"/>
      <c r="ATH40" s="412"/>
      <c r="ATI40" s="412"/>
      <c r="ATJ40" s="412"/>
      <c r="ATK40" s="412"/>
      <c r="ATL40" s="412"/>
      <c r="ATM40" s="412"/>
      <c r="ATN40" s="412"/>
      <c r="ATO40" s="412"/>
      <c r="ATP40" s="412"/>
      <c r="ATQ40" s="412"/>
      <c r="ATR40" s="412"/>
      <c r="ATS40" s="412"/>
      <c r="ATT40" s="412"/>
      <c r="ATU40" s="412"/>
      <c r="ATV40" s="412"/>
      <c r="ATW40" s="412"/>
      <c r="ATX40" s="412"/>
      <c r="ATY40" s="412"/>
      <c r="ATZ40" s="412"/>
      <c r="AUA40" s="412"/>
      <c r="AUB40" s="412"/>
      <c r="AUC40" s="412"/>
      <c r="AUD40" s="412"/>
      <c r="AUE40" s="412"/>
      <c r="AUF40" s="412"/>
      <c r="AUG40" s="412"/>
      <c r="AUH40" s="412"/>
      <c r="AUI40" s="412"/>
      <c r="AUJ40" s="412"/>
      <c r="AUK40" s="412"/>
      <c r="AUL40" s="412"/>
      <c r="AUM40" s="412"/>
      <c r="AUN40" s="412"/>
      <c r="AUO40" s="412"/>
      <c r="AUP40" s="412"/>
      <c r="AUQ40" s="412"/>
      <c r="AUR40" s="412"/>
      <c r="AUS40" s="412"/>
      <c r="AUT40" s="412"/>
      <c r="AUU40" s="412"/>
      <c r="AUV40" s="412"/>
      <c r="AUW40" s="412"/>
      <c r="AUX40" s="412"/>
      <c r="AUY40" s="412"/>
      <c r="AUZ40" s="412"/>
      <c r="AVA40" s="412"/>
      <c r="AVB40" s="412"/>
      <c r="AVC40" s="412"/>
      <c r="AVD40" s="412"/>
      <c r="AVE40" s="412"/>
      <c r="AVF40" s="412"/>
      <c r="AVG40" s="412"/>
      <c r="AVH40" s="412"/>
      <c r="AVI40" s="412"/>
      <c r="AVJ40" s="412"/>
      <c r="AVK40" s="412"/>
      <c r="AVL40" s="412"/>
      <c r="AVM40" s="412"/>
      <c r="AVN40" s="412"/>
      <c r="AVO40" s="412"/>
      <c r="AVP40" s="412"/>
      <c r="AVQ40" s="412"/>
      <c r="AVR40" s="412"/>
      <c r="AVS40" s="412"/>
      <c r="AVT40" s="412"/>
      <c r="AVU40" s="412"/>
      <c r="AVV40" s="412"/>
      <c r="AVW40" s="412"/>
      <c r="AVX40" s="412"/>
      <c r="AVY40" s="412"/>
      <c r="AVZ40" s="412"/>
      <c r="AWA40" s="412"/>
      <c r="AWB40" s="412"/>
      <c r="AWC40" s="412"/>
      <c r="AWD40" s="412"/>
      <c r="AWE40" s="412"/>
      <c r="AWF40" s="412"/>
      <c r="AWG40" s="412"/>
      <c r="AWH40" s="412"/>
      <c r="AWI40" s="412"/>
      <c r="AWJ40" s="412"/>
      <c r="AWK40" s="412"/>
      <c r="AWL40" s="412"/>
      <c r="AWM40" s="412"/>
      <c r="AWN40" s="412"/>
      <c r="AWO40" s="412"/>
      <c r="AWP40" s="412"/>
      <c r="AWQ40" s="412"/>
      <c r="AWR40" s="412"/>
      <c r="AWS40" s="412"/>
      <c r="AWT40" s="412"/>
      <c r="AWU40" s="412"/>
      <c r="AWV40" s="412"/>
      <c r="AWW40" s="412"/>
      <c r="AWX40" s="412"/>
      <c r="AWY40" s="412"/>
      <c r="AWZ40" s="412"/>
      <c r="AXA40" s="412"/>
      <c r="AXB40" s="412"/>
      <c r="AXC40" s="412"/>
      <c r="AXD40" s="412"/>
      <c r="AXE40" s="412"/>
      <c r="AXF40" s="412"/>
      <c r="AXG40" s="412"/>
      <c r="AXH40" s="412"/>
      <c r="AXI40" s="412"/>
      <c r="AXJ40" s="412"/>
      <c r="AXK40" s="412"/>
      <c r="AXL40" s="412"/>
      <c r="AXM40" s="412"/>
      <c r="AXN40" s="412"/>
      <c r="AXO40" s="412"/>
      <c r="AXP40" s="412"/>
      <c r="AXQ40" s="412"/>
      <c r="AXR40" s="412"/>
      <c r="AXS40" s="412"/>
      <c r="AXT40" s="412"/>
      <c r="AXU40" s="412"/>
      <c r="AXV40" s="412"/>
      <c r="AXW40" s="412"/>
      <c r="AXX40" s="412"/>
      <c r="AXY40" s="412"/>
      <c r="AXZ40" s="412"/>
      <c r="AYA40" s="412"/>
      <c r="AYB40" s="412"/>
      <c r="AYC40" s="412"/>
      <c r="AYD40" s="412"/>
      <c r="AYE40" s="412"/>
      <c r="AYF40" s="412"/>
      <c r="AYG40" s="412"/>
      <c r="AYH40" s="412"/>
      <c r="AYI40" s="412"/>
      <c r="AYJ40" s="412"/>
      <c r="AYK40" s="412"/>
      <c r="AYL40" s="412"/>
      <c r="AYM40" s="412"/>
      <c r="AYN40" s="412"/>
      <c r="AYO40" s="412"/>
      <c r="AYP40" s="412"/>
      <c r="AYQ40" s="412"/>
      <c r="AYR40" s="412"/>
      <c r="AYS40" s="412"/>
      <c r="AYT40" s="412"/>
      <c r="AYU40" s="412"/>
      <c r="AYV40" s="412"/>
      <c r="AYW40" s="412"/>
      <c r="AYX40" s="412"/>
      <c r="AYY40" s="412"/>
      <c r="AYZ40" s="412"/>
      <c r="AZA40" s="412"/>
      <c r="AZB40" s="412"/>
      <c r="AZC40" s="412"/>
      <c r="AZD40" s="412"/>
      <c r="AZE40" s="412"/>
      <c r="AZF40" s="412"/>
      <c r="AZG40" s="412"/>
      <c r="AZH40" s="412"/>
      <c r="AZI40" s="412"/>
      <c r="AZJ40" s="412"/>
      <c r="AZK40" s="412"/>
      <c r="AZL40" s="412"/>
      <c r="AZM40" s="412"/>
      <c r="AZN40" s="412"/>
      <c r="AZO40" s="412"/>
      <c r="AZP40" s="412"/>
      <c r="AZQ40" s="412"/>
      <c r="AZR40" s="412"/>
      <c r="AZS40" s="412"/>
      <c r="AZT40" s="412"/>
      <c r="AZU40" s="412"/>
      <c r="AZV40" s="412"/>
      <c r="AZW40" s="412"/>
      <c r="AZX40" s="412"/>
      <c r="AZY40" s="412"/>
      <c r="AZZ40" s="412"/>
      <c r="BAA40" s="412"/>
      <c r="BAB40" s="412"/>
      <c r="BAC40" s="412"/>
      <c r="BAD40" s="412"/>
      <c r="BAE40" s="412"/>
      <c r="BAF40" s="412"/>
      <c r="BAG40" s="412"/>
      <c r="BAH40" s="412"/>
      <c r="BAI40" s="412"/>
      <c r="BAJ40" s="412"/>
      <c r="BAK40" s="412"/>
      <c r="BAL40" s="412"/>
      <c r="BAM40" s="412"/>
      <c r="BAN40" s="412"/>
      <c r="BAO40" s="412"/>
      <c r="BAP40" s="412"/>
      <c r="BAQ40" s="412"/>
      <c r="BAR40" s="412"/>
      <c r="BAS40" s="412"/>
      <c r="BAT40" s="412"/>
      <c r="BAU40" s="412"/>
      <c r="BAV40" s="412"/>
      <c r="BAW40" s="412"/>
      <c r="BAX40" s="412"/>
      <c r="BAY40" s="412"/>
      <c r="BAZ40" s="412"/>
      <c r="BBA40" s="412"/>
      <c r="BBB40" s="412"/>
      <c r="BBC40" s="412"/>
      <c r="BBD40" s="412"/>
      <c r="BBE40" s="412"/>
      <c r="BBF40" s="412"/>
      <c r="BBG40" s="412"/>
      <c r="BBH40" s="412"/>
      <c r="BBI40" s="412"/>
      <c r="BBJ40" s="412"/>
      <c r="BBK40" s="412"/>
      <c r="BBL40" s="412"/>
      <c r="BBM40" s="412"/>
      <c r="BBN40" s="412"/>
      <c r="BBO40" s="412"/>
      <c r="BBP40" s="412"/>
      <c r="BBQ40" s="412"/>
      <c r="BBR40" s="412"/>
      <c r="BBS40" s="412"/>
      <c r="BBT40" s="412"/>
      <c r="BBU40" s="412"/>
      <c r="BBV40" s="412"/>
      <c r="BBW40" s="412"/>
      <c r="BBX40" s="412"/>
      <c r="BBY40" s="412"/>
      <c r="BBZ40" s="412"/>
      <c r="BCA40" s="412"/>
      <c r="BCB40" s="412"/>
      <c r="BCC40" s="412"/>
      <c r="BCD40" s="412"/>
      <c r="BCE40" s="412"/>
      <c r="BCF40" s="412"/>
      <c r="BCG40" s="412"/>
      <c r="BCH40" s="412"/>
      <c r="BCI40" s="412"/>
      <c r="BCJ40" s="412"/>
      <c r="BCK40" s="412"/>
      <c r="BCL40" s="412"/>
      <c r="BCM40" s="412"/>
      <c r="BCN40" s="412"/>
      <c r="BCO40" s="412"/>
      <c r="BCP40" s="412"/>
      <c r="BCQ40" s="412"/>
      <c r="BCR40" s="412"/>
      <c r="BCS40" s="412"/>
      <c r="BCT40" s="412"/>
      <c r="BCU40" s="412"/>
      <c r="BCV40" s="412"/>
      <c r="BCW40" s="412"/>
      <c r="BCX40" s="412"/>
      <c r="BCY40" s="412"/>
      <c r="BCZ40" s="412"/>
      <c r="BDA40" s="412"/>
      <c r="BDB40" s="412"/>
      <c r="BDC40" s="412"/>
      <c r="BDD40" s="412"/>
      <c r="BDE40" s="412"/>
      <c r="BDF40" s="412"/>
      <c r="BDG40" s="412"/>
      <c r="BDH40" s="412"/>
      <c r="BDI40" s="412"/>
      <c r="BDJ40" s="412"/>
      <c r="BDK40" s="412"/>
      <c r="BDL40" s="412"/>
      <c r="BDM40" s="412"/>
      <c r="BDN40" s="412"/>
      <c r="BDO40" s="412"/>
      <c r="BDP40" s="412"/>
      <c r="BDQ40" s="412"/>
      <c r="BDR40" s="412"/>
      <c r="BDS40" s="412"/>
      <c r="BDT40" s="412"/>
      <c r="BDU40" s="412"/>
      <c r="BDV40" s="412"/>
      <c r="BDW40" s="412"/>
      <c r="BDX40" s="412"/>
      <c r="BDY40" s="412"/>
      <c r="BDZ40" s="412"/>
      <c r="BEA40" s="412"/>
      <c r="BEB40" s="412"/>
      <c r="BEC40" s="412"/>
      <c r="BED40" s="412"/>
      <c r="BEE40" s="412"/>
      <c r="BEF40" s="412"/>
      <c r="BEG40" s="412"/>
      <c r="BEH40" s="412"/>
      <c r="BEI40" s="412"/>
      <c r="BEJ40" s="412"/>
      <c r="BEK40" s="412"/>
      <c r="BEL40" s="412"/>
      <c r="BEM40" s="412"/>
      <c r="BEN40" s="412"/>
      <c r="BEO40" s="412"/>
      <c r="BEP40" s="412"/>
      <c r="BEQ40" s="412"/>
      <c r="BER40" s="412"/>
      <c r="BES40" s="412"/>
      <c r="BET40" s="412"/>
      <c r="BEU40" s="412"/>
      <c r="BEV40" s="412"/>
      <c r="BEW40" s="412"/>
      <c r="BEX40" s="412"/>
      <c r="BEY40" s="412"/>
      <c r="BEZ40" s="412"/>
      <c r="BFA40" s="412"/>
      <c r="BFB40" s="412"/>
      <c r="BFC40" s="412"/>
      <c r="BFD40" s="412"/>
      <c r="BFE40" s="412"/>
      <c r="BFF40" s="412"/>
      <c r="BFG40" s="412"/>
      <c r="BFH40" s="412"/>
      <c r="BFI40" s="412"/>
      <c r="BFJ40" s="412"/>
      <c r="BFK40" s="412"/>
      <c r="BFL40" s="412"/>
      <c r="BFM40" s="412"/>
      <c r="BFN40" s="412"/>
      <c r="BFO40" s="412"/>
      <c r="BFP40" s="412"/>
      <c r="BFQ40" s="412"/>
      <c r="BFR40" s="412"/>
      <c r="BFS40" s="412"/>
      <c r="BFT40" s="412"/>
      <c r="BFU40" s="412"/>
      <c r="BFV40" s="412"/>
      <c r="BFW40" s="412"/>
      <c r="BFX40" s="412"/>
      <c r="BFY40" s="412"/>
      <c r="BFZ40" s="412"/>
      <c r="BGA40" s="412"/>
      <c r="BGB40" s="412"/>
      <c r="BGC40" s="412"/>
      <c r="BGD40" s="412"/>
      <c r="BGE40" s="412"/>
      <c r="BGF40" s="412"/>
      <c r="BGG40" s="412"/>
      <c r="BGH40" s="412"/>
      <c r="BGI40" s="412"/>
      <c r="BGJ40" s="412"/>
      <c r="BGK40" s="412"/>
      <c r="BGL40" s="412"/>
      <c r="BGM40" s="412"/>
      <c r="BGN40" s="412"/>
      <c r="BGO40" s="412"/>
      <c r="BGP40" s="412"/>
      <c r="BGQ40" s="412"/>
      <c r="BGR40" s="412"/>
      <c r="BGS40" s="412"/>
      <c r="BGT40" s="412"/>
      <c r="BGU40" s="412"/>
      <c r="BGV40" s="412"/>
      <c r="BGW40" s="412"/>
      <c r="BGX40" s="412"/>
      <c r="BGY40" s="412"/>
      <c r="BGZ40" s="412"/>
      <c r="BHA40" s="412"/>
      <c r="BHB40" s="412"/>
      <c r="BHC40" s="412"/>
      <c r="BHD40" s="412"/>
      <c r="BHE40" s="412"/>
      <c r="BHF40" s="412"/>
      <c r="BHG40" s="412"/>
      <c r="BHH40" s="412"/>
      <c r="BHI40" s="412"/>
      <c r="BHJ40" s="412"/>
      <c r="BHK40" s="412"/>
      <c r="BHL40" s="412"/>
      <c r="BHM40" s="412"/>
      <c r="BHN40" s="412"/>
      <c r="BHO40" s="412"/>
      <c r="BHP40" s="412"/>
      <c r="BHQ40" s="412"/>
      <c r="BHR40" s="412"/>
      <c r="BHS40" s="412"/>
      <c r="BHT40" s="412"/>
      <c r="BHU40" s="412"/>
      <c r="BHV40" s="412"/>
      <c r="BHW40" s="412"/>
      <c r="BHX40" s="412"/>
      <c r="BHY40" s="412"/>
      <c r="BHZ40" s="412"/>
      <c r="BIA40" s="412"/>
      <c r="BIB40" s="412"/>
      <c r="BIC40" s="412"/>
      <c r="BID40" s="412"/>
      <c r="BIE40" s="412"/>
      <c r="BIF40" s="412"/>
      <c r="BIG40" s="412"/>
      <c r="BIH40" s="412"/>
      <c r="BII40" s="412"/>
      <c r="BIJ40" s="412"/>
      <c r="BIK40" s="412"/>
      <c r="BIL40" s="412"/>
      <c r="BIM40" s="412"/>
      <c r="BIN40" s="412"/>
      <c r="BIO40" s="412"/>
      <c r="BIP40" s="412"/>
      <c r="BIQ40" s="412"/>
      <c r="BIR40" s="412"/>
      <c r="BIS40" s="412"/>
      <c r="BIT40" s="412"/>
      <c r="BIU40" s="412"/>
      <c r="BIV40" s="412"/>
      <c r="BIW40" s="412"/>
      <c r="BIX40" s="412"/>
      <c r="BIY40" s="412"/>
      <c r="BIZ40" s="412"/>
      <c r="BJA40" s="412"/>
      <c r="BJB40" s="412"/>
      <c r="BJC40" s="412"/>
      <c r="BJD40" s="412"/>
      <c r="BJE40" s="412"/>
      <c r="BJF40" s="412"/>
      <c r="BJG40" s="412"/>
      <c r="BJH40" s="412"/>
      <c r="BJI40" s="412"/>
      <c r="BJJ40" s="412"/>
      <c r="BJK40" s="412"/>
      <c r="BJL40" s="412"/>
      <c r="BJM40" s="412"/>
      <c r="BJN40" s="412"/>
      <c r="BJO40" s="412"/>
      <c r="BJP40" s="412"/>
      <c r="BJQ40" s="412"/>
      <c r="BJR40" s="412"/>
      <c r="BJS40" s="412"/>
      <c r="BJT40" s="412"/>
      <c r="BJU40" s="412"/>
      <c r="BJV40" s="412"/>
      <c r="BJW40" s="412"/>
      <c r="BJX40" s="412"/>
      <c r="BJY40" s="412"/>
      <c r="BJZ40" s="412"/>
      <c r="BKA40" s="412"/>
      <c r="BKB40" s="412"/>
      <c r="BKC40" s="412"/>
      <c r="BKD40" s="412"/>
      <c r="BKE40" s="412"/>
      <c r="BKF40" s="412"/>
      <c r="BKG40" s="412"/>
      <c r="BKH40" s="412"/>
      <c r="BKI40" s="412"/>
      <c r="BKJ40" s="412"/>
      <c r="BKK40" s="412"/>
      <c r="BKL40" s="412"/>
      <c r="BKM40" s="412"/>
      <c r="BKN40" s="412"/>
      <c r="BKO40" s="412"/>
      <c r="BKP40" s="412"/>
      <c r="BKQ40" s="412"/>
      <c r="BKR40" s="412"/>
      <c r="BKS40" s="412"/>
      <c r="BKT40" s="412"/>
      <c r="BKU40" s="412"/>
      <c r="BKV40" s="412"/>
      <c r="BKW40" s="412"/>
      <c r="BKX40" s="412"/>
      <c r="BKY40" s="412"/>
      <c r="BKZ40" s="412"/>
      <c r="BLA40" s="412"/>
      <c r="BLB40" s="412"/>
      <c r="BLC40" s="412"/>
      <c r="BLD40" s="412"/>
      <c r="BLE40" s="412"/>
      <c r="BLF40" s="412"/>
      <c r="BLG40" s="412"/>
      <c r="BLH40" s="412"/>
      <c r="BLI40" s="412"/>
      <c r="BLJ40" s="412"/>
      <c r="BLK40" s="412"/>
      <c r="BLL40" s="412"/>
      <c r="BLM40" s="412"/>
      <c r="BLN40" s="412"/>
      <c r="BLO40" s="412"/>
      <c r="BLP40" s="412"/>
      <c r="BLQ40" s="412"/>
      <c r="BLR40" s="412"/>
      <c r="BLS40" s="412"/>
      <c r="BLT40" s="412"/>
      <c r="BLU40" s="412"/>
      <c r="BLV40" s="412"/>
      <c r="BLW40" s="412"/>
      <c r="BLX40" s="412"/>
      <c r="BLY40" s="412"/>
      <c r="BLZ40" s="412"/>
      <c r="BMA40" s="412"/>
      <c r="BMB40" s="412"/>
      <c r="BMC40" s="412"/>
      <c r="BMD40" s="412"/>
      <c r="BME40" s="412"/>
      <c r="BMF40" s="412"/>
      <c r="BMG40" s="412"/>
      <c r="BMH40" s="412"/>
      <c r="BMI40" s="412"/>
      <c r="BMJ40" s="412"/>
      <c r="BMK40" s="412"/>
      <c r="BML40" s="412"/>
      <c r="BMM40" s="412"/>
      <c r="BMN40" s="412"/>
      <c r="BMO40" s="412"/>
      <c r="BMP40" s="412"/>
      <c r="BMQ40" s="412"/>
      <c r="BMR40" s="412"/>
      <c r="BMS40" s="412"/>
      <c r="BMT40" s="412"/>
      <c r="BMU40" s="412"/>
      <c r="BMV40" s="412"/>
      <c r="BMW40" s="412"/>
      <c r="BMX40" s="412"/>
      <c r="BMY40" s="412"/>
      <c r="BMZ40" s="412"/>
      <c r="BNA40" s="412"/>
      <c r="BNB40" s="412"/>
      <c r="BNC40" s="412"/>
      <c r="BND40" s="412"/>
      <c r="BNE40" s="412"/>
      <c r="BNF40" s="412"/>
      <c r="BNG40" s="412"/>
      <c r="BNH40" s="412"/>
      <c r="BNI40" s="412"/>
      <c r="BNJ40" s="412"/>
      <c r="BNK40" s="412"/>
      <c r="BNL40" s="412"/>
      <c r="BNM40" s="412"/>
      <c r="BNN40" s="412"/>
      <c r="BNO40" s="412"/>
      <c r="BNP40" s="412"/>
      <c r="BNQ40" s="412"/>
      <c r="BNR40" s="412"/>
      <c r="BNS40" s="412"/>
      <c r="BNT40" s="412"/>
      <c r="BNU40" s="412"/>
      <c r="BNV40" s="412"/>
      <c r="BNW40" s="412"/>
      <c r="BNX40" s="412"/>
      <c r="BNY40" s="412"/>
      <c r="BNZ40" s="412"/>
      <c r="BOA40" s="412"/>
      <c r="BOB40" s="412"/>
      <c r="BOC40" s="412"/>
      <c r="BOD40" s="412"/>
      <c r="BOE40" s="412"/>
      <c r="BOF40" s="412"/>
      <c r="BOG40" s="412"/>
      <c r="BOH40" s="412"/>
      <c r="BOI40" s="412"/>
      <c r="BOJ40" s="412"/>
      <c r="BOK40" s="412"/>
      <c r="BOL40" s="412"/>
      <c r="BOM40" s="412"/>
      <c r="BON40" s="412"/>
      <c r="BOO40" s="412"/>
      <c r="BOP40" s="412"/>
      <c r="BOQ40" s="412"/>
      <c r="BOR40" s="412"/>
      <c r="BOS40" s="412"/>
      <c r="BOT40" s="412"/>
      <c r="BOU40" s="412"/>
      <c r="BOV40" s="412"/>
      <c r="BOW40" s="412"/>
      <c r="BOX40" s="412"/>
      <c r="BOY40" s="412"/>
      <c r="BOZ40" s="412"/>
      <c r="BPA40" s="412"/>
      <c r="BPB40" s="412"/>
      <c r="BPC40" s="412"/>
      <c r="BPD40" s="412"/>
      <c r="BPE40" s="412"/>
      <c r="BPF40" s="412"/>
      <c r="BPG40" s="412"/>
      <c r="BPH40" s="412"/>
      <c r="BPI40" s="412"/>
      <c r="BPJ40" s="412"/>
      <c r="BPK40" s="412"/>
      <c r="BPL40" s="412"/>
      <c r="BPM40" s="412"/>
      <c r="BPN40" s="412"/>
      <c r="BPO40" s="412"/>
      <c r="BPP40" s="412"/>
      <c r="BPQ40" s="412"/>
      <c r="BPR40" s="412"/>
      <c r="BPS40" s="412"/>
      <c r="BPT40" s="412"/>
      <c r="BPU40" s="412"/>
      <c r="BPV40" s="412"/>
      <c r="BPW40" s="412"/>
      <c r="BPX40" s="412"/>
      <c r="BPY40" s="412"/>
      <c r="BPZ40" s="412"/>
      <c r="BQA40" s="412"/>
      <c r="BQB40" s="412"/>
      <c r="BQC40" s="412"/>
      <c r="BQD40" s="412"/>
      <c r="BQE40" s="412"/>
      <c r="BQF40" s="412"/>
      <c r="BQG40" s="412"/>
      <c r="BQH40" s="412"/>
      <c r="BQI40" s="412"/>
      <c r="BQJ40" s="412"/>
      <c r="BQK40" s="412"/>
      <c r="BQL40" s="412"/>
      <c r="BQM40" s="412"/>
      <c r="BQN40" s="412"/>
      <c r="BQO40" s="412"/>
      <c r="BQP40" s="412"/>
      <c r="BQQ40" s="412"/>
      <c r="BQR40" s="412"/>
      <c r="BQS40" s="412"/>
      <c r="BQT40" s="412"/>
      <c r="BQU40" s="412"/>
      <c r="BQV40" s="412"/>
      <c r="BQW40" s="412"/>
      <c r="BQX40" s="412"/>
      <c r="BQY40" s="412"/>
      <c r="BQZ40" s="412"/>
      <c r="BRA40" s="412"/>
      <c r="BRB40" s="412"/>
      <c r="BRC40" s="412"/>
      <c r="BRD40" s="412"/>
      <c r="BRE40" s="412"/>
      <c r="BRF40" s="412"/>
      <c r="BRG40" s="412"/>
      <c r="BRH40" s="412"/>
      <c r="BRI40" s="412"/>
      <c r="BRJ40" s="412"/>
      <c r="BRK40" s="412"/>
      <c r="BRL40" s="412"/>
      <c r="BRM40" s="412"/>
      <c r="BRN40" s="412"/>
      <c r="BRO40" s="412"/>
      <c r="BRP40" s="412"/>
      <c r="BRQ40" s="412"/>
      <c r="BRR40" s="412"/>
      <c r="BRS40" s="412"/>
      <c r="BRT40" s="412"/>
      <c r="BRU40" s="412"/>
      <c r="BRV40" s="412"/>
      <c r="BRW40" s="412"/>
      <c r="BRX40" s="412"/>
      <c r="BRY40" s="412"/>
      <c r="BRZ40" s="412"/>
      <c r="BSA40" s="412"/>
      <c r="BSB40" s="412"/>
      <c r="BSC40" s="412"/>
      <c r="BSD40" s="412"/>
      <c r="BSE40" s="412"/>
      <c r="BSF40" s="412"/>
      <c r="BSG40" s="412"/>
      <c r="BSH40" s="412"/>
      <c r="BSI40" s="412"/>
      <c r="BSJ40" s="412"/>
      <c r="BSK40" s="412"/>
      <c r="BSL40" s="412"/>
      <c r="BSM40" s="412"/>
      <c r="BSN40" s="412"/>
      <c r="BSO40" s="412"/>
      <c r="BSP40" s="412"/>
      <c r="BSQ40" s="412"/>
      <c r="BSR40" s="412"/>
      <c r="BSS40" s="412"/>
      <c r="BST40" s="412"/>
      <c r="BSU40" s="412"/>
      <c r="BSV40" s="412"/>
      <c r="BSW40" s="412"/>
      <c r="BSX40" s="412"/>
      <c r="BSY40" s="412"/>
      <c r="BSZ40" s="412"/>
      <c r="BTA40" s="412"/>
      <c r="BTB40" s="412"/>
      <c r="BTC40" s="412"/>
      <c r="BTD40" s="412"/>
      <c r="BTE40" s="412"/>
      <c r="BTF40" s="412"/>
      <c r="BTG40" s="412"/>
      <c r="BTH40" s="412"/>
      <c r="BTI40" s="412"/>
    </row>
    <row r="41" spans="1:1881" s="4" customFormat="1" ht="73.5" customHeight="1" thickBot="1" x14ac:dyDescent="0.3">
      <c r="A41" s="189">
        <v>592</v>
      </c>
      <c r="B41" s="340" t="s">
        <v>705</v>
      </c>
      <c r="C41" s="185" t="s">
        <v>706</v>
      </c>
      <c r="D41" s="139" t="s">
        <v>708</v>
      </c>
      <c r="E41" s="32" t="e">
        <f>HLOOKUP($D$2,'2019 Data(H)'!$C$1:$CG$300,253,FALSE)</f>
        <v>#N/A</v>
      </c>
      <c r="F41" s="606"/>
      <c r="G41" s="413"/>
      <c r="H41" s="150"/>
      <c r="J41" s="368"/>
      <c r="K41" s="412"/>
      <c r="L41" s="865" t="s">
        <v>1139</v>
      </c>
      <c r="M41" s="633"/>
      <c r="N41" s="656"/>
      <c r="O41" s="412"/>
      <c r="P41" s="412"/>
      <c r="Q41" s="412"/>
      <c r="R41" s="412"/>
      <c r="S41" s="412"/>
      <c r="T41" s="412"/>
      <c r="U41" s="412"/>
      <c r="V41" s="412"/>
      <c r="W41" s="412"/>
      <c r="X41" s="412"/>
      <c r="Y41" s="412"/>
      <c r="Z41" s="412"/>
      <c r="AA41" s="412"/>
      <c r="AB41" s="412"/>
      <c r="AC41" s="412"/>
      <c r="AD41" s="412"/>
      <c r="AE41" s="412"/>
      <c r="AF41" s="412"/>
      <c r="AG41" s="412"/>
      <c r="AH41" s="412"/>
      <c r="AI41" s="412"/>
      <c r="AJ41" s="412"/>
      <c r="AK41" s="412"/>
      <c r="AL41" s="412"/>
      <c r="AM41" s="412"/>
      <c r="AN41" s="412"/>
      <c r="AO41" s="412"/>
      <c r="AP41" s="412"/>
      <c r="AQ41" s="412"/>
      <c r="AR41" s="412"/>
      <c r="AS41" s="412"/>
      <c r="AT41" s="412"/>
      <c r="AU41" s="412"/>
      <c r="AV41" s="412"/>
      <c r="AW41" s="412"/>
      <c r="AX41" s="412"/>
      <c r="AY41" s="412"/>
      <c r="AZ41" s="412"/>
      <c r="BA41" s="412"/>
      <c r="BB41" s="412"/>
      <c r="BC41" s="412"/>
      <c r="BD41" s="412"/>
      <c r="BE41" s="412"/>
      <c r="BF41" s="412"/>
      <c r="BG41" s="412"/>
      <c r="BH41" s="412"/>
      <c r="BI41" s="412"/>
      <c r="BJ41" s="412"/>
      <c r="BK41" s="412"/>
      <c r="BL41" s="412"/>
      <c r="BM41" s="412"/>
      <c r="BN41" s="412"/>
      <c r="BO41" s="412"/>
      <c r="BP41" s="412"/>
      <c r="BQ41" s="412"/>
      <c r="BR41" s="412"/>
      <c r="BS41" s="412"/>
      <c r="BT41" s="412"/>
      <c r="BU41" s="412"/>
      <c r="BV41" s="412"/>
      <c r="BW41" s="412"/>
      <c r="BX41" s="412"/>
      <c r="BY41" s="412"/>
      <c r="BZ41" s="412"/>
      <c r="CA41" s="412"/>
      <c r="CB41" s="412"/>
      <c r="CC41" s="412"/>
      <c r="CD41" s="412"/>
      <c r="CE41" s="412"/>
      <c r="CF41" s="412"/>
      <c r="CG41" s="412"/>
      <c r="CH41" s="412"/>
      <c r="CI41" s="412"/>
      <c r="CJ41" s="412"/>
      <c r="CK41" s="412"/>
      <c r="CL41" s="412"/>
      <c r="CM41" s="412"/>
      <c r="CN41" s="412"/>
      <c r="CO41" s="412"/>
      <c r="CP41" s="412"/>
      <c r="CQ41" s="412"/>
      <c r="CR41" s="412"/>
      <c r="CS41" s="412"/>
      <c r="CT41" s="412"/>
      <c r="CU41" s="412"/>
      <c r="CV41" s="412"/>
      <c r="CW41" s="412"/>
      <c r="CX41" s="412"/>
      <c r="CY41" s="412"/>
      <c r="CZ41" s="412"/>
      <c r="DA41" s="412"/>
      <c r="DB41" s="412"/>
      <c r="DC41" s="412"/>
      <c r="DD41" s="412"/>
      <c r="DE41" s="412"/>
      <c r="DF41" s="412"/>
      <c r="DG41" s="412"/>
      <c r="DH41" s="412"/>
      <c r="DI41" s="412"/>
      <c r="DJ41" s="412"/>
      <c r="DK41" s="412"/>
      <c r="DL41" s="412"/>
      <c r="DM41" s="412"/>
      <c r="DN41" s="412"/>
      <c r="DO41" s="412"/>
      <c r="DP41" s="412"/>
      <c r="DQ41" s="412"/>
      <c r="DR41" s="412"/>
      <c r="DS41" s="412"/>
      <c r="DT41" s="412"/>
      <c r="DU41" s="412"/>
      <c r="DV41" s="412"/>
      <c r="DW41" s="412"/>
      <c r="DX41" s="412"/>
      <c r="DY41" s="412"/>
      <c r="DZ41" s="412"/>
      <c r="EA41" s="412"/>
      <c r="EB41" s="412"/>
      <c r="EC41" s="412"/>
      <c r="ED41" s="412"/>
      <c r="EE41" s="412"/>
      <c r="EF41" s="412"/>
      <c r="EG41" s="412"/>
      <c r="EH41" s="412"/>
      <c r="EI41" s="412"/>
      <c r="EJ41" s="412"/>
      <c r="EK41" s="412"/>
      <c r="EL41" s="412"/>
      <c r="EM41" s="412"/>
      <c r="EN41" s="412"/>
      <c r="EO41" s="412"/>
      <c r="EP41" s="412"/>
      <c r="EQ41" s="412"/>
      <c r="ER41" s="412"/>
      <c r="ES41" s="412"/>
      <c r="ET41" s="412"/>
      <c r="EU41" s="412"/>
      <c r="EV41" s="412"/>
      <c r="EW41" s="412"/>
      <c r="EX41" s="412"/>
      <c r="EY41" s="412"/>
      <c r="EZ41" s="412"/>
      <c r="FA41" s="412"/>
      <c r="FB41" s="412"/>
      <c r="FC41" s="412"/>
      <c r="FD41" s="412"/>
      <c r="FE41" s="412"/>
      <c r="FF41" s="412"/>
      <c r="FG41" s="412"/>
      <c r="FH41" s="412"/>
      <c r="FI41" s="412"/>
      <c r="FJ41" s="412"/>
      <c r="FK41" s="412"/>
      <c r="FL41" s="412"/>
      <c r="FM41" s="412"/>
      <c r="FN41" s="412"/>
      <c r="FO41" s="412"/>
      <c r="FP41" s="412"/>
      <c r="FQ41" s="412"/>
      <c r="FR41" s="412"/>
      <c r="FS41" s="412"/>
      <c r="FT41" s="412"/>
      <c r="FU41" s="412"/>
      <c r="FV41" s="412"/>
      <c r="FW41" s="412"/>
      <c r="FX41" s="412"/>
      <c r="FY41" s="412"/>
      <c r="FZ41" s="412"/>
      <c r="GA41" s="412"/>
      <c r="GB41" s="412"/>
      <c r="GC41" s="412"/>
      <c r="GD41" s="412"/>
      <c r="GE41" s="412"/>
      <c r="GF41" s="412"/>
      <c r="GG41" s="412"/>
      <c r="GH41" s="412"/>
      <c r="GI41" s="412"/>
      <c r="GJ41" s="412"/>
      <c r="GK41" s="412"/>
      <c r="GL41" s="412"/>
      <c r="GM41" s="412"/>
      <c r="GN41" s="412"/>
      <c r="GO41" s="412"/>
      <c r="GP41" s="412"/>
      <c r="GQ41" s="412"/>
      <c r="GR41" s="412"/>
      <c r="GS41" s="412"/>
      <c r="GT41" s="412"/>
      <c r="GU41" s="412"/>
      <c r="GV41" s="412"/>
      <c r="GW41" s="412"/>
      <c r="GX41" s="412"/>
      <c r="GY41" s="412"/>
      <c r="GZ41" s="412"/>
      <c r="HA41" s="412"/>
      <c r="HB41" s="412"/>
      <c r="HC41" s="412"/>
      <c r="HD41" s="412"/>
      <c r="HE41" s="412"/>
      <c r="HF41" s="412"/>
      <c r="HG41" s="412"/>
      <c r="HH41" s="412"/>
      <c r="HI41" s="412"/>
      <c r="HJ41" s="412"/>
      <c r="HK41" s="412"/>
      <c r="HL41" s="412"/>
      <c r="HM41" s="412"/>
      <c r="HN41" s="412"/>
      <c r="HO41" s="412"/>
      <c r="HP41" s="412"/>
      <c r="HQ41" s="412"/>
      <c r="HR41" s="412"/>
      <c r="HS41" s="412"/>
      <c r="HT41" s="412"/>
      <c r="HU41" s="412"/>
      <c r="HV41" s="412"/>
      <c r="HW41" s="412"/>
      <c r="HX41" s="412"/>
      <c r="HY41" s="412"/>
      <c r="HZ41" s="412"/>
      <c r="IA41" s="412"/>
      <c r="IB41" s="412"/>
      <c r="IC41" s="412"/>
      <c r="ID41" s="412"/>
      <c r="IE41" s="412"/>
      <c r="IF41" s="412"/>
      <c r="IG41" s="412"/>
      <c r="IH41" s="412"/>
      <c r="II41" s="412"/>
      <c r="IJ41" s="412"/>
      <c r="IK41" s="412"/>
      <c r="IL41" s="412"/>
      <c r="IM41" s="412"/>
      <c r="IN41" s="412"/>
      <c r="IO41" s="412"/>
      <c r="IP41" s="412"/>
      <c r="IQ41" s="412"/>
      <c r="IR41" s="412"/>
      <c r="IS41" s="412"/>
      <c r="IT41" s="412"/>
      <c r="IU41" s="412"/>
      <c r="IV41" s="412"/>
      <c r="IW41" s="412"/>
      <c r="IX41" s="412"/>
      <c r="IY41" s="412"/>
      <c r="IZ41" s="412"/>
      <c r="JA41" s="412"/>
      <c r="JB41" s="412"/>
      <c r="JC41" s="412"/>
      <c r="JD41" s="412"/>
      <c r="JE41" s="412"/>
      <c r="JF41" s="412"/>
      <c r="JG41" s="412"/>
      <c r="JH41" s="412"/>
      <c r="JI41" s="412"/>
      <c r="JJ41" s="412"/>
      <c r="JK41" s="412"/>
      <c r="JL41" s="412"/>
      <c r="JM41" s="412"/>
      <c r="JN41" s="412"/>
      <c r="JO41" s="412"/>
      <c r="JP41" s="412"/>
      <c r="JQ41" s="412"/>
      <c r="JR41" s="412"/>
      <c r="JS41" s="412"/>
      <c r="JT41" s="412"/>
      <c r="JU41" s="412"/>
      <c r="JV41" s="412"/>
      <c r="JW41" s="412"/>
      <c r="JX41" s="412"/>
      <c r="JY41" s="412"/>
      <c r="JZ41" s="412"/>
      <c r="KA41" s="412"/>
      <c r="KB41" s="412"/>
      <c r="KC41" s="412"/>
      <c r="KD41" s="412"/>
      <c r="KE41" s="412"/>
      <c r="KF41" s="412"/>
      <c r="KG41" s="412"/>
      <c r="KH41" s="412"/>
      <c r="KI41" s="412"/>
      <c r="KJ41" s="412"/>
      <c r="KK41" s="412"/>
      <c r="KL41" s="412"/>
      <c r="KM41" s="412"/>
      <c r="KN41" s="412"/>
      <c r="KO41" s="412"/>
      <c r="KP41" s="412"/>
      <c r="KQ41" s="412"/>
      <c r="KR41" s="412"/>
      <c r="KS41" s="412"/>
      <c r="KT41" s="412"/>
      <c r="KU41" s="412"/>
      <c r="KV41" s="412"/>
      <c r="KW41" s="412"/>
      <c r="KX41" s="412"/>
      <c r="KY41" s="412"/>
      <c r="KZ41" s="412"/>
      <c r="LA41" s="412"/>
      <c r="LB41" s="412"/>
      <c r="LC41" s="412"/>
      <c r="LD41" s="412"/>
      <c r="LE41" s="412"/>
      <c r="LF41" s="412"/>
      <c r="LG41" s="412"/>
      <c r="LH41" s="412"/>
      <c r="LI41" s="412"/>
      <c r="LJ41" s="412"/>
      <c r="LK41" s="412"/>
      <c r="LL41" s="412"/>
      <c r="LM41" s="412"/>
      <c r="LN41" s="412"/>
      <c r="LO41" s="412"/>
      <c r="LP41" s="412"/>
      <c r="LQ41" s="412"/>
      <c r="LR41" s="412"/>
      <c r="LS41" s="412"/>
      <c r="LT41" s="412"/>
      <c r="LU41" s="412"/>
      <c r="LV41" s="412"/>
      <c r="LW41" s="412"/>
      <c r="LX41" s="412"/>
      <c r="LY41" s="412"/>
      <c r="LZ41" s="412"/>
      <c r="MA41" s="412"/>
      <c r="MB41" s="412"/>
      <c r="MC41" s="412"/>
      <c r="MD41" s="412"/>
      <c r="ME41" s="412"/>
      <c r="MF41" s="412"/>
      <c r="MG41" s="412"/>
      <c r="MH41" s="412"/>
      <c r="MI41" s="412"/>
      <c r="MJ41" s="412"/>
      <c r="MK41" s="412"/>
      <c r="ML41" s="412"/>
      <c r="MM41" s="412"/>
      <c r="MN41" s="412"/>
      <c r="MO41" s="412"/>
      <c r="MP41" s="412"/>
      <c r="MQ41" s="412"/>
      <c r="MR41" s="412"/>
      <c r="MS41" s="412"/>
      <c r="MT41" s="412"/>
      <c r="MU41" s="412"/>
      <c r="MV41" s="412"/>
      <c r="MW41" s="412"/>
      <c r="MX41" s="412"/>
      <c r="MY41" s="412"/>
      <c r="MZ41" s="412"/>
      <c r="NA41" s="412"/>
      <c r="NB41" s="412"/>
      <c r="NC41" s="412"/>
      <c r="ND41" s="412"/>
      <c r="NE41" s="412"/>
      <c r="NF41" s="412"/>
      <c r="NG41" s="412"/>
      <c r="NH41" s="412"/>
      <c r="NI41" s="412"/>
      <c r="NJ41" s="412"/>
      <c r="NK41" s="412"/>
      <c r="NL41" s="412"/>
      <c r="NM41" s="412"/>
      <c r="NN41" s="412"/>
      <c r="NO41" s="412"/>
      <c r="NP41" s="412"/>
      <c r="NQ41" s="412"/>
      <c r="NR41" s="412"/>
      <c r="NS41" s="412"/>
      <c r="NT41" s="412"/>
      <c r="NU41" s="412"/>
      <c r="NV41" s="412"/>
      <c r="NW41" s="412"/>
      <c r="NX41" s="412"/>
      <c r="NY41" s="412"/>
      <c r="NZ41" s="412"/>
      <c r="OA41" s="412"/>
      <c r="OB41" s="412"/>
      <c r="OC41" s="412"/>
      <c r="OD41" s="412"/>
      <c r="OE41" s="412"/>
      <c r="OF41" s="412"/>
      <c r="OG41" s="412"/>
      <c r="OH41" s="412"/>
      <c r="OI41" s="412"/>
      <c r="OJ41" s="412"/>
      <c r="OK41" s="412"/>
      <c r="OL41" s="412"/>
      <c r="OM41" s="412"/>
      <c r="ON41" s="412"/>
      <c r="OO41" s="412"/>
      <c r="OP41" s="412"/>
      <c r="OQ41" s="412"/>
      <c r="OR41" s="412"/>
      <c r="OS41" s="412"/>
      <c r="OT41" s="412"/>
      <c r="OU41" s="412"/>
      <c r="OV41" s="412"/>
      <c r="OW41" s="412"/>
      <c r="OX41" s="412"/>
      <c r="OY41" s="412"/>
      <c r="OZ41" s="412"/>
      <c r="PA41" s="412"/>
      <c r="PB41" s="412"/>
      <c r="PC41" s="412"/>
      <c r="PD41" s="412"/>
      <c r="PE41" s="412"/>
      <c r="PF41" s="412"/>
      <c r="PG41" s="412"/>
      <c r="PH41" s="412"/>
      <c r="PI41" s="412"/>
      <c r="PJ41" s="412"/>
      <c r="PK41" s="412"/>
      <c r="PL41" s="412"/>
      <c r="PM41" s="412"/>
      <c r="PN41" s="412"/>
      <c r="PO41" s="412"/>
      <c r="PP41" s="412"/>
      <c r="PQ41" s="412"/>
      <c r="PR41" s="412"/>
      <c r="PS41" s="412"/>
      <c r="PT41" s="412"/>
      <c r="PU41" s="412"/>
      <c r="PV41" s="412"/>
      <c r="PW41" s="412"/>
      <c r="PX41" s="412"/>
      <c r="PY41" s="412"/>
      <c r="PZ41" s="412"/>
      <c r="QA41" s="412"/>
      <c r="QB41" s="412"/>
      <c r="QC41" s="412"/>
      <c r="QD41" s="412"/>
      <c r="QE41" s="412"/>
      <c r="QF41" s="412"/>
      <c r="QG41" s="412"/>
      <c r="QH41" s="412"/>
      <c r="QI41" s="412"/>
      <c r="QJ41" s="412"/>
      <c r="QK41" s="412"/>
      <c r="QL41" s="412"/>
      <c r="QM41" s="412"/>
      <c r="QN41" s="412"/>
      <c r="QO41" s="412"/>
      <c r="QP41" s="412"/>
      <c r="QQ41" s="412"/>
      <c r="QR41" s="412"/>
      <c r="QS41" s="412"/>
      <c r="QT41" s="412"/>
      <c r="QU41" s="412"/>
      <c r="QV41" s="412"/>
      <c r="QW41" s="412"/>
      <c r="QX41" s="412"/>
      <c r="QY41" s="412"/>
      <c r="QZ41" s="412"/>
      <c r="RA41" s="412"/>
      <c r="RB41" s="412"/>
      <c r="RC41" s="412"/>
      <c r="RD41" s="412"/>
      <c r="RE41" s="412"/>
      <c r="RF41" s="412"/>
      <c r="RG41" s="412"/>
      <c r="RH41" s="412"/>
      <c r="RI41" s="412"/>
      <c r="RJ41" s="412"/>
      <c r="RK41" s="412"/>
      <c r="RL41" s="412"/>
      <c r="RM41" s="412"/>
      <c r="RN41" s="412"/>
      <c r="RO41" s="412"/>
      <c r="RP41" s="412"/>
      <c r="RQ41" s="412"/>
      <c r="RR41" s="412"/>
      <c r="RS41" s="412"/>
      <c r="RT41" s="412"/>
      <c r="RU41" s="412"/>
      <c r="RV41" s="412"/>
      <c r="RW41" s="412"/>
      <c r="RX41" s="412"/>
      <c r="RY41" s="412"/>
      <c r="RZ41" s="412"/>
      <c r="SA41" s="412"/>
      <c r="SB41" s="412"/>
      <c r="SC41" s="412"/>
      <c r="SD41" s="412"/>
      <c r="SE41" s="412"/>
      <c r="SF41" s="412"/>
      <c r="SG41" s="412"/>
      <c r="SH41" s="412"/>
      <c r="SI41" s="412"/>
      <c r="SJ41" s="412"/>
      <c r="SK41" s="412"/>
      <c r="SL41" s="412"/>
      <c r="SM41" s="412"/>
      <c r="SN41" s="412"/>
      <c r="SO41" s="412"/>
      <c r="SP41" s="412"/>
      <c r="SQ41" s="412"/>
      <c r="SR41" s="412"/>
      <c r="SS41" s="412"/>
      <c r="ST41" s="412"/>
      <c r="SU41" s="412"/>
      <c r="SV41" s="412"/>
      <c r="SW41" s="412"/>
      <c r="SX41" s="412"/>
      <c r="SY41" s="412"/>
      <c r="SZ41" s="412"/>
      <c r="TA41" s="412"/>
      <c r="TB41" s="412"/>
      <c r="TC41" s="412"/>
      <c r="TD41" s="412"/>
      <c r="TE41" s="412"/>
      <c r="TF41" s="412"/>
      <c r="TG41" s="412"/>
      <c r="TH41" s="412"/>
      <c r="TI41" s="412"/>
      <c r="TJ41" s="412"/>
      <c r="TK41" s="412"/>
      <c r="TL41" s="412"/>
      <c r="TM41" s="412"/>
      <c r="TN41" s="412"/>
      <c r="TO41" s="412"/>
      <c r="TP41" s="412"/>
      <c r="TQ41" s="412"/>
      <c r="TR41" s="412"/>
      <c r="TS41" s="412"/>
      <c r="TT41" s="412"/>
      <c r="TU41" s="412"/>
      <c r="TV41" s="412"/>
      <c r="TW41" s="412"/>
      <c r="TX41" s="412"/>
      <c r="TY41" s="412"/>
      <c r="TZ41" s="412"/>
      <c r="UA41" s="412"/>
      <c r="UB41" s="412"/>
      <c r="UC41" s="412"/>
      <c r="UD41" s="412"/>
      <c r="UE41" s="412"/>
      <c r="UF41" s="412"/>
      <c r="UG41" s="412"/>
      <c r="UH41" s="412"/>
      <c r="UI41" s="412"/>
      <c r="UJ41" s="412"/>
      <c r="UK41" s="412"/>
      <c r="UL41" s="412"/>
      <c r="UM41" s="412"/>
      <c r="UN41" s="412"/>
      <c r="UO41" s="412"/>
      <c r="UP41" s="412"/>
      <c r="UQ41" s="412"/>
      <c r="UR41" s="412"/>
      <c r="US41" s="412"/>
      <c r="UT41" s="412"/>
      <c r="UU41" s="412"/>
      <c r="UV41" s="412"/>
      <c r="UW41" s="412"/>
      <c r="UX41" s="412"/>
      <c r="UY41" s="412"/>
      <c r="UZ41" s="412"/>
      <c r="VA41" s="412"/>
      <c r="VB41" s="412"/>
      <c r="VC41" s="412"/>
      <c r="VD41" s="412"/>
      <c r="VE41" s="412"/>
      <c r="VF41" s="412"/>
      <c r="VG41" s="412"/>
      <c r="VH41" s="412"/>
      <c r="VI41" s="412"/>
      <c r="VJ41" s="412"/>
      <c r="VK41" s="412"/>
      <c r="VL41" s="412"/>
      <c r="VM41" s="412"/>
      <c r="VN41" s="412"/>
      <c r="VO41" s="412"/>
      <c r="VP41" s="412"/>
      <c r="VQ41" s="412"/>
      <c r="VR41" s="412"/>
      <c r="VS41" s="412"/>
      <c r="VT41" s="412"/>
      <c r="VU41" s="412"/>
      <c r="VV41" s="412"/>
      <c r="VW41" s="412"/>
      <c r="VX41" s="412"/>
      <c r="VY41" s="412"/>
      <c r="VZ41" s="412"/>
      <c r="WA41" s="412"/>
      <c r="WB41" s="412"/>
      <c r="WC41" s="412"/>
      <c r="WD41" s="412"/>
      <c r="WE41" s="412"/>
      <c r="WF41" s="412"/>
      <c r="WG41" s="412"/>
      <c r="WH41" s="412"/>
      <c r="WI41" s="412"/>
      <c r="WJ41" s="412"/>
      <c r="WK41" s="412"/>
      <c r="WL41" s="412"/>
      <c r="WM41" s="412"/>
      <c r="WN41" s="412"/>
      <c r="WO41" s="412"/>
      <c r="WP41" s="412"/>
      <c r="WQ41" s="412"/>
      <c r="WR41" s="412"/>
      <c r="WS41" s="412"/>
      <c r="WT41" s="412"/>
      <c r="WU41" s="412"/>
      <c r="WV41" s="412"/>
      <c r="WW41" s="412"/>
      <c r="WX41" s="412"/>
      <c r="WY41" s="412"/>
      <c r="WZ41" s="412"/>
      <c r="XA41" s="412"/>
      <c r="XB41" s="412"/>
      <c r="XC41" s="412"/>
      <c r="XD41" s="412"/>
      <c r="XE41" s="412"/>
      <c r="XF41" s="412"/>
      <c r="XG41" s="412"/>
      <c r="XH41" s="412"/>
      <c r="XI41" s="412"/>
      <c r="XJ41" s="412"/>
      <c r="XK41" s="412"/>
      <c r="XL41" s="412"/>
      <c r="XM41" s="412"/>
      <c r="XN41" s="412"/>
      <c r="XO41" s="412"/>
      <c r="XP41" s="412"/>
      <c r="XQ41" s="412"/>
      <c r="XR41" s="412"/>
      <c r="XS41" s="412"/>
      <c r="XT41" s="412"/>
      <c r="XU41" s="412"/>
      <c r="XV41" s="412"/>
      <c r="XW41" s="412"/>
      <c r="XX41" s="412"/>
      <c r="XY41" s="412"/>
      <c r="XZ41" s="412"/>
      <c r="YA41" s="412"/>
      <c r="YB41" s="412"/>
      <c r="YC41" s="412"/>
      <c r="YD41" s="412"/>
      <c r="YE41" s="412"/>
      <c r="YF41" s="412"/>
      <c r="YG41" s="412"/>
      <c r="YH41" s="412"/>
      <c r="YI41" s="412"/>
      <c r="YJ41" s="412"/>
      <c r="YK41" s="412"/>
      <c r="YL41" s="412"/>
      <c r="YM41" s="412"/>
      <c r="YN41" s="412"/>
      <c r="YO41" s="412"/>
      <c r="YP41" s="412"/>
      <c r="YQ41" s="412"/>
      <c r="YR41" s="412"/>
      <c r="YS41" s="412"/>
      <c r="YT41" s="412"/>
      <c r="YU41" s="412"/>
      <c r="YV41" s="412"/>
      <c r="YW41" s="412"/>
      <c r="YX41" s="412"/>
      <c r="YY41" s="412"/>
      <c r="YZ41" s="412"/>
      <c r="ZA41" s="412"/>
      <c r="ZB41" s="412"/>
      <c r="ZC41" s="412"/>
      <c r="ZD41" s="412"/>
      <c r="ZE41" s="412"/>
      <c r="ZF41" s="412"/>
      <c r="ZG41" s="412"/>
      <c r="ZH41" s="412"/>
      <c r="ZI41" s="412"/>
      <c r="ZJ41" s="412"/>
      <c r="ZK41" s="412"/>
      <c r="ZL41" s="412"/>
      <c r="ZM41" s="412"/>
      <c r="ZN41" s="412"/>
      <c r="ZO41" s="412"/>
      <c r="ZP41" s="412"/>
      <c r="ZQ41" s="412"/>
      <c r="ZR41" s="412"/>
      <c r="ZS41" s="412"/>
      <c r="ZT41" s="412"/>
      <c r="ZU41" s="412"/>
      <c r="ZV41" s="412"/>
      <c r="ZW41" s="412"/>
      <c r="ZX41" s="412"/>
      <c r="ZY41" s="412"/>
      <c r="ZZ41" s="412"/>
      <c r="AAA41" s="412"/>
      <c r="AAB41" s="412"/>
      <c r="AAC41" s="412"/>
      <c r="AAD41" s="412"/>
      <c r="AAE41" s="412"/>
      <c r="AAF41" s="412"/>
      <c r="AAG41" s="412"/>
      <c r="AAH41" s="412"/>
      <c r="AAI41" s="412"/>
      <c r="AAJ41" s="412"/>
      <c r="AAK41" s="412"/>
      <c r="AAL41" s="412"/>
      <c r="AAM41" s="412"/>
      <c r="AAN41" s="412"/>
      <c r="AAO41" s="412"/>
      <c r="AAP41" s="412"/>
      <c r="AAQ41" s="412"/>
      <c r="AAR41" s="412"/>
      <c r="AAS41" s="412"/>
      <c r="AAT41" s="412"/>
      <c r="AAU41" s="412"/>
      <c r="AAV41" s="412"/>
      <c r="AAW41" s="412"/>
      <c r="AAX41" s="412"/>
      <c r="AAY41" s="412"/>
      <c r="AAZ41" s="412"/>
      <c r="ABA41" s="412"/>
      <c r="ABB41" s="412"/>
      <c r="ABC41" s="412"/>
      <c r="ABD41" s="412"/>
      <c r="ABE41" s="412"/>
      <c r="ABF41" s="412"/>
      <c r="ABG41" s="412"/>
      <c r="ABH41" s="412"/>
      <c r="ABI41" s="412"/>
      <c r="ABJ41" s="412"/>
      <c r="ABK41" s="412"/>
      <c r="ABL41" s="412"/>
      <c r="ABM41" s="412"/>
      <c r="ABN41" s="412"/>
      <c r="ABO41" s="412"/>
      <c r="ABP41" s="412"/>
      <c r="ABQ41" s="412"/>
      <c r="ABR41" s="412"/>
      <c r="ABS41" s="412"/>
      <c r="ABT41" s="412"/>
      <c r="ABU41" s="412"/>
      <c r="ABV41" s="412"/>
      <c r="ABW41" s="412"/>
      <c r="ABX41" s="412"/>
      <c r="ABY41" s="412"/>
      <c r="ABZ41" s="412"/>
      <c r="ACA41" s="412"/>
      <c r="ACB41" s="412"/>
      <c r="ACC41" s="412"/>
      <c r="ACD41" s="412"/>
      <c r="ACE41" s="412"/>
      <c r="ACF41" s="412"/>
      <c r="ACG41" s="412"/>
      <c r="ACH41" s="412"/>
      <c r="ACI41" s="412"/>
      <c r="ACJ41" s="412"/>
      <c r="ACK41" s="412"/>
      <c r="ACL41" s="412"/>
      <c r="ACM41" s="412"/>
      <c r="ACN41" s="412"/>
      <c r="ACO41" s="412"/>
      <c r="ACP41" s="412"/>
      <c r="ACQ41" s="412"/>
      <c r="ACR41" s="412"/>
      <c r="ACS41" s="412"/>
      <c r="ACT41" s="412"/>
      <c r="ACU41" s="412"/>
      <c r="ACV41" s="412"/>
      <c r="ACW41" s="412"/>
      <c r="ACX41" s="412"/>
      <c r="ACY41" s="412"/>
      <c r="ACZ41" s="412"/>
      <c r="ADA41" s="412"/>
      <c r="ADB41" s="412"/>
      <c r="ADC41" s="412"/>
      <c r="ADD41" s="412"/>
      <c r="ADE41" s="412"/>
      <c r="ADF41" s="412"/>
      <c r="ADG41" s="412"/>
      <c r="ADH41" s="412"/>
      <c r="ADI41" s="412"/>
      <c r="ADJ41" s="412"/>
      <c r="ADK41" s="412"/>
      <c r="ADL41" s="412"/>
      <c r="ADM41" s="412"/>
      <c r="ADN41" s="412"/>
      <c r="ADO41" s="412"/>
      <c r="ADP41" s="412"/>
      <c r="ADQ41" s="412"/>
      <c r="ADR41" s="412"/>
      <c r="ADS41" s="412"/>
      <c r="ADT41" s="412"/>
      <c r="ADU41" s="412"/>
      <c r="ADV41" s="412"/>
      <c r="ADW41" s="412"/>
      <c r="ADX41" s="412"/>
      <c r="ADY41" s="412"/>
      <c r="ADZ41" s="412"/>
      <c r="AEA41" s="412"/>
      <c r="AEB41" s="412"/>
      <c r="AEC41" s="412"/>
      <c r="AED41" s="412"/>
      <c r="AEE41" s="412"/>
      <c r="AEF41" s="412"/>
      <c r="AEG41" s="412"/>
      <c r="AEH41" s="412"/>
      <c r="AEI41" s="412"/>
      <c r="AEJ41" s="412"/>
      <c r="AEK41" s="412"/>
      <c r="AEL41" s="412"/>
      <c r="AEM41" s="412"/>
      <c r="AEN41" s="412"/>
      <c r="AEO41" s="412"/>
      <c r="AEP41" s="412"/>
      <c r="AEQ41" s="412"/>
      <c r="AER41" s="412"/>
      <c r="AES41" s="412"/>
      <c r="AET41" s="412"/>
      <c r="AEU41" s="412"/>
      <c r="AEV41" s="412"/>
      <c r="AEW41" s="412"/>
      <c r="AEX41" s="412"/>
      <c r="AEY41" s="412"/>
      <c r="AEZ41" s="412"/>
      <c r="AFA41" s="412"/>
      <c r="AFB41" s="412"/>
      <c r="AFC41" s="412"/>
      <c r="AFD41" s="412"/>
      <c r="AFE41" s="412"/>
      <c r="AFF41" s="412"/>
      <c r="AFG41" s="412"/>
      <c r="AFH41" s="412"/>
      <c r="AFI41" s="412"/>
      <c r="AFJ41" s="412"/>
      <c r="AFK41" s="412"/>
      <c r="AFL41" s="412"/>
      <c r="AFM41" s="412"/>
      <c r="AFN41" s="412"/>
      <c r="AFO41" s="412"/>
      <c r="AFP41" s="412"/>
      <c r="AFQ41" s="412"/>
      <c r="AFR41" s="412"/>
      <c r="AFS41" s="412"/>
      <c r="AFT41" s="412"/>
      <c r="AFU41" s="412"/>
      <c r="AFV41" s="412"/>
      <c r="AFW41" s="412"/>
      <c r="AFX41" s="412"/>
      <c r="AFY41" s="412"/>
      <c r="AFZ41" s="412"/>
      <c r="AGA41" s="412"/>
      <c r="AGB41" s="412"/>
      <c r="AGC41" s="412"/>
      <c r="AGD41" s="412"/>
      <c r="AGE41" s="412"/>
      <c r="AGF41" s="412"/>
      <c r="AGG41" s="412"/>
      <c r="AGH41" s="412"/>
      <c r="AGI41" s="412"/>
      <c r="AGJ41" s="412"/>
      <c r="AGK41" s="412"/>
      <c r="AGL41" s="412"/>
      <c r="AGM41" s="412"/>
      <c r="AGN41" s="412"/>
      <c r="AGO41" s="412"/>
      <c r="AGP41" s="412"/>
      <c r="AGQ41" s="412"/>
      <c r="AGR41" s="412"/>
      <c r="AGS41" s="412"/>
      <c r="AGT41" s="412"/>
      <c r="AGU41" s="412"/>
      <c r="AGV41" s="412"/>
      <c r="AGW41" s="412"/>
      <c r="AGX41" s="412"/>
      <c r="AGY41" s="412"/>
      <c r="AGZ41" s="412"/>
      <c r="AHA41" s="412"/>
      <c r="AHB41" s="412"/>
      <c r="AHC41" s="412"/>
      <c r="AHD41" s="412"/>
      <c r="AHE41" s="412"/>
      <c r="AHF41" s="412"/>
      <c r="AHG41" s="412"/>
      <c r="AHH41" s="412"/>
      <c r="AHI41" s="412"/>
      <c r="AHJ41" s="412"/>
      <c r="AHK41" s="412"/>
      <c r="AHL41" s="412"/>
      <c r="AHM41" s="412"/>
      <c r="AHN41" s="412"/>
      <c r="AHO41" s="412"/>
      <c r="AHP41" s="412"/>
      <c r="AHQ41" s="412"/>
      <c r="AHR41" s="412"/>
      <c r="AHS41" s="412"/>
      <c r="AHT41" s="412"/>
      <c r="AHU41" s="412"/>
      <c r="AHV41" s="412"/>
      <c r="AHW41" s="412"/>
      <c r="AHX41" s="412"/>
      <c r="AHY41" s="412"/>
      <c r="AHZ41" s="412"/>
      <c r="AIA41" s="412"/>
      <c r="AIB41" s="412"/>
      <c r="AIC41" s="412"/>
      <c r="AID41" s="412"/>
      <c r="AIE41" s="412"/>
      <c r="AIF41" s="412"/>
      <c r="AIG41" s="412"/>
      <c r="AIH41" s="412"/>
      <c r="AII41" s="412"/>
      <c r="AIJ41" s="412"/>
      <c r="AIK41" s="412"/>
      <c r="AIL41" s="412"/>
      <c r="AIM41" s="412"/>
      <c r="AIN41" s="412"/>
      <c r="AIO41" s="412"/>
      <c r="AIP41" s="412"/>
      <c r="AIQ41" s="412"/>
      <c r="AIR41" s="412"/>
      <c r="AIS41" s="412"/>
      <c r="AIT41" s="412"/>
      <c r="AIU41" s="412"/>
      <c r="AIV41" s="412"/>
      <c r="AIW41" s="412"/>
      <c r="AIX41" s="412"/>
      <c r="AIY41" s="412"/>
      <c r="AIZ41" s="412"/>
      <c r="AJA41" s="412"/>
      <c r="AJB41" s="412"/>
      <c r="AJC41" s="412"/>
      <c r="AJD41" s="412"/>
      <c r="AJE41" s="412"/>
      <c r="AJF41" s="412"/>
      <c r="AJG41" s="412"/>
      <c r="AJH41" s="412"/>
      <c r="AJI41" s="412"/>
      <c r="AJJ41" s="412"/>
      <c r="AJK41" s="412"/>
      <c r="AJL41" s="412"/>
      <c r="AJM41" s="412"/>
      <c r="AJN41" s="412"/>
      <c r="AJO41" s="412"/>
      <c r="AJP41" s="412"/>
      <c r="AJQ41" s="412"/>
      <c r="AJR41" s="412"/>
      <c r="AJS41" s="412"/>
      <c r="AJT41" s="412"/>
      <c r="AJU41" s="412"/>
      <c r="AJV41" s="412"/>
      <c r="AJW41" s="412"/>
      <c r="AJX41" s="412"/>
      <c r="AJY41" s="412"/>
      <c r="AJZ41" s="412"/>
      <c r="AKA41" s="412"/>
      <c r="AKB41" s="412"/>
      <c r="AKC41" s="412"/>
      <c r="AKD41" s="412"/>
      <c r="AKE41" s="412"/>
      <c r="AKF41" s="412"/>
      <c r="AKG41" s="412"/>
      <c r="AKH41" s="412"/>
      <c r="AKI41" s="412"/>
      <c r="AKJ41" s="412"/>
      <c r="AKK41" s="412"/>
      <c r="AKL41" s="412"/>
      <c r="AKM41" s="412"/>
      <c r="AKN41" s="412"/>
      <c r="AKO41" s="412"/>
      <c r="AKP41" s="412"/>
      <c r="AKQ41" s="412"/>
      <c r="AKR41" s="412"/>
      <c r="AKS41" s="412"/>
      <c r="AKT41" s="412"/>
      <c r="AKU41" s="412"/>
      <c r="AKV41" s="412"/>
      <c r="AKW41" s="412"/>
      <c r="AKX41" s="412"/>
      <c r="AKY41" s="412"/>
      <c r="AKZ41" s="412"/>
      <c r="ALA41" s="412"/>
      <c r="ALB41" s="412"/>
      <c r="ALC41" s="412"/>
      <c r="ALD41" s="412"/>
      <c r="ALE41" s="412"/>
      <c r="ALF41" s="412"/>
      <c r="ALG41" s="412"/>
      <c r="ALH41" s="412"/>
      <c r="ALI41" s="412"/>
      <c r="ALJ41" s="412"/>
      <c r="ALK41" s="412"/>
      <c r="ALL41" s="412"/>
      <c r="ALM41" s="412"/>
      <c r="ALN41" s="412"/>
      <c r="ALO41" s="412"/>
      <c r="ALP41" s="412"/>
      <c r="ALQ41" s="412"/>
      <c r="ALR41" s="412"/>
      <c r="ALS41" s="412"/>
      <c r="ALT41" s="412"/>
      <c r="ALU41" s="412"/>
      <c r="ALV41" s="412"/>
      <c r="ALW41" s="412"/>
      <c r="ALX41" s="412"/>
      <c r="ALY41" s="412"/>
      <c r="ALZ41" s="412"/>
      <c r="AMA41" s="412"/>
      <c r="AMB41" s="412"/>
      <c r="AMC41" s="412"/>
      <c r="AMD41" s="412"/>
      <c r="AME41" s="412"/>
      <c r="AMF41" s="412"/>
      <c r="AMG41" s="412"/>
      <c r="AMH41" s="412"/>
      <c r="AMI41" s="412"/>
      <c r="AMJ41" s="412"/>
      <c r="AMK41" s="412"/>
      <c r="AML41" s="412"/>
      <c r="AMM41" s="412"/>
      <c r="AMN41" s="412"/>
      <c r="AMO41" s="412"/>
      <c r="AMP41" s="412"/>
      <c r="AMQ41" s="412"/>
      <c r="AMR41" s="412"/>
      <c r="AMS41" s="412"/>
      <c r="AMT41" s="412"/>
      <c r="AMU41" s="412"/>
      <c r="AMV41" s="412"/>
      <c r="AMW41" s="412"/>
      <c r="AMX41" s="412"/>
      <c r="AMY41" s="412"/>
      <c r="AMZ41" s="412"/>
      <c r="ANA41" s="412"/>
      <c r="ANB41" s="412"/>
      <c r="ANC41" s="412"/>
      <c r="AND41" s="412"/>
      <c r="ANE41" s="412"/>
      <c r="ANF41" s="412"/>
      <c r="ANG41" s="412"/>
      <c r="ANH41" s="412"/>
      <c r="ANI41" s="412"/>
      <c r="ANJ41" s="412"/>
      <c r="ANK41" s="412"/>
      <c r="ANL41" s="412"/>
      <c r="ANM41" s="412"/>
      <c r="ANN41" s="412"/>
      <c r="ANO41" s="412"/>
      <c r="ANP41" s="412"/>
      <c r="ANQ41" s="412"/>
      <c r="ANR41" s="412"/>
      <c r="ANS41" s="412"/>
      <c r="ANT41" s="412"/>
      <c r="ANU41" s="412"/>
      <c r="ANV41" s="412"/>
      <c r="ANW41" s="412"/>
      <c r="ANX41" s="412"/>
      <c r="ANY41" s="412"/>
      <c r="ANZ41" s="412"/>
      <c r="AOA41" s="412"/>
      <c r="AOB41" s="412"/>
      <c r="AOC41" s="412"/>
      <c r="AOD41" s="412"/>
      <c r="AOE41" s="412"/>
      <c r="AOF41" s="412"/>
      <c r="AOG41" s="412"/>
      <c r="AOH41" s="412"/>
      <c r="AOI41" s="412"/>
      <c r="AOJ41" s="412"/>
      <c r="AOK41" s="412"/>
      <c r="AOL41" s="412"/>
      <c r="AOM41" s="412"/>
      <c r="AON41" s="412"/>
      <c r="AOO41" s="412"/>
      <c r="AOP41" s="412"/>
      <c r="AOQ41" s="412"/>
      <c r="AOR41" s="412"/>
      <c r="AOS41" s="412"/>
      <c r="AOT41" s="412"/>
      <c r="AOU41" s="412"/>
      <c r="AOV41" s="412"/>
      <c r="AOW41" s="412"/>
      <c r="AOX41" s="412"/>
      <c r="AOY41" s="412"/>
      <c r="AOZ41" s="412"/>
      <c r="APA41" s="412"/>
      <c r="APB41" s="412"/>
      <c r="APC41" s="412"/>
      <c r="APD41" s="412"/>
      <c r="APE41" s="412"/>
      <c r="APF41" s="412"/>
      <c r="APG41" s="412"/>
      <c r="APH41" s="412"/>
      <c r="API41" s="412"/>
      <c r="APJ41" s="412"/>
      <c r="APK41" s="412"/>
      <c r="APL41" s="412"/>
      <c r="APM41" s="412"/>
      <c r="APN41" s="412"/>
      <c r="APO41" s="412"/>
      <c r="APP41" s="412"/>
      <c r="APQ41" s="412"/>
      <c r="APR41" s="412"/>
      <c r="APS41" s="412"/>
      <c r="APT41" s="412"/>
      <c r="APU41" s="412"/>
      <c r="APV41" s="412"/>
      <c r="APW41" s="412"/>
      <c r="APX41" s="412"/>
      <c r="APY41" s="412"/>
      <c r="APZ41" s="412"/>
      <c r="AQA41" s="412"/>
      <c r="AQB41" s="412"/>
      <c r="AQC41" s="412"/>
      <c r="AQD41" s="412"/>
      <c r="AQE41" s="412"/>
      <c r="AQF41" s="412"/>
      <c r="AQG41" s="412"/>
      <c r="AQH41" s="412"/>
      <c r="AQI41" s="412"/>
      <c r="AQJ41" s="412"/>
      <c r="AQK41" s="412"/>
      <c r="AQL41" s="412"/>
      <c r="AQM41" s="412"/>
      <c r="AQN41" s="412"/>
      <c r="AQO41" s="412"/>
      <c r="AQP41" s="412"/>
      <c r="AQQ41" s="412"/>
      <c r="AQR41" s="412"/>
      <c r="AQS41" s="412"/>
      <c r="AQT41" s="412"/>
      <c r="AQU41" s="412"/>
      <c r="AQV41" s="412"/>
      <c r="AQW41" s="412"/>
      <c r="AQX41" s="412"/>
      <c r="AQY41" s="412"/>
      <c r="AQZ41" s="412"/>
      <c r="ARA41" s="412"/>
      <c r="ARB41" s="412"/>
      <c r="ARC41" s="412"/>
      <c r="ARD41" s="412"/>
      <c r="ARE41" s="412"/>
      <c r="ARF41" s="412"/>
      <c r="ARG41" s="412"/>
      <c r="ARH41" s="412"/>
      <c r="ARI41" s="412"/>
      <c r="ARJ41" s="412"/>
      <c r="ARK41" s="412"/>
      <c r="ARL41" s="412"/>
      <c r="ARM41" s="412"/>
      <c r="ARN41" s="412"/>
      <c r="ARO41" s="412"/>
      <c r="ARP41" s="412"/>
      <c r="ARQ41" s="412"/>
      <c r="ARR41" s="412"/>
      <c r="ARS41" s="412"/>
      <c r="ART41" s="412"/>
      <c r="ARU41" s="412"/>
      <c r="ARV41" s="412"/>
      <c r="ARW41" s="412"/>
      <c r="ARX41" s="412"/>
      <c r="ARY41" s="412"/>
      <c r="ARZ41" s="412"/>
      <c r="ASA41" s="412"/>
      <c r="ASB41" s="412"/>
      <c r="ASC41" s="412"/>
      <c r="ASD41" s="412"/>
      <c r="ASE41" s="412"/>
      <c r="ASF41" s="412"/>
      <c r="ASG41" s="412"/>
      <c r="ASH41" s="412"/>
      <c r="ASI41" s="412"/>
      <c r="ASJ41" s="412"/>
      <c r="ASK41" s="412"/>
      <c r="ASL41" s="412"/>
      <c r="ASM41" s="412"/>
      <c r="ASN41" s="412"/>
      <c r="ASO41" s="412"/>
      <c r="ASP41" s="412"/>
      <c r="ASQ41" s="412"/>
      <c r="ASR41" s="412"/>
      <c r="ASS41" s="412"/>
      <c r="AST41" s="412"/>
      <c r="ASU41" s="412"/>
      <c r="ASV41" s="412"/>
      <c r="ASW41" s="412"/>
      <c r="ASX41" s="412"/>
      <c r="ASY41" s="412"/>
      <c r="ASZ41" s="412"/>
      <c r="ATA41" s="412"/>
      <c r="ATB41" s="412"/>
      <c r="ATC41" s="412"/>
      <c r="ATD41" s="412"/>
      <c r="ATE41" s="412"/>
      <c r="ATF41" s="412"/>
      <c r="ATG41" s="412"/>
      <c r="ATH41" s="412"/>
      <c r="ATI41" s="412"/>
      <c r="ATJ41" s="412"/>
      <c r="ATK41" s="412"/>
      <c r="ATL41" s="412"/>
      <c r="ATM41" s="412"/>
      <c r="ATN41" s="412"/>
      <c r="ATO41" s="412"/>
      <c r="ATP41" s="412"/>
      <c r="ATQ41" s="412"/>
      <c r="ATR41" s="412"/>
      <c r="ATS41" s="412"/>
      <c r="ATT41" s="412"/>
      <c r="ATU41" s="412"/>
      <c r="ATV41" s="412"/>
      <c r="ATW41" s="412"/>
      <c r="ATX41" s="412"/>
      <c r="ATY41" s="412"/>
      <c r="ATZ41" s="412"/>
      <c r="AUA41" s="412"/>
      <c r="AUB41" s="412"/>
      <c r="AUC41" s="412"/>
      <c r="AUD41" s="412"/>
      <c r="AUE41" s="412"/>
      <c r="AUF41" s="412"/>
      <c r="AUG41" s="412"/>
      <c r="AUH41" s="412"/>
      <c r="AUI41" s="412"/>
      <c r="AUJ41" s="412"/>
      <c r="AUK41" s="412"/>
      <c r="AUL41" s="412"/>
      <c r="AUM41" s="412"/>
      <c r="AUN41" s="412"/>
      <c r="AUO41" s="412"/>
      <c r="AUP41" s="412"/>
      <c r="AUQ41" s="412"/>
      <c r="AUR41" s="412"/>
      <c r="AUS41" s="412"/>
      <c r="AUT41" s="412"/>
      <c r="AUU41" s="412"/>
      <c r="AUV41" s="412"/>
      <c r="AUW41" s="412"/>
      <c r="AUX41" s="412"/>
      <c r="AUY41" s="412"/>
      <c r="AUZ41" s="412"/>
      <c r="AVA41" s="412"/>
      <c r="AVB41" s="412"/>
      <c r="AVC41" s="412"/>
      <c r="AVD41" s="412"/>
      <c r="AVE41" s="412"/>
      <c r="AVF41" s="412"/>
      <c r="AVG41" s="412"/>
      <c r="AVH41" s="412"/>
      <c r="AVI41" s="412"/>
      <c r="AVJ41" s="412"/>
      <c r="AVK41" s="412"/>
      <c r="AVL41" s="412"/>
      <c r="AVM41" s="412"/>
      <c r="AVN41" s="412"/>
      <c r="AVO41" s="412"/>
      <c r="AVP41" s="412"/>
      <c r="AVQ41" s="412"/>
      <c r="AVR41" s="412"/>
      <c r="AVS41" s="412"/>
      <c r="AVT41" s="412"/>
      <c r="AVU41" s="412"/>
      <c r="AVV41" s="412"/>
      <c r="AVW41" s="412"/>
      <c r="AVX41" s="412"/>
      <c r="AVY41" s="412"/>
      <c r="AVZ41" s="412"/>
      <c r="AWA41" s="412"/>
      <c r="AWB41" s="412"/>
      <c r="AWC41" s="412"/>
      <c r="AWD41" s="412"/>
      <c r="AWE41" s="412"/>
      <c r="AWF41" s="412"/>
      <c r="AWG41" s="412"/>
      <c r="AWH41" s="412"/>
      <c r="AWI41" s="412"/>
      <c r="AWJ41" s="412"/>
      <c r="AWK41" s="412"/>
      <c r="AWL41" s="412"/>
      <c r="AWM41" s="412"/>
      <c r="AWN41" s="412"/>
      <c r="AWO41" s="412"/>
      <c r="AWP41" s="412"/>
      <c r="AWQ41" s="412"/>
      <c r="AWR41" s="412"/>
      <c r="AWS41" s="412"/>
      <c r="AWT41" s="412"/>
      <c r="AWU41" s="412"/>
      <c r="AWV41" s="412"/>
      <c r="AWW41" s="412"/>
      <c r="AWX41" s="412"/>
      <c r="AWY41" s="412"/>
      <c r="AWZ41" s="412"/>
      <c r="AXA41" s="412"/>
      <c r="AXB41" s="412"/>
      <c r="AXC41" s="412"/>
      <c r="AXD41" s="412"/>
      <c r="AXE41" s="412"/>
      <c r="AXF41" s="412"/>
      <c r="AXG41" s="412"/>
      <c r="AXH41" s="412"/>
      <c r="AXI41" s="412"/>
      <c r="AXJ41" s="412"/>
      <c r="AXK41" s="412"/>
      <c r="AXL41" s="412"/>
      <c r="AXM41" s="412"/>
      <c r="AXN41" s="412"/>
      <c r="AXO41" s="412"/>
      <c r="AXP41" s="412"/>
      <c r="AXQ41" s="412"/>
      <c r="AXR41" s="412"/>
      <c r="AXS41" s="412"/>
      <c r="AXT41" s="412"/>
      <c r="AXU41" s="412"/>
      <c r="AXV41" s="412"/>
      <c r="AXW41" s="412"/>
      <c r="AXX41" s="412"/>
      <c r="AXY41" s="412"/>
      <c r="AXZ41" s="412"/>
      <c r="AYA41" s="412"/>
      <c r="AYB41" s="412"/>
      <c r="AYC41" s="412"/>
      <c r="AYD41" s="412"/>
      <c r="AYE41" s="412"/>
      <c r="AYF41" s="412"/>
      <c r="AYG41" s="412"/>
      <c r="AYH41" s="412"/>
      <c r="AYI41" s="412"/>
      <c r="AYJ41" s="412"/>
      <c r="AYK41" s="412"/>
      <c r="AYL41" s="412"/>
      <c r="AYM41" s="412"/>
      <c r="AYN41" s="412"/>
      <c r="AYO41" s="412"/>
      <c r="AYP41" s="412"/>
      <c r="AYQ41" s="412"/>
      <c r="AYR41" s="412"/>
      <c r="AYS41" s="412"/>
      <c r="AYT41" s="412"/>
      <c r="AYU41" s="412"/>
      <c r="AYV41" s="412"/>
      <c r="AYW41" s="412"/>
      <c r="AYX41" s="412"/>
      <c r="AYY41" s="412"/>
      <c r="AYZ41" s="412"/>
      <c r="AZA41" s="412"/>
      <c r="AZB41" s="412"/>
      <c r="AZC41" s="412"/>
      <c r="AZD41" s="412"/>
      <c r="AZE41" s="412"/>
      <c r="AZF41" s="412"/>
      <c r="AZG41" s="412"/>
      <c r="AZH41" s="412"/>
      <c r="AZI41" s="412"/>
      <c r="AZJ41" s="412"/>
      <c r="AZK41" s="412"/>
      <c r="AZL41" s="412"/>
      <c r="AZM41" s="412"/>
      <c r="AZN41" s="412"/>
      <c r="AZO41" s="412"/>
      <c r="AZP41" s="412"/>
      <c r="AZQ41" s="412"/>
      <c r="AZR41" s="412"/>
      <c r="AZS41" s="412"/>
      <c r="AZT41" s="412"/>
      <c r="AZU41" s="412"/>
      <c r="AZV41" s="412"/>
      <c r="AZW41" s="412"/>
      <c r="AZX41" s="412"/>
      <c r="AZY41" s="412"/>
      <c r="AZZ41" s="412"/>
      <c r="BAA41" s="412"/>
      <c r="BAB41" s="412"/>
      <c r="BAC41" s="412"/>
      <c r="BAD41" s="412"/>
      <c r="BAE41" s="412"/>
      <c r="BAF41" s="412"/>
      <c r="BAG41" s="412"/>
      <c r="BAH41" s="412"/>
      <c r="BAI41" s="412"/>
      <c r="BAJ41" s="412"/>
      <c r="BAK41" s="412"/>
      <c r="BAL41" s="412"/>
      <c r="BAM41" s="412"/>
      <c r="BAN41" s="412"/>
      <c r="BAO41" s="412"/>
      <c r="BAP41" s="412"/>
      <c r="BAQ41" s="412"/>
      <c r="BAR41" s="412"/>
      <c r="BAS41" s="412"/>
      <c r="BAT41" s="412"/>
      <c r="BAU41" s="412"/>
      <c r="BAV41" s="412"/>
      <c r="BAW41" s="412"/>
      <c r="BAX41" s="412"/>
      <c r="BAY41" s="412"/>
      <c r="BAZ41" s="412"/>
      <c r="BBA41" s="412"/>
      <c r="BBB41" s="412"/>
      <c r="BBC41" s="412"/>
      <c r="BBD41" s="412"/>
      <c r="BBE41" s="412"/>
      <c r="BBF41" s="412"/>
      <c r="BBG41" s="412"/>
      <c r="BBH41" s="412"/>
      <c r="BBI41" s="412"/>
      <c r="BBJ41" s="412"/>
      <c r="BBK41" s="412"/>
      <c r="BBL41" s="412"/>
      <c r="BBM41" s="412"/>
      <c r="BBN41" s="412"/>
      <c r="BBO41" s="412"/>
      <c r="BBP41" s="412"/>
      <c r="BBQ41" s="412"/>
      <c r="BBR41" s="412"/>
      <c r="BBS41" s="412"/>
      <c r="BBT41" s="412"/>
      <c r="BBU41" s="412"/>
      <c r="BBV41" s="412"/>
      <c r="BBW41" s="412"/>
      <c r="BBX41" s="412"/>
      <c r="BBY41" s="412"/>
      <c r="BBZ41" s="412"/>
      <c r="BCA41" s="412"/>
      <c r="BCB41" s="412"/>
      <c r="BCC41" s="412"/>
      <c r="BCD41" s="412"/>
      <c r="BCE41" s="412"/>
      <c r="BCF41" s="412"/>
      <c r="BCG41" s="412"/>
      <c r="BCH41" s="412"/>
      <c r="BCI41" s="412"/>
      <c r="BCJ41" s="412"/>
      <c r="BCK41" s="412"/>
      <c r="BCL41" s="412"/>
      <c r="BCM41" s="412"/>
      <c r="BCN41" s="412"/>
      <c r="BCO41" s="412"/>
      <c r="BCP41" s="412"/>
      <c r="BCQ41" s="412"/>
      <c r="BCR41" s="412"/>
      <c r="BCS41" s="412"/>
      <c r="BCT41" s="412"/>
      <c r="BCU41" s="412"/>
      <c r="BCV41" s="412"/>
      <c r="BCW41" s="412"/>
      <c r="BCX41" s="412"/>
      <c r="BCY41" s="412"/>
      <c r="BCZ41" s="412"/>
      <c r="BDA41" s="412"/>
      <c r="BDB41" s="412"/>
      <c r="BDC41" s="412"/>
      <c r="BDD41" s="412"/>
      <c r="BDE41" s="412"/>
      <c r="BDF41" s="412"/>
      <c r="BDG41" s="412"/>
      <c r="BDH41" s="412"/>
      <c r="BDI41" s="412"/>
      <c r="BDJ41" s="412"/>
      <c r="BDK41" s="412"/>
      <c r="BDL41" s="412"/>
      <c r="BDM41" s="412"/>
      <c r="BDN41" s="412"/>
      <c r="BDO41" s="412"/>
      <c r="BDP41" s="412"/>
      <c r="BDQ41" s="412"/>
      <c r="BDR41" s="412"/>
      <c r="BDS41" s="412"/>
      <c r="BDT41" s="412"/>
      <c r="BDU41" s="412"/>
      <c r="BDV41" s="412"/>
      <c r="BDW41" s="412"/>
      <c r="BDX41" s="412"/>
      <c r="BDY41" s="412"/>
      <c r="BDZ41" s="412"/>
      <c r="BEA41" s="412"/>
      <c r="BEB41" s="412"/>
      <c r="BEC41" s="412"/>
      <c r="BED41" s="412"/>
      <c r="BEE41" s="412"/>
      <c r="BEF41" s="412"/>
      <c r="BEG41" s="412"/>
      <c r="BEH41" s="412"/>
      <c r="BEI41" s="412"/>
      <c r="BEJ41" s="412"/>
      <c r="BEK41" s="412"/>
      <c r="BEL41" s="412"/>
      <c r="BEM41" s="412"/>
      <c r="BEN41" s="412"/>
      <c r="BEO41" s="412"/>
      <c r="BEP41" s="412"/>
      <c r="BEQ41" s="412"/>
      <c r="BER41" s="412"/>
      <c r="BES41" s="412"/>
      <c r="BET41" s="412"/>
      <c r="BEU41" s="412"/>
      <c r="BEV41" s="412"/>
      <c r="BEW41" s="412"/>
      <c r="BEX41" s="412"/>
      <c r="BEY41" s="412"/>
      <c r="BEZ41" s="412"/>
      <c r="BFA41" s="412"/>
      <c r="BFB41" s="412"/>
      <c r="BFC41" s="412"/>
      <c r="BFD41" s="412"/>
      <c r="BFE41" s="412"/>
      <c r="BFF41" s="412"/>
      <c r="BFG41" s="412"/>
      <c r="BFH41" s="412"/>
      <c r="BFI41" s="412"/>
      <c r="BFJ41" s="412"/>
      <c r="BFK41" s="412"/>
      <c r="BFL41" s="412"/>
      <c r="BFM41" s="412"/>
      <c r="BFN41" s="412"/>
      <c r="BFO41" s="412"/>
      <c r="BFP41" s="412"/>
      <c r="BFQ41" s="412"/>
      <c r="BFR41" s="412"/>
      <c r="BFS41" s="412"/>
      <c r="BFT41" s="412"/>
      <c r="BFU41" s="412"/>
      <c r="BFV41" s="412"/>
      <c r="BFW41" s="412"/>
      <c r="BFX41" s="412"/>
      <c r="BFY41" s="412"/>
      <c r="BFZ41" s="412"/>
      <c r="BGA41" s="412"/>
      <c r="BGB41" s="412"/>
      <c r="BGC41" s="412"/>
      <c r="BGD41" s="412"/>
      <c r="BGE41" s="412"/>
      <c r="BGF41" s="412"/>
      <c r="BGG41" s="412"/>
      <c r="BGH41" s="412"/>
      <c r="BGI41" s="412"/>
      <c r="BGJ41" s="412"/>
      <c r="BGK41" s="412"/>
      <c r="BGL41" s="412"/>
      <c r="BGM41" s="412"/>
      <c r="BGN41" s="412"/>
      <c r="BGO41" s="412"/>
      <c r="BGP41" s="412"/>
      <c r="BGQ41" s="412"/>
      <c r="BGR41" s="412"/>
      <c r="BGS41" s="412"/>
      <c r="BGT41" s="412"/>
      <c r="BGU41" s="412"/>
      <c r="BGV41" s="412"/>
      <c r="BGW41" s="412"/>
      <c r="BGX41" s="412"/>
      <c r="BGY41" s="412"/>
      <c r="BGZ41" s="412"/>
      <c r="BHA41" s="412"/>
      <c r="BHB41" s="412"/>
      <c r="BHC41" s="412"/>
      <c r="BHD41" s="412"/>
      <c r="BHE41" s="412"/>
      <c r="BHF41" s="412"/>
      <c r="BHG41" s="412"/>
      <c r="BHH41" s="412"/>
      <c r="BHI41" s="412"/>
      <c r="BHJ41" s="412"/>
      <c r="BHK41" s="412"/>
      <c r="BHL41" s="412"/>
      <c r="BHM41" s="412"/>
      <c r="BHN41" s="412"/>
      <c r="BHO41" s="412"/>
      <c r="BHP41" s="412"/>
      <c r="BHQ41" s="412"/>
      <c r="BHR41" s="412"/>
      <c r="BHS41" s="412"/>
      <c r="BHT41" s="412"/>
      <c r="BHU41" s="412"/>
      <c r="BHV41" s="412"/>
      <c r="BHW41" s="412"/>
      <c r="BHX41" s="412"/>
      <c r="BHY41" s="412"/>
      <c r="BHZ41" s="412"/>
      <c r="BIA41" s="412"/>
      <c r="BIB41" s="412"/>
      <c r="BIC41" s="412"/>
      <c r="BID41" s="412"/>
      <c r="BIE41" s="412"/>
      <c r="BIF41" s="412"/>
      <c r="BIG41" s="412"/>
      <c r="BIH41" s="412"/>
      <c r="BII41" s="412"/>
      <c r="BIJ41" s="412"/>
      <c r="BIK41" s="412"/>
      <c r="BIL41" s="412"/>
      <c r="BIM41" s="412"/>
      <c r="BIN41" s="412"/>
      <c r="BIO41" s="412"/>
      <c r="BIP41" s="412"/>
      <c r="BIQ41" s="412"/>
      <c r="BIR41" s="412"/>
      <c r="BIS41" s="412"/>
      <c r="BIT41" s="412"/>
      <c r="BIU41" s="412"/>
      <c r="BIV41" s="412"/>
      <c r="BIW41" s="412"/>
      <c r="BIX41" s="412"/>
      <c r="BIY41" s="412"/>
      <c r="BIZ41" s="412"/>
      <c r="BJA41" s="412"/>
      <c r="BJB41" s="412"/>
      <c r="BJC41" s="412"/>
      <c r="BJD41" s="412"/>
      <c r="BJE41" s="412"/>
      <c r="BJF41" s="412"/>
      <c r="BJG41" s="412"/>
      <c r="BJH41" s="412"/>
      <c r="BJI41" s="412"/>
      <c r="BJJ41" s="412"/>
      <c r="BJK41" s="412"/>
      <c r="BJL41" s="412"/>
      <c r="BJM41" s="412"/>
      <c r="BJN41" s="412"/>
      <c r="BJO41" s="412"/>
      <c r="BJP41" s="412"/>
      <c r="BJQ41" s="412"/>
      <c r="BJR41" s="412"/>
      <c r="BJS41" s="412"/>
      <c r="BJT41" s="412"/>
      <c r="BJU41" s="412"/>
      <c r="BJV41" s="412"/>
      <c r="BJW41" s="412"/>
      <c r="BJX41" s="412"/>
      <c r="BJY41" s="412"/>
      <c r="BJZ41" s="412"/>
      <c r="BKA41" s="412"/>
      <c r="BKB41" s="412"/>
      <c r="BKC41" s="412"/>
      <c r="BKD41" s="412"/>
      <c r="BKE41" s="412"/>
      <c r="BKF41" s="412"/>
      <c r="BKG41" s="412"/>
      <c r="BKH41" s="412"/>
      <c r="BKI41" s="412"/>
      <c r="BKJ41" s="412"/>
      <c r="BKK41" s="412"/>
      <c r="BKL41" s="412"/>
      <c r="BKM41" s="412"/>
      <c r="BKN41" s="412"/>
      <c r="BKO41" s="412"/>
      <c r="BKP41" s="412"/>
      <c r="BKQ41" s="412"/>
      <c r="BKR41" s="412"/>
      <c r="BKS41" s="412"/>
      <c r="BKT41" s="412"/>
      <c r="BKU41" s="412"/>
      <c r="BKV41" s="412"/>
      <c r="BKW41" s="412"/>
      <c r="BKX41" s="412"/>
      <c r="BKY41" s="412"/>
      <c r="BKZ41" s="412"/>
      <c r="BLA41" s="412"/>
      <c r="BLB41" s="412"/>
      <c r="BLC41" s="412"/>
      <c r="BLD41" s="412"/>
      <c r="BLE41" s="412"/>
      <c r="BLF41" s="412"/>
      <c r="BLG41" s="412"/>
      <c r="BLH41" s="412"/>
      <c r="BLI41" s="412"/>
      <c r="BLJ41" s="412"/>
      <c r="BLK41" s="412"/>
      <c r="BLL41" s="412"/>
      <c r="BLM41" s="412"/>
      <c r="BLN41" s="412"/>
      <c r="BLO41" s="412"/>
      <c r="BLP41" s="412"/>
      <c r="BLQ41" s="412"/>
      <c r="BLR41" s="412"/>
      <c r="BLS41" s="412"/>
      <c r="BLT41" s="412"/>
      <c r="BLU41" s="412"/>
      <c r="BLV41" s="412"/>
      <c r="BLW41" s="412"/>
      <c r="BLX41" s="412"/>
      <c r="BLY41" s="412"/>
      <c r="BLZ41" s="412"/>
      <c r="BMA41" s="412"/>
      <c r="BMB41" s="412"/>
      <c r="BMC41" s="412"/>
      <c r="BMD41" s="412"/>
      <c r="BME41" s="412"/>
      <c r="BMF41" s="412"/>
      <c r="BMG41" s="412"/>
      <c r="BMH41" s="412"/>
      <c r="BMI41" s="412"/>
      <c r="BMJ41" s="412"/>
      <c r="BMK41" s="412"/>
      <c r="BML41" s="412"/>
      <c r="BMM41" s="412"/>
      <c r="BMN41" s="412"/>
      <c r="BMO41" s="412"/>
      <c r="BMP41" s="412"/>
      <c r="BMQ41" s="412"/>
      <c r="BMR41" s="412"/>
      <c r="BMS41" s="412"/>
      <c r="BMT41" s="412"/>
      <c r="BMU41" s="412"/>
      <c r="BMV41" s="412"/>
      <c r="BMW41" s="412"/>
      <c r="BMX41" s="412"/>
      <c r="BMY41" s="412"/>
      <c r="BMZ41" s="412"/>
      <c r="BNA41" s="412"/>
      <c r="BNB41" s="412"/>
      <c r="BNC41" s="412"/>
      <c r="BND41" s="412"/>
      <c r="BNE41" s="412"/>
      <c r="BNF41" s="412"/>
      <c r="BNG41" s="412"/>
      <c r="BNH41" s="412"/>
      <c r="BNI41" s="412"/>
      <c r="BNJ41" s="412"/>
      <c r="BNK41" s="412"/>
      <c r="BNL41" s="412"/>
      <c r="BNM41" s="412"/>
      <c r="BNN41" s="412"/>
      <c r="BNO41" s="412"/>
      <c r="BNP41" s="412"/>
      <c r="BNQ41" s="412"/>
      <c r="BNR41" s="412"/>
      <c r="BNS41" s="412"/>
      <c r="BNT41" s="412"/>
      <c r="BNU41" s="412"/>
      <c r="BNV41" s="412"/>
      <c r="BNW41" s="412"/>
      <c r="BNX41" s="412"/>
      <c r="BNY41" s="412"/>
      <c r="BNZ41" s="412"/>
      <c r="BOA41" s="412"/>
      <c r="BOB41" s="412"/>
      <c r="BOC41" s="412"/>
      <c r="BOD41" s="412"/>
      <c r="BOE41" s="412"/>
      <c r="BOF41" s="412"/>
      <c r="BOG41" s="412"/>
      <c r="BOH41" s="412"/>
      <c r="BOI41" s="412"/>
      <c r="BOJ41" s="412"/>
      <c r="BOK41" s="412"/>
      <c r="BOL41" s="412"/>
      <c r="BOM41" s="412"/>
      <c r="BON41" s="412"/>
      <c r="BOO41" s="412"/>
      <c r="BOP41" s="412"/>
      <c r="BOQ41" s="412"/>
      <c r="BOR41" s="412"/>
      <c r="BOS41" s="412"/>
      <c r="BOT41" s="412"/>
      <c r="BOU41" s="412"/>
      <c r="BOV41" s="412"/>
      <c r="BOW41" s="412"/>
      <c r="BOX41" s="412"/>
      <c r="BOY41" s="412"/>
      <c r="BOZ41" s="412"/>
      <c r="BPA41" s="412"/>
      <c r="BPB41" s="412"/>
      <c r="BPC41" s="412"/>
      <c r="BPD41" s="412"/>
      <c r="BPE41" s="412"/>
      <c r="BPF41" s="412"/>
      <c r="BPG41" s="412"/>
      <c r="BPH41" s="412"/>
      <c r="BPI41" s="412"/>
      <c r="BPJ41" s="412"/>
      <c r="BPK41" s="412"/>
      <c r="BPL41" s="412"/>
      <c r="BPM41" s="412"/>
      <c r="BPN41" s="412"/>
      <c r="BPO41" s="412"/>
      <c r="BPP41" s="412"/>
      <c r="BPQ41" s="412"/>
      <c r="BPR41" s="412"/>
      <c r="BPS41" s="412"/>
      <c r="BPT41" s="412"/>
      <c r="BPU41" s="412"/>
      <c r="BPV41" s="412"/>
      <c r="BPW41" s="412"/>
      <c r="BPX41" s="412"/>
      <c r="BPY41" s="412"/>
      <c r="BPZ41" s="412"/>
      <c r="BQA41" s="412"/>
      <c r="BQB41" s="412"/>
      <c r="BQC41" s="412"/>
      <c r="BQD41" s="412"/>
      <c r="BQE41" s="412"/>
      <c r="BQF41" s="412"/>
      <c r="BQG41" s="412"/>
      <c r="BQH41" s="412"/>
      <c r="BQI41" s="412"/>
      <c r="BQJ41" s="412"/>
      <c r="BQK41" s="412"/>
      <c r="BQL41" s="412"/>
      <c r="BQM41" s="412"/>
      <c r="BQN41" s="412"/>
      <c r="BQO41" s="412"/>
      <c r="BQP41" s="412"/>
      <c r="BQQ41" s="412"/>
      <c r="BQR41" s="412"/>
      <c r="BQS41" s="412"/>
      <c r="BQT41" s="412"/>
      <c r="BQU41" s="412"/>
      <c r="BQV41" s="412"/>
      <c r="BQW41" s="412"/>
      <c r="BQX41" s="412"/>
      <c r="BQY41" s="412"/>
      <c r="BQZ41" s="412"/>
      <c r="BRA41" s="412"/>
      <c r="BRB41" s="412"/>
      <c r="BRC41" s="412"/>
      <c r="BRD41" s="412"/>
      <c r="BRE41" s="412"/>
      <c r="BRF41" s="412"/>
      <c r="BRG41" s="412"/>
      <c r="BRH41" s="412"/>
      <c r="BRI41" s="412"/>
      <c r="BRJ41" s="412"/>
      <c r="BRK41" s="412"/>
      <c r="BRL41" s="412"/>
      <c r="BRM41" s="412"/>
      <c r="BRN41" s="412"/>
      <c r="BRO41" s="412"/>
      <c r="BRP41" s="412"/>
      <c r="BRQ41" s="412"/>
      <c r="BRR41" s="412"/>
      <c r="BRS41" s="412"/>
      <c r="BRT41" s="412"/>
      <c r="BRU41" s="412"/>
      <c r="BRV41" s="412"/>
      <c r="BRW41" s="412"/>
      <c r="BRX41" s="412"/>
      <c r="BRY41" s="412"/>
      <c r="BRZ41" s="412"/>
      <c r="BSA41" s="412"/>
      <c r="BSB41" s="412"/>
      <c r="BSC41" s="412"/>
      <c r="BSD41" s="412"/>
      <c r="BSE41" s="412"/>
      <c r="BSF41" s="412"/>
      <c r="BSG41" s="412"/>
      <c r="BSH41" s="412"/>
      <c r="BSI41" s="412"/>
      <c r="BSJ41" s="412"/>
      <c r="BSK41" s="412"/>
      <c r="BSL41" s="412"/>
      <c r="BSM41" s="412"/>
      <c r="BSN41" s="412"/>
      <c r="BSO41" s="412"/>
      <c r="BSP41" s="412"/>
      <c r="BSQ41" s="412"/>
      <c r="BSR41" s="412"/>
      <c r="BSS41" s="412"/>
      <c r="BST41" s="412"/>
      <c r="BSU41" s="412"/>
      <c r="BSV41" s="412"/>
      <c r="BSW41" s="412"/>
      <c r="BSX41" s="412"/>
      <c r="BSY41" s="412"/>
      <c r="BSZ41" s="412"/>
      <c r="BTA41" s="412"/>
      <c r="BTB41" s="412"/>
      <c r="BTC41" s="412"/>
      <c r="BTD41" s="412"/>
      <c r="BTE41" s="412"/>
      <c r="BTF41" s="412"/>
      <c r="BTG41" s="412"/>
      <c r="BTH41" s="412"/>
      <c r="BTI41" s="412"/>
    </row>
    <row r="42" spans="1:1881" s="4" customFormat="1" ht="71.25" customHeight="1" thickBot="1" x14ac:dyDescent="0.3">
      <c r="A42" s="189">
        <v>591</v>
      </c>
      <c r="B42" s="340" t="s">
        <v>705</v>
      </c>
      <c r="C42" s="185" t="s">
        <v>706</v>
      </c>
      <c r="D42" s="176" t="s">
        <v>707</v>
      </c>
      <c r="E42" s="32" t="e">
        <f>HLOOKUP($D$2,'2019 Data(H)'!$C$1:$CG$300,252,FALSE)</f>
        <v>#N/A</v>
      </c>
      <c r="F42" s="606"/>
      <c r="G42" s="413">
        <f>IF(F42&lt;0,"Error: Enter as positive.",)</f>
        <v>0</v>
      </c>
      <c r="H42" s="150"/>
      <c r="J42" s="368"/>
      <c r="K42" s="412"/>
      <c r="L42" s="865" t="s">
        <v>1140</v>
      </c>
      <c r="M42" s="633"/>
      <c r="N42" s="656"/>
      <c r="O42" s="412"/>
      <c r="P42" s="412"/>
      <c r="Q42" s="412"/>
      <c r="R42" s="412"/>
      <c r="S42" s="412"/>
      <c r="T42" s="412"/>
      <c r="U42" s="412"/>
      <c r="V42" s="412"/>
      <c r="W42" s="412"/>
      <c r="X42" s="412"/>
      <c r="Y42" s="412"/>
      <c r="Z42" s="412"/>
      <c r="AA42" s="412"/>
      <c r="AB42" s="412"/>
      <c r="AC42" s="412"/>
      <c r="AD42" s="412"/>
      <c r="AE42" s="412"/>
      <c r="AF42" s="412"/>
      <c r="AG42" s="412"/>
      <c r="AH42" s="412"/>
      <c r="AI42" s="412"/>
      <c r="AJ42" s="412"/>
      <c r="AK42" s="412"/>
      <c r="AL42" s="412"/>
      <c r="AM42" s="412"/>
      <c r="AN42" s="412"/>
      <c r="AO42" s="412"/>
      <c r="AP42" s="412"/>
      <c r="AQ42" s="412"/>
      <c r="AR42" s="412"/>
      <c r="AS42" s="412"/>
      <c r="AT42" s="412"/>
      <c r="AU42" s="412"/>
      <c r="AV42" s="412"/>
      <c r="AW42" s="412"/>
      <c r="AX42" s="412"/>
      <c r="AY42" s="412"/>
      <c r="AZ42" s="412"/>
      <c r="BA42" s="412"/>
      <c r="BB42" s="412"/>
      <c r="BC42" s="412"/>
      <c r="BD42" s="412"/>
      <c r="BE42" s="412"/>
      <c r="BF42" s="412"/>
      <c r="BG42" s="412"/>
      <c r="BH42" s="412"/>
      <c r="BI42" s="412"/>
      <c r="BJ42" s="412"/>
      <c r="BK42" s="412"/>
      <c r="BL42" s="412"/>
      <c r="BM42" s="412"/>
      <c r="BN42" s="412"/>
      <c r="BO42" s="412"/>
      <c r="BP42" s="412"/>
      <c r="BQ42" s="412"/>
      <c r="BR42" s="412"/>
      <c r="BS42" s="412"/>
      <c r="BT42" s="412"/>
      <c r="BU42" s="412"/>
      <c r="BV42" s="412"/>
      <c r="BW42" s="412"/>
      <c r="BX42" s="412"/>
      <c r="BY42" s="412"/>
      <c r="BZ42" s="412"/>
      <c r="CA42" s="412"/>
      <c r="CB42" s="412"/>
      <c r="CC42" s="412"/>
      <c r="CD42" s="412"/>
      <c r="CE42" s="412"/>
      <c r="CF42" s="412"/>
      <c r="CG42" s="412"/>
      <c r="CH42" s="412"/>
      <c r="CI42" s="412"/>
      <c r="CJ42" s="412"/>
      <c r="CK42" s="412"/>
      <c r="CL42" s="412"/>
      <c r="CM42" s="412"/>
      <c r="CN42" s="412"/>
      <c r="CO42" s="412"/>
      <c r="CP42" s="412"/>
      <c r="CQ42" s="412"/>
      <c r="CR42" s="412"/>
      <c r="CS42" s="412"/>
      <c r="CT42" s="412"/>
      <c r="CU42" s="412"/>
      <c r="CV42" s="412"/>
      <c r="CW42" s="412"/>
      <c r="CX42" s="412"/>
      <c r="CY42" s="412"/>
      <c r="CZ42" s="412"/>
      <c r="DA42" s="412"/>
      <c r="DB42" s="412"/>
      <c r="DC42" s="412"/>
      <c r="DD42" s="412"/>
      <c r="DE42" s="412"/>
      <c r="DF42" s="412"/>
      <c r="DG42" s="412"/>
      <c r="DH42" s="412"/>
      <c r="DI42" s="412"/>
      <c r="DJ42" s="412"/>
      <c r="DK42" s="412"/>
      <c r="DL42" s="412"/>
      <c r="DM42" s="412"/>
      <c r="DN42" s="412"/>
      <c r="DO42" s="412"/>
      <c r="DP42" s="412"/>
      <c r="DQ42" s="412"/>
      <c r="DR42" s="412"/>
      <c r="DS42" s="412"/>
      <c r="DT42" s="412"/>
      <c r="DU42" s="412"/>
      <c r="DV42" s="412"/>
      <c r="DW42" s="412"/>
      <c r="DX42" s="412"/>
      <c r="DY42" s="412"/>
      <c r="DZ42" s="412"/>
      <c r="EA42" s="412"/>
      <c r="EB42" s="412"/>
      <c r="EC42" s="412"/>
      <c r="ED42" s="412"/>
      <c r="EE42" s="412"/>
      <c r="EF42" s="412"/>
      <c r="EG42" s="412"/>
      <c r="EH42" s="412"/>
      <c r="EI42" s="412"/>
      <c r="EJ42" s="412"/>
      <c r="EK42" s="412"/>
      <c r="EL42" s="412"/>
      <c r="EM42" s="412"/>
      <c r="EN42" s="412"/>
      <c r="EO42" s="412"/>
      <c r="EP42" s="412"/>
      <c r="EQ42" s="412"/>
      <c r="ER42" s="412"/>
      <c r="ES42" s="412"/>
      <c r="ET42" s="412"/>
      <c r="EU42" s="412"/>
      <c r="EV42" s="412"/>
      <c r="EW42" s="412"/>
      <c r="EX42" s="412"/>
      <c r="EY42" s="412"/>
      <c r="EZ42" s="412"/>
      <c r="FA42" s="412"/>
      <c r="FB42" s="412"/>
      <c r="FC42" s="412"/>
      <c r="FD42" s="412"/>
      <c r="FE42" s="412"/>
      <c r="FF42" s="412"/>
      <c r="FG42" s="412"/>
      <c r="FH42" s="412"/>
      <c r="FI42" s="412"/>
      <c r="FJ42" s="412"/>
      <c r="FK42" s="412"/>
      <c r="FL42" s="412"/>
      <c r="FM42" s="412"/>
      <c r="FN42" s="412"/>
      <c r="FO42" s="412"/>
      <c r="FP42" s="412"/>
      <c r="FQ42" s="412"/>
      <c r="FR42" s="412"/>
      <c r="FS42" s="412"/>
      <c r="FT42" s="412"/>
      <c r="FU42" s="412"/>
      <c r="FV42" s="412"/>
      <c r="FW42" s="412"/>
      <c r="FX42" s="412"/>
      <c r="FY42" s="412"/>
      <c r="FZ42" s="412"/>
      <c r="GA42" s="412"/>
      <c r="GB42" s="412"/>
      <c r="GC42" s="412"/>
      <c r="GD42" s="412"/>
      <c r="GE42" s="412"/>
      <c r="GF42" s="412"/>
      <c r="GG42" s="412"/>
      <c r="GH42" s="412"/>
      <c r="GI42" s="412"/>
      <c r="GJ42" s="412"/>
      <c r="GK42" s="412"/>
      <c r="GL42" s="412"/>
      <c r="GM42" s="412"/>
      <c r="GN42" s="412"/>
      <c r="GO42" s="412"/>
      <c r="GP42" s="412"/>
      <c r="GQ42" s="412"/>
      <c r="GR42" s="412"/>
      <c r="GS42" s="412"/>
      <c r="GT42" s="412"/>
      <c r="GU42" s="412"/>
      <c r="GV42" s="412"/>
      <c r="GW42" s="412"/>
      <c r="GX42" s="412"/>
      <c r="GY42" s="412"/>
      <c r="GZ42" s="412"/>
      <c r="HA42" s="412"/>
      <c r="HB42" s="412"/>
      <c r="HC42" s="412"/>
      <c r="HD42" s="412"/>
      <c r="HE42" s="412"/>
      <c r="HF42" s="412"/>
      <c r="HG42" s="412"/>
      <c r="HH42" s="412"/>
      <c r="HI42" s="412"/>
      <c r="HJ42" s="412"/>
      <c r="HK42" s="412"/>
      <c r="HL42" s="412"/>
      <c r="HM42" s="412"/>
      <c r="HN42" s="412"/>
      <c r="HO42" s="412"/>
      <c r="HP42" s="412"/>
      <c r="HQ42" s="412"/>
      <c r="HR42" s="412"/>
      <c r="HS42" s="412"/>
      <c r="HT42" s="412"/>
      <c r="HU42" s="412"/>
      <c r="HV42" s="412"/>
      <c r="HW42" s="412"/>
      <c r="HX42" s="412"/>
      <c r="HY42" s="412"/>
      <c r="HZ42" s="412"/>
      <c r="IA42" s="412"/>
      <c r="IB42" s="412"/>
      <c r="IC42" s="412"/>
      <c r="ID42" s="412"/>
      <c r="IE42" s="412"/>
      <c r="IF42" s="412"/>
      <c r="IG42" s="412"/>
      <c r="IH42" s="412"/>
      <c r="II42" s="412"/>
      <c r="IJ42" s="412"/>
      <c r="IK42" s="412"/>
      <c r="IL42" s="412"/>
      <c r="IM42" s="412"/>
      <c r="IN42" s="412"/>
      <c r="IO42" s="412"/>
      <c r="IP42" s="412"/>
      <c r="IQ42" s="412"/>
      <c r="IR42" s="412"/>
      <c r="IS42" s="412"/>
      <c r="IT42" s="412"/>
      <c r="IU42" s="412"/>
      <c r="IV42" s="412"/>
      <c r="IW42" s="412"/>
      <c r="IX42" s="412"/>
      <c r="IY42" s="412"/>
      <c r="IZ42" s="412"/>
      <c r="JA42" s="412"/>
      <c r="JB42" s="412"/>
      <c r="JC42" s="412"/>
      <c r="JD42" s="412"/>
      <c r="JE42" s="412"/>
      <c r="JF42" s="412"/>
      <c r="JG42" s="412"/>
      <c r="JH42" s="412"/>
      <c r="JI42" s="412"/>
      <c r="JJ42" s="412"/>
      <c r="JK42" s="412"/>
      <c r="JL42" s="412"/>
      <c r="JM42" s="412"/>
      <c r="JN42" s="412"/>
      <c r="JO42" s="412"/>
      <c r="JP42" s="412"/>
      <c r="JQ42" s="412"/>
      <c r="JR42" s="412"/>
      <c r="JS42" s="412"/>
      <c r="JT42" s="412"/>
      <c r="JU42" s="412"/>
      <c r="JV42" s="412"/>
      <c r="JW42" s="412"/>
      <c r="JX42" s="412"/>
      <c r="JY42" s="412"/>
      <c r="JZ42" s="412"/>
      <c r="KA42" s="412"/>
      <c r="KB42" s="412"/>
      <c r="KC42" s="412"/>
      <c r="KD42" s="412"/>
      <c r="KE42" s="412"/>
      <c r="KF42" s="412"/>
      <c r="KG42" s="412"/>
      <c r="KH42" s="412"/>
      <c r="KI42" s="412"/>
      <c r="KJ42" s="412"/>
      <c r="KK42" s="412"/>
      <c r="KL42" s="412"/>
      <c r="KM42" s="412"/>
      <c r="KN42" s="412"/>
      <c r="KO42" s="412"/>
      <c r="KP42" s="412"/>
      <c r="KQ42" s="412"/>
      <c r="KR42" s="412"/>
      <c r="KS42" s="412"/>
      <c r="KT42" s="412"/>
      <c r="KU42" s="412"/>
      <c r="KV42" s="412"/>
      <c r="KW42" s="412"/>
      <c r="KX42" s="412"/>
      <c r="KY42" s="412"/>
      <c r="KZ42" s="412"/>
      <c r="LA42" s="412"/>
      <c r="LB42" s="412"/>
      <c r="LC42" s="412"/>
      <c r="LD42" s="412"/>
      <c r="LE42" s="412"/>
      <c r="LF42" s="412"/>
      <c r="LG42" s="412"/>
      <c r="LH42" s="412"/>
      <c r="LI42" s="412"/>
      <c r="LJ42" s="412"/>
      <c r="LK42" s="412"/>
      <c r="LL42" s="412"/>
      <c r="LM42" s="412"/>
      <c r="LN42" s="412"/>
      <c r="LO42" s="412"/>
      <c r="LP42" s="412"/>
      <c r="LQ42" s="412"/>
      <c r="LR42" s="412"/>
      <c r="LS42" s="412"/>
      <c r="LT42" s="412"/>
      <c r="LU42" s="412"/>
      <c r="LV42" s="412"/>
      <c r="LW42" s="412"/>
      <c r="LX42" s="412"/>
      <c r="LY42" s="412"/>
      <c r="LZ42" s="412"/>
      <c r="MA42" s="412"/>
      <c r="MB42" s="412"/>
      <c r="MC42" s="412"/>
      <c r="MD42" s="412"/>
      <c r="ME42" s="412"/>
      <c r="MF42" s="412"/>
      <c r="MG42" s="412"/>
      <c r="MH42" s="412"/>
      <c r="MI42" s="412"/>
      <c r="MJ42" s="412"/>
      <c r="MK42" s="412"/>
      <c r="ML42" s="412"/>
      <c r="MM42" s="412"/>
      <c r="MN42" s="412"/>
      <c r="MO42" s="412"/>
      <c r="MP42" s="412"/>
      <c r="MQ42" s="412"/>
      <c r="MR42" s="412"/>
      <c r="MS42" s="412"/>
      <c r="MT42" s="412"/>
      <c r="MU42" s="412"/>
      <c r="MV42" s="412"/>
      <c r="MW42" s="412"/>
      <c r="MX42" s="412"/>
      <c r="MY42" s="412"/>
      <c r="MZ42" s="412"/>
      <c r="NA42" s="412"/>
      <c r="NB42" s="412"/>
      <c r="NC42" s="412"/>
      <c r="ND42" s="412"/>
      <c r="NE42" s="412"/>
      <c r="NF42" s="412"/>
      <c r="NG42" s="412"/>
      <c r="NH42" s="412"/>
      <c r="NI42" s="412"/>
      <c r="NJ42" s="412"/>
      <c r="NK42" s="412"/>
      <c r="NL42" s="412"/>
      <c r="NM42" s="412"/>
      <c r="NN42" s="412"/>
      <c r="NO42" s="412"/>
      <c r="NP42" s="412"/>
      <c r="NQ42" s="412"/>
      <c r="NR42" s="412"/>
      <c r="NS42" s="412"/>
      <c r="NT42" s="412"/>
      <c r="NU42" s="412"/>
      <c r="NV42" s="412"/>
      <c r="NW42" s="412"/>
      <c r="NX42" s="412"/>
      <c r="NY42" s="412"/>
      <c r="NZ42" s="412"/>
      <c r="OA42" s="412"/>
      <c r="OB42" s="412"/>
      <c r="OC42" s="412"/>
      <c r="OD42" s="412"/>
      <c r="OE42" s="412"/>
      <c r="OF42" s="412"/>
      <c r="OG42" s="412"/>
      <c r="OH42" s="412"/>
      <c r="OI42" s="412"/>
      <c r="OJ42" s="412"/>
      <c r="OK42" s="412"/>
      <c r="OL42" s="412"/>
      <c r="OM42" s="412"/>
      <c r="ON42" s="412"/>
      <c r="OO42" s="412"/>
      <c r="OP42" s="412"/>
      <c r="OQ42" s="412"/>
      <c r="OR42" s="412"/>
      <c r="OS42" s="412"/>
      <c r="OT42" s="412"/>
      <c r="OU42" s="412"/>
      <c r="OV42" s="412"/>
      <c r="OW42" s="412"/>
      <c r="OX42" s="412"/>
      <c r="OY42" s="412"/>
      <c r="OZ42" s="412"/>
      <c r="PA42" s="412"/>
      <c r="PB42" s="412"/>
      <c r="PC42" s="412"/>
      <c r="PD42" s="412"/>
      <c r="PE42" s="412"/>
      <c r="PF42" s="412"/>
      <c r="PG42" s="412"/>
      <c r="PH42" s="412"/>
      <c r="PI42" s="412"/>
      <c r="PJ42" s="412"/>
      <c r="PK42" s="412"/>
      <c r="PL42" s="412"/>
      <c r="PM42" s="412"/>
      <c r="PN42" s="412"/>
      <c r="PO42" s="412"/>
      <c r="PP42" s="412"/>
      <c r="PQ42" s="412"/>
      <c r="PR42" s="412"/>
      <c r="PS42" s="412"/>
      <c r="PT42" s="412"/>
      <c r="PU42" s="412"/>
      <c r="PV42" s="412"/>
      <c r="PW42" s="412"/>
      <c r="PX42" s="412"/>
      <c r="PY42" s="412"/>
      <c r="PZ42" s="412"/>
      <c r="QA42" s="412"/>
      <c r="QB42" s="412"/>
      <c r="QC42" s="412"/>
      <c r="QD42" s="412"/>
      <c r="QE42" s="412"/>
      <c r="QF42" s="412"/>
      <c r="QG42" s="412"/>
      <c r="QH42" s="412"/>
      <c r="QI42" s="412"/>
      <c r="QJ42" s="412"/>
      <c r="QK42" s="412"/>
      <c r="QL42" s="412"/>
      <c r="QM42" s="412"/>
      <c r="QN42" s="412"/>
      <c r="QO42" s="412"/>
      <c r="QP42" s="412"/>
      <c r="QQ42" s="412"/>
      <c r="QR42" s="412"/>
      <c r="QS42" s="412"/>
      <c r="QT42" s="412"/>
      <c r="QU42" s="412"/>
      <c r="QV42" s="412"/>
      <c r="QW42" s="412"/>
      <c r="QX42" s="412"/>
      <c r="QY42" s="412"/>
      <c r="QZ42" s="412"/>
      <c r="RA42" s="412"/>
      <c r="RB42" s="412"/>
      <c r="RC42" s="412"/>
      <c r="RD42" s="412"/>
      <c r="RE42" s="412"/>
      <c r="RF42" s="412"/>
      <c r="RG42" s="412"/>
      <c r="RH42" s="412"/>
      <c r="RI42" s="412"/>
      <c r="RJ42" s="412"/>
      <c r="RK42" s="412"/>
      <c r="RL42" s="412"/>
      <c r="RM42" s="412"/>
      <c r="RN42" s="412"/>
      <c r="RO42" s="412"/>
      <c r="RP42" s="412"/>
      <c r="RQ42" s="412"/>
      <c r="RR42" s="412"/>
      <c r="RS42" s="412"/>
      <c r="RT42" s="412"/>
      <c r="RU42" s="412"/>
      <c r="RV42" s="412"/>
      <c r="RW42" s="412"/>
      <c r="RX42" s="412"/>
      <c r="RY42" s="412"/>
      <c r="RZ42" s="412"/>
      <c r="SA42" s="412"/>
      <c r="SB42" s="412"/>
      <c r="SC42" s="412"/>
      <c r="SD42" s="412"/>
      <c r="SE42" s="412"/>
      <c r="SF42" s="412"/>
      <c r="SG42" s="412"/>
      <c r="SH42" s="412"/>
      <c r="SI42" s="412"/>
      <c r="SJ42" s="412"/>
      <c r="SK42" s="412"/>
      <c r="SL42" s="412"/>
      <c r="SM42" s="412"/>
      <c r="SN42" s="412"/>
      <c r="SO42" s="412"/>
      <c r="SP42" s="412"/>
      <c r="SQ42" s="412"/>
      <c r="SR42" s="412"/>
      <c r="SS42" s="412"/>
      <c r="ST42" s="412"/>
      <c r="SU42" s="412"/>
      <c r="SV42" s="412"/>
      <c r="SW42" s="412"/>
      <c r="SX42" s="412"/>
      <c r="SY42" s="412"/>
      <c r="SZ42" s="412"/>
      <c r="TA42" s="412"/>
      <c r="TB42" s="412"/>
      <c r="TC42" s="412"/>
      <c r="TD42" s="412"/>
      <c r="TE42" s="412"/>
      <c r="TF42" s="412"/>
      <c r="TG42" s="412"/>
      <c r="TH42" s="412"/>
      <c r="TI42" s="412"/>
      <c r="TJ42" s="412"/>
      <c r="TK42" s="412"/>
      <c r="TL42" s="412"/>
      <c r="TM42" s="412"/>
      <c r="TN42" s="412"/>
      <c r="TO42" s="412"/>
      <c r="TP42" s="412"/>
      <c r="TQ42" s="412"/>
      <c r="TR42" s="412"/>
      <c r="TS42" s="412"/>
      <c r="TT42" s="412"/>
      <c r="TU42" s="412"/>
      <c r="TV42" s="412"/>
      <c r="TW42" s="412"/>
      <c r="TX42" s="412"/>
      <c r="TY42" s="412"/>
      <c r="TZ42" s="412"/>
      <c r="UA42" s="412"/>
      <c r="UB42" s="412"/>
      <c r="UC42" s="412"/>
      <c r="UD42" s="412"/>
      <c r="UE42" s="412"/>
      <c r="UF42" s="412"/>
      <c r="UG42" s="412"/>
      <c r="UH42" s="412"/>
      <c r="UI42" s="412"/>
      <c r="UJ42" s="412"/>
      <c r="UK42" s="412"/>
      <c r="UL42" s="412"/>
      <c r="UM42" s="412"/>
      <c r="UN42" s="412"/>
      <c r="UO42" s="412"/>
      <c r="UP42" s="412"/>
      <c r="UQ42" s="412"/>
      <c r="UR42" s="412"/>
      <c r="US42" s="412"/>
      <c r="UT42" s="412"/>
      <c r="UU42" s="412"/>
      <c r="UV42" s="412"/>
      <c r="UW42" s="412"/>
      <c r="UX42" s="412"/>
      <c r="UY42" s="412"/>
      <c r="UZ42" s="412"/>
      <c r="VA42" s="412"/>
      <c r="VB42" s="412"/>
      <c r="VC42" s="412"/>
      <c r="VD42" s="412"/>
      <c r="VE42" s="412"/>
      <c r="VF42" s="412"/>
      <c r="VG42" s="412"/>
      <c r="VH42" s="412"/>
      <c r="VI42" s="412"/>
      <c r="VJ42" s="412"/>
      <c r="VK42" s="412"/>
      <c r="VL42" s="412"/>
      <c r="VM42" s="412"/>
      <c r="VN42" s="412"/>
      <c r="VO42" s="412"/>
      <c r="VP42" s="412"/>
      <c r="VQ42" s="412"/>
      <c r="VR42" s="412"/>
      <c r="VS42" s="412"/>
      <c r="VT42" s="412"/>
      <c r="VU42" s="412"/>
      <c r="VV42" s="412"/>
      <c r="VW42" s="412"/>
      <c r="VX42" s="412"/>
      <c r="VY42" s="412"/>
      <c r="VZ42" s="412"/>
      <c r="WA42" s="412"/>
      <c r="WB42" s="412"/>
      <c r="WC42" s="412"/>
      <c r="WD42" s="412"/>
      <c r="WE42" s="412"/>
      <c r="WF42" s="412"/>
      <c r="WG42" s="412"/>
      <c r="WH42" s="412"/>
      <c r="WI42" s="412"/>
      <c r="WJ42" s="412"/>
      <c r="WK42" s="412"/>
      <c r="WL42" s="412"/>
      <c r="WM42" s="412"/>
      <c r="WN42" s="412"/>
      <c r="WO42" s="412"/>
      <c r="WP42" s="412"/>
      <c r="WQ42" s="412"/>
      <c r="WR42" s="412"/>
      <c r="WS42" s="412"/>
      <c r="WT42" s="412"/>
      <c r="WU42" s="412"/>
      <c r="WV42" s="412"/>
      <c r="WW42" s="412"/>
      <c r="WX42" s="412"/>
      <c r="WY42" s="412"/>
      <c r="WZ42" s="412"/>
      <c r="XA42" s="412"/>
      <c r="XB42" s="412"/>
      <c r="XC42" s="412"/>
      <c r="XD42" s="412"/>
      <c r="XE42" s="412"/>
      <c r="XF42" s="412"/>
      <c r="XG42" s="412"/>
      <c r="XH42" s="412"/>
      <c r="XI42" s="412"/>
      <c r="XJ42" s="412"/>
      <c r="XK42" s="412"/>
      <c r="XL42" s="412"/>
      <c r="XM42" s="412"/>
      <c r="XN42" s="412"/>
      <c r="XO42" s="412"/>
      <c r="XP42" s="412"/>
      <c r="XQ42" s="412"/>
      <c r="XR42" s="412"/>
      <c r="XS42" s="412"/>
      <c r="XT42" s="412"/>
      <c r="XU42" s="412"/>
      <c r="XV42" s="412"/>
      <c r="XW42" s="412"/>
      <c r="XX42" s="412"/>
      <c r="XY42" s="412"/>
      <c r="XZ42" s="412"/>
      <c r="YA42" s="412"/>
      <c r="YB42" s="412"/>
      <c r="YC42" s="412"/>
      <c r="YD42" s="412"/>
      <c r="YE42" s="412"/>
      <c r="YF42" s="412"/>
      <c r="YG42" s="412"/>
      <c r="YH42" s="412"/>
      <c r="YI42" s="412"/>
      <c r="YJ42" s="412"/>
      <c r="YK42" s="412"/>
      <c r="YL42" s="412"/>
      <c r="YM42" s="412"/>
      <c r="YN42" s="412"/>
      <c r="YO42" s="412"/>
      <c r="YP42" s="412"/>
      <c r="YQ42" s="412"/>
      <c r="YR42" s="412"/>
      <c r="YS42" s="412"/>
      <c r="YT42" s="412"/>
      <c r="YU42" s="412"/>
      <c r="YV42" s="412"/>
      <c r="YW42" s="412"/>
      <c r="YX42" s="412"/>
      <c r="YY42" s="412"/>
      <c r="YZ42" s="412"/>
      <c r="ZA42" s="412"/>
      <c r="ZB42" s="412"/>
      <c r="ZC42" s="412"/>
      <c r="ZD42" s="412"/>
      <c r="ZE42" s="412"/>
      <c r="ZF42" s="412"/>
      <c r="ZG42" s="412"/>
      <c r="ZH42" s="412"/>
      <c r="ZI42" s="412"/>
      <c r="ZJ42" s="412"/>
      <c r="ZK42" s="412"/>
      <c r="ZL42" s="412"/>
      <c r="ZM42" s="412"/>
      <c r="ZN42" s="412"/>
      <c r="ZO42" s="412"/>
      <c r="ZP42" s="412"/>
      <c r="ZQ42" s="412"/>
      <c r="ZR42" s="412"/>
      <c r="ZS42" s="412"/>
      <c r="ZT42" s="412"/>
      <c r="ZU42" s="412"/>
      <c r="ZV42" s="412"/>
      <c r="ZW42" s="412"/>
      <c r="ZX42" s="412"/>
      <c r="ZY42" s="412"/>
      <c r="ZZ42" s="412"/>
      <c r="AAA42" s="412"/>
      <c r="AAB42" s="412"/>
      <c r="AAC42" s="412"/>
      <c r="AAD42" s="412"/>
      <c r="AAE42" s="412"/>
      <c r="AAF42" s="412"/>
      <c r="AAG42" s="412"/>
      <c r="AAH42" s="412"/>
      <c r="AAI42" s="412"/>
      <c r="AAJ42" s="412"/>
      <c r="AAK42" s="412"/>
      <c r="AAL42" s="412"/>
      <c r="AAM42" s="412"/>
      <c r="AAN42" s="412"/>
      <c r="AAO42" s="412"/>
      <c r="AAP42" s="412"/>
      <c r="AAQ42" s="412"/>
      <c r="AAR42" s="412"/>
      <c r="AAS42" s="412"/>
      <c r="AAT42" s="412"/>
      <c r="AAU42" s="412"/>
      <c r="AAV42" s="412"/>
      <c r="AAW42" s="412"/>
      <c r="AAX42" s="412"/>
      <c r="AAY42" s="412"/>
      <c r="AAZ42" s="412"/>
      <c r="ABA42" s="412"/>
      <c r="ABB42" s="412"/>
      <c r="ABC42" s="412"/>
      <c r="ABD42" s="412"/>
      <c r="ABE42" s="412"/>
      <c r="ABF42" s="412"/>
      <c r="ABG42" s="412"/>
      <c r="ABH42" s="412"/>
      <c r="ABI42" s="412"/>
      <c r="ABJ42" s="412"/>
      <c r="ABK42" s="412"/>
      <c r="ABL42" s="412"/>
      <c r="ABM42" s="412"/>
      <c r="ABN42" s="412"/>
      <c r="ABO42" s="412"/>
      <c r="ABP42" s="412"/>
      <c r="ABQ42" s="412"/>
      <c r="ABR42" s="412"/>
      <c r="ABS42" s="412"/>
      <c r="ABT42" s="412"/>
      <c r="ABU42" s="412"/>
      <c r="ABV42" s="412"/>
      <c r="ABW42" s="412"/>
      <c r="ABX42" s="412"/>
      <c r="ABY42" s="412"/>
      <c r="ABZ42" s="412"/>
      <c r="ACA42" s="412"/>
      <c r="ACB42" s="412"/>
      <c r="ACC42" s="412"/>
      <c r="ACD42" s="412"/>
      <c r="ACE42" s="412"/>
      <c r="ACF42" s="412"/>
      <c r="ACG42" s="412"/>
      <c r="ACH42" s="412"/>
      <c r="ACI42" s="412"/>
      <c r="ACJ42" s="412"/>
      <c r="ACK42" s="412"/>
      <c r="ACL42" s="412"/>
      <c r="ACM42" s="412"/>
      <c r="ACN42" s="412"/>
      <c r="ACO42" s="412"/>
      <c r="ACP42" s="412"/>
      <c r="ACQ42" s="412"/>
      <c r="ACR42" s="412"/>
      <c r="ACS42" s="412"/>
      <c r="ACT42" s="412"/>
      <c r="ACU42" s="412"/>
      <c r="ACV42" s="412"/>
      <c r="ACW42" s="412"/>
      <c r="ACX42" s="412"/>
      <c r="ACY42" s="412"/>
      <c r="ACZ42" s="412"/>
      <c r="ADA42" s="412"/>
      <c r="ADB42" s="412"/>
      <c r="ADC42" s="412"/>
      <c r="ADD42" s="412"/>
      <c r="ADE42" s="412"/>
      <c r="ADF42" s="412"/>
      <c r="ADG42" s="412"/>
      <c r="ADH42" s="412"/>
      <c r="ADI42" s="412"/>
      <c r="ADJ42" s="412"/>
      <c r="ADK42" s="412"/>
      <c r="ADL42" s="412"/>
      <c r="ADM42" s="412"/>
      <c r="ADN42" s="412"/>
      <c r="ADO42" s="412"/>
      <c r="ADP42" s="412"/>
      <c r="ADQ42" s="412"/>
      <c r="ADR42" s="412"/>
      <c r="ADS42" s="412"/>
      <c r="ADT42" s="412"/>
      <c r="ADU42" s="412"/>
      <c r="ADV42" s="412"/>
      <c r="ADW42" s="412"/>
      <c r="ADX42" s="412"/>
      <c r="ADY42" s="412"/>
      <c r="ADZ42" s="412"/>
      <c r="AEA42" s="412"/>
      <c r="AEB42" s="412"/>
      <c r="AEC42" s="412"/>
      <c r="AED42" s="412"/>
      <c r="AEE42" s="412"/>
      <c r="AEF42" s="412"/>
      <c r="AEG42" s="412"/>
      <c r="AEH42" s="412"/>
      <c r="AEI42" s="412"/>
      <c r="AEJ42" s="412"/>
      <c r="AEK42" s="412"/>
      <c r="AEL42" s="412"/>
      <c r="AEM42" s="412"/>
      <c r="AEN42" s="412"/>
      <c r="AEO42" s="412"/>
      <c r="AEP42" s="412"/>
      <c r="AEQ42" s="412"/>
      <c r="AER42" s="412"/>
      <c r="AES42" s="412"/>
      <c r="AET42" s="412"/>
      <c r="AEU42" s="412"/>
      <c r="AEV42" s="412"/>
      <c r="AEW42" s="412"/>
      <c r="AEX42" s="412"/>
      <c r="AEY42" s="412"/>
      <c r="AEZ42" s="412"/>
      <c r="AFA42" s="412"/>
      <c r="AFB42" s="412"/>
      <c r="AFC42" s="412"/>
      <c r="AFD42" s="412"/>
      <c r="AFE42" s="412"/>
      <c r="AFF42" s="412"/>
      <c r="AFG42" s="412"/>
      <c r="AFH42" s="412"/>
      <c r="AFI42" s="412"/>
      <c r="AFJ42" s="412"/>
      <c r="AFK42" s="412"/>
      <c r="AFL42" s="412"/>
      <c r="AFM42" s="412"/>
      <c r="AFN42" s="412"/>
      <c r="AFO42" s="412"/>
      <c r="AFP42" s="412"/>
      <c r="AFQ42" s="412"/>
      <c r="AFR42" s="412"/>
      <c r="AFS42" s="412"/>
      <c r="AFT42" s="412"/>
      <c r="AFU42" s="412"/>
      <c r="AFV42" s="412"/>
      <c r="AFW42" s="412"/>
      <c r="AFX42" s="412"/>
      <c r="AFY42" s="412"/>
      <c r="AFZ42" s="412"/>
      <c r="AGA42" s="412"/>
      <c r="AGB42" s="412"/>
      <c r="AGC42" s="412"/>
      <c r="AGD42" s="412"/>
      <c r="AGE42" s="412"/>
      <c r="AGF42" s="412"/>
      <c r="AGG42" s="412"/>
      <c r="AGH42" s="412"/>
      <c r="AGI42" s="412"/>
      <c r="AGJ42" s="412"/>
      <c r="AGK42" s="412"/>
      <c r="AGL42" s="412"/>
      <c r="AGM42" s="412"/>
      <c r="AGN42" s="412"/>
      <c r="AGO42" s="412"/>
      <c r="AGP42" s="412"/>
      <c r="AGQ42" s="412"/>
      <c r="AGR42" s="412"/>
      <c r="AGS42" s="412"/>
      <c r="AGT42" s="412"/>
      <c r="AGU42" s="412"/>
      <c r="AGV42" s="412"/>
      <c r="AGW42" s="412"/>
      <c r="AGX42" s="412"/>
      <c r="AGY42" s="412"/>
      <c r="AGZ42" s="412"/>
      <c r="AHA42" s="412"/>
      <c r="AHB42" s="412"/>
      <c r="AHC42" s="412"/>
      <c r="AHD42" s="412"/>
      <c r="AHE42" s="412"/>
      <c r="AHF42" s="412"/>
      <c r="AHG42" s="412"/>
      <c r="AHH42" s="412"/>
      <c r="AHI42" s="412"/>
      <c r="AHJ42" s="412"/>
      <c r="AHK42" s="412"/>
      <c r="AHL42" s="412"/>
      <c r="AHM42" s="412"/>
      <c r="AHN42" s="412"/>
      <c r="AHO42" s="412"/>
      <c r="AHP42" s="412"/>
      <c r="AHQ42" s="412"/>
      <c r="AHR42" s="412"/>
      <c r="AHS42" s="412"/>
      <c r="AHT42" s="412"/>
      <c r="AHU42" s="412"/>
      <c r="AHV42" s="412"/>
      <c r="AHW42" s="412"/>
      <c r="AHX42" s="412"/>
      <c r="AHY42" s="412"/>
      <c r="AHZ42" s="412"/>
      <c r="AIA42" s="412"/>
      <c r="AIB42" s="412"/>
      <c r="AIC42" s="412"/>
      <c r="AID42" s="412"/>
      <c r="AIE42" s="412"/>
      <c r="AIF42" s="412"/>
      <c r="AIG42" s="412"/>
      <c r="AIH42" s="412"/>
      <c r="AII42" s="412"/>
      <c r="AIJ42" s="412"/>
      <c r="AIK42" s="412"/>
      <c r="AIL42" s="412"/>
      <c r="AIM42" s="412"/>
      <c r="AIN42" s="412"/>
      <c r="AIO42" s="412"/>
      <c r="AIP42" s="412"/>
      <c r="AIQ42" s="412"/>
      <c r="AIR42" s="412"/>
      <c r="AIS42" s="412"/>
      <c r="AIT42" s="412"/>
      <c r="AIU42" s="412"/>
      <c r="AIV42" s="412"/>
      <c r="AIW42" s="412"/>
      <c r="AIX42" s="412"/>
      <c r="AIY42" s="412"/>
      <c r="AIZ42" s="412"/>
      <c r="AJA42" s="412"/>
      <c r="AJB42" s="412"/>
      <c r="AJC42" s="412"/>
      <c r="AJD42" s="412"/>
      <c r="AJE42" s="412"/>
      <c r="AJF42" s="412"/>
      <c r="AJG42" s="412"/>
      <c r="AJH42" s="412"/>
      <c r="AJI42" s="412"/>
      <c r="AJJ42" s="412"/>
      <c r="AJK42" s="412"/>
      <c r="AJL42" s="412"/>
      <c r="AJM42" s="412"/>
      <c r="AJN42" s="412"/>
      <c r="AJO42" s="412"/>
      <c r="AJP42" s="412"/>
      <c r="AJQ42" s="412"/>
      <c r="AJR42" s="412"/>
      <c r="AJS42" s="412"/>
      <c r="AJT42" s="412"/>
      <c r="AJU42" s="412"/>
      <c r="AJV42" s="412"/>
      <c r="AJW42" s="412"/>
      <c r="AJX42" s="412"/>
      <c r="AJY42" s="412"/>
      <c r="AJZ42" s="412"/>
      <c r="AKA42" s="412"/>
      <c r="AKB42" s="412"/>
      <c r="AKC42" s="412"/>
      <c r="AKD42" s="412"/>
      <c r="AKE42" s="412"/>
      <c r="AKF42" s="412"/>
      <c r="AKG42" s="412"/>
      <c r="AKH42" s="412"/>
      <c r="AKI42" s="412"/>
      <c r="AKJ42" s="412"/>
      <c r="AKK42" s="412"/>
      <c r="AKL42" s="412"/>
      <c r="AKM42" s="412"/>
      <c r="AKN42" s="412"/>
      <c r="AKO42" s="412"/>
      <c r="AKP42" s="412"/>
      <c r="AKQ42" s="412"/>
      <c r="AKR42" s="412"/>
      <c r="AKS42" s="412"/>
      <c r="AKT42" s="412"/>
      <c r="AKU42" s="412"/>
      <c r="AKV42" s="412"/>
      <c r="AKW42" s="412"/>
      <c r="AKX42" s="412"/>
      <c r="AKY42" s="412"/>
      <c r="AKZ42" s="412"/>
      <c r="ALA42" s="412"/>
      <c r="ALB42" s="412"/>
      <c r="ALC42" s="412"/>
      <c r="ALD42" s="412"/>
      <c r="ALE42" s="412"/>
      <c r="ALF42" s="412"/>
      <c r="ALG42" s="412"/>
      <c r="ALH42" s="412"/>
      <c r="ALI42" s="412"/>
      <c r="ALJ42" s="412"/>
      <c r="ALK42" s="412"/>
      <c r="ALL42" s="412"/>
      <c r="ALM42" s="412"/>
      <c r="ALN42" s="412"/>
      <c r="ALO42" s="412"/>
      <c r="ALP42" s="412"/>
      <c r="ALQ42" s="412"/>
      <c r="ALR42" s="412"/>
      <c r="ALS42" s="412"/>
      <c r="ALT42" s="412"/>
      <c r="ALU42" s="412"/>
      <c r="ALV42" s="412"/>
      <c r="ALW42" s="412"/>
      <c r="ALX42" s="412"/>
      <c r="ALY42" s="412"/>
      <c r="ALZ42" s="412"/>
      <c r="AMA42" s="412"/>
      <c r="AMB42" s="412"/>
      <c r="AMC42" s="412"/>
      <c r="AMD42" s="412"/>
      <c r="AME42" s="412"/>
      <c r="AMF42" s="412"/>
      <c r="AMG42" s="412"/>
      <c r="AMH42" s="412"/>
      <c r="AMI42" s="412"/>
      <c r="AMJ42" s="412"/>
      <c r="AMK42" s="412"/>
      <c r="AML42" s="412"/>
      <c r="AMM42" s="412"/>
      <c r="AMN42" s="412"/>
      <c r="AMO42" s="412"/>
      <c r="AMP42" s="412"/>
      <c r="AMQ42" s="412"/>
      <c r="AMR42" s="412"/>
      <c r="AMS42" s="412"/>
      <c r="AMT42" s="412"/>
      <c r="AMU42" s="412"/>
      <c r="AMV42" s="412"/>
      <c r="AMW42" s="412"/>
      <c r="AMX42" s="412"/>
      <c r="AMY42" s="412"/>
      <c r="AMZ42" s="412"/>
      <c r="ANA42" s="412"/>
      <c r="ANB42" s="412"/>
      <c r="ANC42" s="412"/>
      <c r="AND42" s="412"/>
      <c r="ANE42" s="412"/>
      <c r="ANF42" s="412"/>
      <c r="ANG42" s="412"/>
      <c r="ANH42" s="412"/>
      <c r="ANI42" s="412"/>
      <c r="ANJ42" s="412"/>
      <c r="ANK42" s="412"/>
      <c r="ANL42" s="412"/>
      <c r="ANM42" s="412"/>
      <c r="ANN42" s="412"/>
      <c r="ANO42" s="412"/>
      <c r="ANP42" s="412"/>
      <c r="ANQ42" s="412"/>
      <c r="ANR42" s="412"/>
      <c r="ANS42" s="412"/>
      <c r="ANT42" s="412"/>
      <c r="ANU42" s="412"/>
      <c r="ANV42" s="412"/>
      <c r="ANW42" s="412"/>
      <c r="ANX42" s="412"/>
      <c r="ANY42" s="412"/>
      <c r="ANZ42" s="412"/>
      <c r="AOA42" s="412"/>
      <c r="AOB42" s="412"/>
      <c r="AOC42" s="412"/>
      <c r="AOD42" s="412"/>
      <c r="AOE42" s="412"/>
      <c r="AOF42" s="412"/>
      <c r="AOG42" s="412"/>
      <c r="AOH42" s="412"/>
      <c r="AOI42" s="412"/>
      <c r="AOJ42" s="412"/>
      <c r="AOK42" s="412"/>
      <c r="AOL42" s="412"/>
      <c r="AOM42" s="412"/>
      <c r="AON42" s="412"/>
      <c r="AOO42" s="412"/>
      <c r="AOP42" s="412"/>
      <c r="AOQ42" s="412"/>
      <c r="AOR42" s="412"/>
      <c r="AOS42" s="412"/>
      <c r="AOT42" s="412"/>
      <c r="AOU42" s="412"/>
      <c r="AOV42" s="412"/>
      <c r="AOW42" s="412"/>
      <c r="AOX42" s="412"/>
      <c r="AOY42" s="412"/>
      <c r="AOZ42" s="412"/>
      <c r="APA42" s="412"/>
      <c r="APB42" s="412"/>
      <c r="APC42" s="412"/>
      <c r="APD42" s="412"/>
      <c r="APE42" s="412"/>
      <c r="APF42" s="412"/>
      <c r="APG42" s="412"/>
      <c r="APH42" s="412"/>
      <c r="API42" s="412"/>
      <c r="APJ42" s="412"/>
      <c r="APK42" s="412"/>
      <c r="APL42" s="412"/>
      <c r="APM42" s="412"/>
      <c r="APN42" s="412"/>
      <c r="APO42" s="412"/>
      <c r="APP42" s="412"/>
      <c r="APQ42" s="412"/>
      <c r="APR42" s="412"/>
      <c r="APS42" s="412"/>
      <c r="APT42" s="412"/>
      <c r="APU42" s="412"/>
      <c r="APV42" s="412"/>
      <c r="APW42" s="412"/>
      <c r="APX42" s="412"/>
      <c r="APY42" s="412"/>
      <c r="APZ42" s="412"/>
      <c r="AQA42" s="412"/>
      <c r="AQB42" s="412"/>
      <c r="AQC42" s="412"/>
      <c r="AQD42" s="412"/>
      <c r="AQE42" s="412"/>
      <c r="AQF42" s="412"/>
      <c r="AQG42" s="412"/>
      <c r="AQH42" s="412"/>
      <c r="AQI42" s="412"/>
      <c r="AQJ42" s="412"/>
      <c r="AQK42" s="412"/>
      <c r="AQL42" s="412"/>
      <c r="AQM42" s="412"/>
      <c r="AQN42" s="412"/>
      <c r="AQO42" s="412"/>
      <c r="AQP42" s="412"/>
      <c r="AQQ42" s="412"/>
      <c r="AQR42" s="412"/>
      <c r="AQS42" s="412"/>
      <c r="AQT42" s="412"/>
      <c r="AQU42" s="412"/>
      <c r="AQV42" s="412"/>
      <c r="AQW42" s="412"/>
      <c r="AQX42" s="412"/>
      <c r="AQY42" s="412"/>
      <c r="AQZ42" s="412"/>
      <c r="ARA42" s="412"/>
      <c r="ARB42" s="412"/>
      <c r="ARC42" s="412"/>
      <c r="ARD42" s="412"/>
      <c r="ARE42" s="412"/>
      <c r="ARF42" s="412"/>
      <c r="ARG42" s="412"/>
      <c r="ARH42" s="412"/>
      <c r="ARI42" s="412"/>
      <c r="ARJ42" s="412"/>
      <c r="ARK42" s="412"/>
      <c r="ARL42" s="412"/>
      <c r="ARM42" s="412"/>
      <c r="ARN42" s="412"/>
      <c r="ARO42" s="412"/>
      <c r="ARP42" s="412"/>
      <c r="ARQ42" s="412"/>
      <c r="ARR42" s="412"/>
      <c r="ARS42" s="412"/>
      <c r="ART42" s="412"/>
      <c r="ARU42" s="412"/>
      <c r="ARV42" s="412"/>
      <c r="ARW42" s="412"/>
      <c r="ARX42" s="412"/>
      <c r="ARY42" s="412"/>
      <c r="ARZ42" s="412"/>
      <c r="ASA42" s="412"/>
      <c r="ASB42" s="412"/>
      <c r="ASC42" s="412"/>
      <c r="ASD42" s="412"/>
      <c r="ASE42" s="412"/>
      <c r="ASF42" s="412"/>
      <c r="ASG42" s="412"/>
      <c r="ASH42" s="412"/>
      <c r="ASI42" s="412"/>
      <c r="ASJ42" s="412"/>
      <c r="ASK42" s="412"/>
      <c r="ASL42" s="412"/>
      <c r="ASM42" s="412"/>
      <c r="ASN42" s="412"/>
      <c r="ASO42" s="412"/>
      <c r="ASP42" s="412"/>
      <c r="ASQ42" s="412"/>
      <c r="ASR42" s="412"/>
      <c r="ASS42" s="412"/>
      <c r="AST42" s="412"/>
      <c r="ASU42" s="412"/>
      <c r="ASV42" s="412"/>
      <c r="ASW42" s="412"/>
      <c r="ASX42" s="412"/>
      <c r="ASY42" s="412"/>
      <c r="ASZ42" s="412"/>
      <c r="ATA42" s="412"/>
      <c r="ATB42" s="412"/>
      <c r="ATC42" s="412"/>
      <c r="ATD42" s="412"/>
      <c r="ATE42" s="412"/>
      <c r="ATF42" s="412"/>
      <c r="ATG42" s="412"/>
      <c r="ATH42" s="412"/>
      <c r="ATI42" s="412"/>
      <c r="ATJ42" s="412"/>
      <c r="ATK42" s="412"/>
      <c r="ATL42" s="412"/>
      <c r="ATM42" s="412"/>
      <c r="ATN42" s="412"/>
      <c r="ATO42" s="412"/>
      <c r="ATP42" s="412"/>
      <c r="ATQ42" s="412"/>
      <c r="ATR42" s="412"/>
      <c r="ATS42" s="412"/>
      <c r="ATT42" s="412"/>
      <c r="ATU42" s="412"/>
      <c r="ATV42" s="412"/>
      <c r="ATW42" s="412"/>
      <c r="ATX42" s="412"/>
      <c r="ATY42" s="412"/>
      <c r="ATZ42" s="412"/>
      <c r="AUA42" s="412"/>
      <c r="AUB42" s="412"/>
      <c r="AUC42" s="412"/>
      <c r="AUD42" s="412"/>
      <c r="AUE42" s="412"/>
      <c r="AUF42" s="412"/>
      <c r="AUG42" s="412"/>
      <c r="AUH42" s="412"/>
      <c r="AUI42" s="412"/>
      <c r="AUJ42" s="412"/>
      <c r="AUK42" s="412"/>
      <c r="AUL42" s="412"/>
      <c r="AUM42" s="412"/>
      <c r="AUN42" s="412"/>
      <c r="AUO42" s="412"/>
      <c r="AUP42" s="412"/>
      <c r="AUQ42" s="412"/>
      <c r="AUR42" s="412"/>
      <c r="AUS42" s="412"/>
      <c r="AUT42" s="412"/>
      <c r="AUU42" s="412"/>
      <c r="AUV42" s="412"/>
      <c r="AUW42" s="412"/>
      <c r="AUX42" s="412"/>
      <c r="AUY42" s="412"/>
      <c r="AUZ42" s="412"/>
      <c r="AVA42" s="412"/>
      <c r="AVB42" s="412"/>
      <c r="AVC42" s="412"/>
      <c r="AVD42" s="412"/>
      <c r="AVE42" s="412"/>
      <c r="AVF42" s="412"/>
      <c r="AVG42" s="412"/>
      <c r="AVH42" s="412"/>
      <c r="AVI42" s="412"/>
      <c r="AVJ42" s="412"/>
      <c r="AVK42" s="412"/>
      <c r="AVL42" s="412"/>
      <c r="AVM42" s="412"/>
      <c r="AVN42" s="412"/>
      <c r="AVO42" s="412"/>
      <c r="AVP42" s="412"/>
      <c r="AVQ42" s="412"/>
      <c r="AVR42" s="412"/>
      <c r="AVS42" s="412"/>
      <c r="AVT42" s="412"/>
      <c r="AVU42" s="412"/>
      <c r="AVV42" s="412"/>
      <c r="AVW42" s="412"/>
      <c r="AVX42" s="412"/>
      <c r="AVY42" s="412"/>
      <c r="AVZ42" s="412"/>
      <c r="AWA42" s="412"/>
      <c r="AWB42" s="412"/>
      <c r="AWC42" s="412"/>
      <c r="AWD42" s="412"/>
      <c r="AWE42" s="412"/>
      <c r="AWF42" s="412"/>
      <c r="AWG42" s="412"/>
      <c r="AWH42" s="412"/>
      <c r="AWI42" s="412"/>
      <c r="AWJ42" s="412"/>
      <c r="AWK42" s="412"/>
      <c r="AWL42" s="412"/>
      <c r="AWM42" s="412"/>
      <c r="AWN42" s="412"/>
      <c r="AWO42" s="412"/>
      <c r="AWP42" s="412"/>
      <c r="AWQ42" s="412"/>
      <c r="AWR42" s="412"/>
      <c r="AWS42" s="412"/>
      <c r="AWT42" s="412"/>
      <c r="AWU42" s="412"/>
      <c r="AWV42" s="412"/>
      <c r="AWW42" s="412"/>
      <c r="AWX42" s="412"/>
      <c r="AWY42" s="412"/>
      <c r="AWZ42" s="412"/>
      <c r="AXA42" s="412"/>
      <c r="AXB42" s="412"/>
      <c r="AXC42" s="412"/>
      <c r="AXD42" s="412"/>
      <c r="AXE42" s="412"/>
      <c r="AXF42" s="412"/>
      <c r="AXG42" s="412"/>
      <c r="AXH42" s="412"/>
      <c r="AXI42" s="412"/>
      <c r="AXJ42" s="412"/>
      <c r="AXK42" s="412"/>
      <c r="AXL42" s="412"/>
      <c r="AXM42" s="412"/>
      <c r="AXN42" s="412"/>
      <c r="AXO42" s="412"/>
      <c r="AXP42" s="412"/>
      <c r="AXQ42" s="412"/>
      <c r="AXR42" s="412"/>
      <c r="AXS42" s="412"/>
      <c r="AXT42" s="412"/>
      <c r="AXU42" s="412"/>
      <c r="AXV42" s="412"/>
      <c r="AXW42" s="412"/>
      <c r="AXX42" s="412"/>
      <c r="AXY42" s="412"/>
      <c r="AXZ42" s="412"/>
      <c r="AYA42" s="412"/>
      <c r="AYB42" s="412"/>
      <c r="AYC42" s="412"/>
      <c r="AYD42" s="412"/>
      <c r="AYE42" s="412"/>
      <c r="AYF42" s="412"/>
      <c r="AYG42" s="412"/>
      <c r="AYH42" s="412"/>
      <c r="AYI42" s="412"/>
      <c r="AYJ42" s="412"/>
      <c r="AYK42" s="412"/>
      <c r="AYL42" s="412"/>
      <c r="AYM42" s="412"/>
      <c r="AYN42" s="412"/>
      <c r="AYO42" s="412"/>
      <c r="AYP42" s="412"/>
      <c r="AYQ42" s="412"/>
      <c r="AYR42" s="412"/>
      <c r="AYS42" s="412"/>
      <c r="AYT42" s="412"/>
      <c r="AYU42" s="412"/>
      <c r="AYV42" s="412"/>
      <c r="AYW42" s="412"/>
      <c r="AYX42" s="412"/>
      <c r="AYY42" s="412"/>
      <c r="AYZ42" s="412"/>
      <c r="AZA42" s="412"/>
      <c r="AZB42" s="412"/>
      <c r="AZC42" s="412"/>
      <c r="AZD42" s="412"/>
      <c r="AZE42" s="412"/>
      <c r="AZF42" s="412"/>
      <c r="AZG42" s="412"/>
      <c r="AZH42" s="412"/>
      <c r="AZI42" s="412"/>
      <c r="AZJ42" s="412"/>
      <c r="AZK42" s="412"/>
      <c r="AZL42" s="412"/>
      <c r="AZM42" s="412"/>
      <c r="AZN42" s="412"/>
      <c r="AZO42" s="412"/>
      <c r="AZP42" s="412"/>
      <c r="AZQ42" s="412"/>
      <c r="AZR42" s="412"/>
      <c r="AZS42" s="412"/>
      <c r="AZT42" s="412"/>
      <c r="AZU42" s="412"/>
      <c r="AZV42" s="412"/>
      <c r="AZW42" s="412"/>
      <c r="AZX42" s="412"/>
      <c r="AZY42" s="412"/>
      <c r="AZZ42" s="412"/>
      <c r="BAA42" s="412"/>
      <c r="BAB42" s="412"/>
      <c r="BAC42" s="412"/>
      <c r="BAD42" s="412"/>
      <c r="BAE42" s="412"/>
      <c r="BAF42" s="412"/>
      <c r="BAG42" s="412"/>
      <c r="BAH42" s="412"/>
      <c r="BAI42" s="412"/>
      <c r="BAJ42" s="412"/>
      <c r="BAK42" s="412"/>
      <c r="BAL42" s="412"/>
      <c r="BAM42" s="412"/>
      <c r="BAN42" s="412"/>
      <c r="BAO42" s="412"/>
      <c r="BAP42" s="412"/>
      <c r="BAQ42" s="412"/>
      <c r="BAR42" s="412"/>
      <c r="BAS42" s="412"/>
      <c r="BAT42" s="412"/>
      <c r="BAU42" s="412"/>
      <c r="BAV42" s="412"/>
      <c r="BAW42" s="412"/>
      <c r="BAX42" s="412"/>
      <c r="BAY42" s="412"/>
      <c r="BAZ42" s="412"/>
      <c r="BBA42" s="412"/>
      <c r="BBB42" s="412"/>
      <c r="BBC42" s="412"/>
      <c r="BBD42" s="412"/>
      <c r="BBE42" s="412"/>
      <c r="BBF42" s="412"/>
      <c r="BBG42" s="412"/>
      <c r="BBH42" s="412"/>
      <c r="BBI42" s="412"/>
      <c r="BBJ42" s="412"/>
      <c r="BBK42" s="412"/>
      <c r="BBL42" s="412"/>
      <c r="BBM42" s="412"/>
      <c r="BBN42" s="412"/>
      <c r="BBO42" s="412"/>
      <c r="BBP42" s="412"/>
      <c r="BBQ42" s="412"/>
      <c r="BBR42" s="412"/>
      <c r="BBS42" s="412"/>
      <c r="BBT42" s="412"/>
      <c r="BBU42" s="412"/>
      <c r="BBV42" s="412"/>
      <c r="BBW42" s="412"/>
      <c r="BBX42" s="412"/>
      <c r="BBY42" s="412"/>
      <c r="BBZ42" s="412"/>
      <c r="BCA42" s="412"/>
      <c r="BCB42" s="412"/>
      <c r="BCC42" s="412"/>
      <c r="BCD42" s="412"/>
      <c r="BCE42" s="412"/>
      <c r="BCF42" s="412"/>
      <c r="BCG42" s="412"/>
      <c r="BCH42" s="412"/>
      <c r="BCI42" s="412"/>
      <c r="BCJ42" s="412"/>
      <c r="BCK42" s="412"/>
      <c r="BCL42" s="412"/>
      <c r="BCM42" s="412"/>
      <c r="BCN42" s="412"/>
      <c r="BCO42" s="412"/>
      <c r="BCP42" s="412"/>
      <c r="BCQ42" s="412"/>
      <c r="BCR42" s="412"/>
      <c r="BCS42" s="412"/>
      <c r="BCT42" s="412"/>
      <c r="BCU42" s="412"/>
      <c r="BCV42" s="412"/>
      <c r="BCW42" s="412"/>
      <c r="BCX42" s="412"/>
      <c r="BCY42" s="412"/>
      <c r="BCZ42" s="412"/>
      <c r="BDA42" s="412"/>
      <c r="BDB42" s="412"/>
      <c r="BDC42" s="412"/>
      <c r="BDD42" s="412"/>
      <c r="BDE42" s="412"/>
      <c r="BDF42" s="412"/>
      <c r="BDG42" s="412"/>
      <c r="BDH42" s="412"/>
      <c r="BDI42" s="412"/>
      <c r="BDJ42" s="412"/>
      <c r="BDK42" s="412"/>
      <c r="BDL42" s="412"/>
      <c r="BDM42" s="412"/>
      <c r="BDN42" s="412"/>
      <c r="BDO42" s="412"/>
      <c r="BDP42" s="412"/>
      <c r="BDQ42" s="412"/>
      <c r="BDR42" s="412"/>
      <c r="BDS42" s="412"/>
      <c r="BDT42" s="412"/>
      <c r="BDU42" s="412"/>
      <c r="BDV42" s="412"/>
      <c r="BDW42" s="412"/>
      <c r="BDX42" s="412"/>
      <c r="BDY42" s="412"/>
      <c r="BDZ42" s="412"/>
      <c r="BEA42" s="412"/>
      <c r="BEB42" s="412"/>
      <c r="BEC42" s="412"/>
      <c r="BED42" s="412"/>
      <c r="BEE42" s="412"/>
      <c r="BEF42" s="412"/>
      <c r="BEG42" s="412"/>
      <c r="BEH42" s="412"/>
      <c r="BEI42" s="412"/>
      <c r="BEJ42" s="412"/>
      <c r="BEK42" s="412"/>
      <c r="BEL42" s="412"/>
      <c r="BEM42" s="412"/>
      <c r="BEN42" s="412"/>
      <c r="BEO42" s="412"/>
      <c r="BEP42" s="412"/>
      <c r="BEQ42" s="412"/>
      <c r="BER42" s="412"/>
      <c r="BES42" s="412"/>
      <c r="BET42" s="412"/>
      <c r="BEU42" s="412"/>
      <c r="BEV42" s="412"/>
      <c r="BEW42" s="412"/>
      <c r="BEX42" s="412"/>
      <c r="BEY42" s="412"/>
      <c r="BEZ42" s="412"/>
      <c r="BFA42" s="412"/>
      <c r="BFB42" s="412"/>
      <c r="BFC42" s="412"/>
      <c r="BFD42" s="412"/>
      <c r="BFE42" s="412"/>
      <c r="BFF42" s="412"/>
      <c r="BFG42" s="412"/>
      <c r="BFH42" s="412"/>
      <c r="BFI42" s="412"/>
      <c r="BFJ42" s="412"/>
      <c r="BFK42" s="412"/>
      <c r="BFL42" s="412"/>
      <c r="BFM42" s="412"/>
      <c r="BFN42" s="412"/>
      <c r="BFO42" s="412"/>
      <c r="BFP42" s="412"/>
      <c r="BFQ42" s="412"/>
      <c r="BFR42" s="412"/>
      <c r="BFS42" s="412"/>
      <c r="BFT42" s="412"/>
      <c r="BFU42" s="412"/>
      <c r="BFV42" s="412"/>
      <c r="BFW42" s="412"/>
      <c r="BFX42" s="412"/>
      <c r="BFY42" s="412"/>
      <c r="BFZ42" s="412"/>
      <c r="BGA42" s="412"/>
      <c r="BGB42" s="412"/>
      <c r="BGC42" s="412"/>
      <c r="BGD42" s="412"/>
      <c r="BGE42" s="412"/>
      <c r="BGF42" s="412"/>
      <c r="BGG42" s="412"/>
      <c r="BGH42" s="412"/>
      <c r="BGI42" s="412"/>
      <c r="BGJ42" s="412"/>
      <c r="BGK42" s="412"/>
      <c r="BGL42" s="412"/>
      <c r="BGM42" s="412"/>
      <c r="BGN42" s="412"/>
      <c r="BGO42" s="412"/>
      <c r="BGP42" s="412"/>
      <c r="BGQ42" s="412"/>
      <c r="BGR42" s="412"/>
      <c r="BGS42" s="412"/>
      <c r="BGT42" s="412"/>
      <c r="BGU42" s="412"/>
      <c r="BGV42" s="412"/>
      <c r="BGW42" s="412"/>
      <c r="BGX42" s="412"/>
      <c r="BGY42" s="412"/>
      <c r="BGZ42" s="412"/>
      <c r="BHA42" s="412"/>
      <c r="BHB42" s="412"/>
      <c r="BHC42" s="412"/>
      <c r="BHD42" s="412"/>
      <c r="BHE42" s="412"/>
      <c r="BHF42" s="412"/>
      <c r="BHG42" s="412"/>
      <c r="BHH42" s="412"/>
      <c r="BHI42" s="412"/>
      <c r="BHJ42" s="412"/>
      <c r="BHK42" s="412"/>
      <c r="BHL42" s="412"/>
      <c r="BHM42" s="412"/>
      <c r="BHN42" s="412"/>
      <c r="BHO42" s="412"/>
      <c r="BHP42" s="412"/>
      <c r="BHQ42" s="412"/>
      <c r="BHR42" s="412"/>
      <c r="BHS42" s="412"/>
      <c r="BHT42" s="412"/>
      <c r="BHU42" s="412"/>
      <c r="BHV42" s="412"/>
      <c r="BHW42" s="412"/>
      <c r="BHX42" s="412"/>
      <c r="BHY42" s="412"/>
      <c r="BHZ42" s="412"/>
      <c r="BIA42" s="412"/>
      <c r="BIB42" s="412"/>
      <c r="BIC42" s="412"/>
      <c r="BID42" s="412"/>
      <c r="BIE42" s="412"/>
      <c r="BIF42" s="412"/>
      <c r="BIG42" s="412"/>
      <c r="BIH42" s="412"/>
      <c r="BII42" s="412"/>
      <c r="BIJ42" s="412"/>
      <c r="BIK42" s="412"/>
      <c r="BIL42" s="412"/>
      <c r="BIM42" s="412"/>
      <c r="BIN42" s="412"/>
      <c r="BIO42" s="412"/>
      <c r="BIP42" s="412"/>
      <c r="BIQ42" s="412"/>
      <c r="BIR42" s="412"/>
      <c r="BIS42" s="412"/>
      <c r="BIT42" s="412"/>
      <c r="BIU42" s="412"/>
      <c r="BIV42" s="412"/>
      <c r="BIW42" s="412"/>
      <c r="BIX42" s="412"/>
      <c r="BIY42" s="412"/>
      <c r="BIZ42" s="412"/>
      <c r="BJA42" s="412"/>
      <c r="BJB42" s="412"/>
      <c r="BJC42" s="412"/>
      <c r="BJD42" s="412"/>
      <c r="BJE42" s="412"/>
      <c r="BJF42" s="412"/>
      <c r="BJG42" s="412"/>
      <c r="BJH42" s="412"/>
      <c r="BJI42" s="412"/>
      <c r="BJJ42" s="412"/>
      <c r="BJK42" s="412"/>
      <c r="BJL42" s="412"/>
      <c r="BJM42" s="412"/>
      <c r="BJN42" s="412"/>
      <c r="BJO42" s="412"/>
      <c r="BJP42" s="412"/>
      <c r="BJQ42" s="412"/>
      <c r="BJR42" s="412"/>
      <c r="BJS42" s="412"/>
      <c r="BJT42" s="412"/>
      <c r="BJU42" s="412"/>
      <c r="BJV42" s="412"/>
      <c r="BJW42" s="412"/>
      <c r="BJX42" s="412"/>
      <c r="BJY42" s="412"/>
      <c r="BJZ42" s="412"/>
      <c r="BKA42" s="412"/>
      <c r="BKB42" s="412"/>
      <c r="BKC42" s="412"/>
      <c r="BKD42" s="412"/>
      <c r="BKE42" s="412"/>
      <c r="BKF42" s="412"/>
      <c r="BKG42" s="412"/>
      <c r="BKH42" s="412"/>
      <c r="BKI42" s="412"/>
      <c r="BKJ42" s="412"/>
      <c r="BKK42" s="412"/>
      <c r="BKL42" s="412"/>
      <c r="BKM42" s="412"/>
      <c r="BKN42" s="412"/>
      <c r="BKO42" s="412"/>
      <c r="BKP42" s="412"/>
      <c r="BKQ42" s="412"/>
      <c r="BKR42" s="412"/>
      <c r="BKS42" s="412"/>
      <c r="BKT42" s="412"/>
      <c r="BKU42" s="412"/>
      <c r="BKV42" s="412"/>
      <c r="BKW42" s="412"/>
      <c r="BKX42" s="412"/>
      <c r="BKY42" s="412"/>
      <c r="BKZ42" s="412"/>
      <c r="BLA42" s="412"/>
      <c r="BLB42" s="412"/>
      <c r="BLC42" s="412"/>
      <c r="BLD42" s="412"/>
      <c r="BLE42" s="412"/>
      <c r="BLF42" s="412"/>
      <c r="BLG42" s="412"/>
      <c r="BLH42" s="412"/>
      <c r="BLI42" s="412"/>
      <c r="BLJ42" s="412"/>
      <c r="BLK42" s="412"/>
      <c r="BLL42" s="412"/>
      <c r="BLM42" s="412"/>
      <c r="BLN42" s="412"/>
      <c r="BLO42" s="412"/>
      <c r="BLP42" s="412"/>
      <c r="BLQ42" s="412"/>
      <c r="BLR42" s="412"/>
      <c r="BLS42" s="412"/>
      <c r="BLT42" s="412"/>
      <c r="BLU42" s="412"/>
      <c r="BLV42" s="412"/>
      <c r="BLW42" s="412"/>
      <c r="BLX42" s="412"/>
      <c r="BLY42" s="412"/>
      <c r="BLZ42" s="412"/>
      <c r="BMA42" s="412"/>
      <c r="BMB42" s="412"/>
      <c r="BMC42" s="412"/>
      <c r="BMD42" s="412"/>
      <c r="BME42" s="412"/>
      <c r="BMF42" s="412"/>
      <c r="BMG42" s="412"/>
      <c r="BMH42" s="412"/>
      <c r="BMI42" s="412"/>
      <c r="BMJ42" s="412"/>
      <c r="BMK42" s="412"/>
      <c r="BML42" s="412"/>
      <c r="BMM42" s="412"/>
      <c r="BMN42" s="412"/>
      <c r="BMO42" s="412"/>
      <c r="BMP42" s="412"/>
      <c r="BMQ42" s="412"/>
      <c r="BMR42" s="412"/>
      <c r="BMS42" s="412"/>
      <c r="BMT42" s="412"/>
      <c r="BMU42" s="412"/>
      <c r="BMV42" s="412"/>
      <c r="BMW42" s="412"/>
      <c r="BMX42" s="412"/>
      <c r="BMY42" s="412"/>
      <c r="BMZ42" s="412"/>
      <c r="BNA42" s="412"/>
      <c r="BNB42" s="412"/>
      <c r="BNC42" s="412"/>
      <c r="BND42" s="412"/>
      <c r="BNE42" s="412"/>
      <c r="BNF42" s="412"/>
      <c r="BNG42" s="412"/>
      <c r="BNH42" s="412"/>
      <c r="BNI42" s="412"/>
      <c r="BNJ42" s="412"/>
      <c r="BNK42" s="412"/>
      <c r="BNL42" s="412"/>
      <c r="BNM42" s="412"/>
      <c r="BNN42" s="412"/>
      <c r="BNO42" s="412"/>
      <c r="BNP42" s="412"/>
      <c r="BNQ42" s="412"/>
      <c r="BNR42" s="412"/>
      <c r="BNS42" s="412"/>
      <c r="BNT42" s="412"/>
      <c r="BNU42" s="412"/>
      <c r="BNV42" s="412"/>
      <c r="BNW42" s="412"/>
      <c r="BNX42" s="412"/>
      <c r="BNY42" s="412"/>
      <c r="BNZ42" s="412"/>
      <c r="BOA42" s="412"/>
      <c r="BOB42" s="412"/>
      <c r="BOC42" s="412"/>
      <c r="BOD42" s="412"/>
      <c r="BOE42" s="412"/>
      <c r="BOF42" s="412"/>
      <c r="BOG42" s="412"/>
      <c r="BOH42" s="412"/>
      <c r="BOI42" s="412"/>
      <c r="BOJ42" s="412"/>
      <c r="BOK42" s="412"/>
      <c r="BOL42" s="412"/>
      <c r="BOM42" s="412"/>
      <c r="BON42" s="412"/>
      <c r="BOO42" s="412"/>
      <c r="BOP42" s="412"/>
      <c r="BOQ42" s="412"/>
      <c r="BOR42" s="412"/>
      <c r="BOS42" s="412"/>
      <c r="BOT42" s="412"/>
      <c r="BOU42" s="412"/>
      <c r="BOV42" s="412"/>
      <c r="BOW42" s="412"/>
      <c r="BOX42" s="412"/>
      <c r="BOY42" s="412"/>
      <c r="BOZ42" s="412"/>
      <c r="BPA42" s="412"/>
      <c r="BPB42" s="412"/>
      <c r="BPC42" s="412"/>
      <c r="BPD42" s="412"/>
      <c r="BPE42" s="412"/>
      <c r="BPF42" s="412"/>
      <c r="BPG42" s="412"/>
      <c r="BPH42" s="412"/>
      <c r="BPI42" s="412"/>
      <c r="BPJ42" s="412"/>
      <c r="BPK42" s="412"/>
      <c r="BPL42" s="412"/>
      <c r="BPM42" s="412"/>
      <c r="BPN42" s="412"/>
      <c r="BPO42" s="412"/>
      <c r="BPP42" s="412"/>
      <c r="BPQ42" s="412"/>
      <c r="BPR42" s="412"/>
      <c r="BPS42" s="412"/>
      <c r="BPT42" s="412"/>
      <c r="BPU42" s="412"/>
      <c r="BPV42" s="412"/>
      <c r="BPW42" s="412"/>
      <c r="BPX42" s="412"/>
      <c r="BPY42" s="412"/>
      <c r="BPZ42" s="412"/>
      <c r="BQA42" s="412"/>
      <c r="BQB42" s="412"/>
      <c r="BQC42" s="412"/>
      <c r="BQD42" s="412"/>
      <c r="BQE42" s="412"/>
      <c r="BQF42" s="412"/>
      <c r="BQG42" s="412"/>
      <c r="BQH42" s="412"/>
      <c r="BQI42" s="412"/>
      <c r="BQJ42" s="412"/>
      <c r="BQK42" s="412"/>
      <c r="BQL42" s="412"/>
      <c r="BQM42" s="412"/>
      <c r="BQN42" s="412"/>
      <c r="BQO42" s="412"/>
      <c r="BQP42" s="412"/>
      <c r="BQQ42" s="412"/>
      <c r="BQR42" s="412"/>
      <c r="BQS42" s="412"/>
      <c r="BQT42" s="412"/>
      <c r="BQU42" s="412"/>
      <c r="BQV42" s="412"/>
      <c r="BQW42" s="412"/>
      <c r="BQX42" s="412"/>
      <c r="BQY42" s="412"/>
      <c r="BQZ42" s="412"/>
      <c r="BRA42" s="412"/>
      <c r="BRB42" s="412"/>
      <c r="BRC42" s="412"/>
      <c r="BRD42" s="412"/>
      <c r="BRE42" s="412"/>
      <c r="BRF42" s="412"/>
      <c r="BRG42" s="412"/>
      <c r="BRH42" s="412"/>
      <c r="BRI42" s="412"/>
      <c r="BRJ42" s="412"/>
      <c r="BRK42" s="412"/>
      <c r="BRL42" s="412"/>
      <c r="BRM42" s="412"/>
      <c r="BRN42" s="412"/>
      <c r="BRO42" s="412"/>
      <c r="BRP42" s="412"/>
      <c r="BRQ42" s="412"/>
      <c r="BRR42" s="412"/>
      <c r="BRS42" s="412"/>
      <c r="BRT42" s="412"/>
      <c r="BRU42" s="412"/>
      <c r="BRV42" s="412"/>
      <c r="BRW42" s="412"/>
      <c r="BRX42" s="412"/>
      <c r="BRY42" s="412"/>
      <c r="BRZ42" s="412"/>
      <c r="BSA42" s="412"/>
      <c r="BSB42" s="412"/>
      <c r="BSC42" s="412"/>
      <c r="BSD42" s="412"/>
      <c r="BSE42" s="412"/>
      <c r="BSF42" s="412"/>
      <c r="BSG42" s="412"/>
      <c r="BSH42" s="412"/>
      <c r="BSI42" s="412"/>
      <c r="BSJ42" s="412"/>
      <c r="BSK42" s="412"/>
      <c r="BSL42" s="412"/>
      <c r="BSM42" s="412"/>
      <c r="BSN42" s="412"/>
      <c r="BSO42" s="412"/>
      <c r="BSP42" s="412"/>
      <c r="BSQ42" s="412"/>
      <c r="BSR42" s="412"/>
      <c r="BSS42" s="412"/>
      <c r="BST42" s="412"/>
      <c r="BSU42" s="412"/>
      <c r="BSV42" s="412"/>
      <c r="BSW42" s="412"/>
      <c r="BSX42" s="412"/>
      <c r="BSY42" s="412"/>
      <c r="BSZ42" s="412"/>
      <c r="BTA42" s="412"/>
      <c r="BTB42" s="412"/>
      <c r="BTC42" s="412"/>
      <c r="BTD42" s="412"/>
      <c r="BTE42" s="412"/>
      <c r="BTF42" s="412"/>
      <c r="BTG42" s="412"/>
      <c r="BTH42" s="412"/>
      <c r="BTI42" s="412"/>
    </row>
    <row r="43" spans="1:1881" ht="27" customHeight="1" thickBot="1" x14ac:dyDescent="0.3">
      <c r="A43" s="190"/>
      <c r="B43" s="162" t="s">
        <v>157</v>
      </c>
      <c r="C43" s="161"/>
      <c r="D43" s="133"/>
      <c r="E43" s="144"/>
      <c r="F43" s="749"/>
      <c r="G43" s="573"/>
      <c r="H43" s="13"/>
      <c r="I43" s="31"/>
      <c r="L43" s="865" t="s">
        <v>1141</v>
      </c>
      <c r="M43" s="633"/>
      <c r="N43" s="656"/>
    </row>
    <row r="44" spans="1:1881" s="4" customFormat="1" ht="55.5" customHeight="1" thickBot="1" x14ac:dyDescent="0.3">
      <c r="A44" s="189">
        <v>506</v>
      </c>
      <c r="B44" s="65" t="s">
        <v>62</v>
      </c>
      <c r="C44" s="134" t="s">
        <v>161</v>
      </c>
      <c r="D44" s="176" t="s">
        <v>598</v>
      </c>
      <c r="E44" s="512" t="e">
        <f>HLOOKUP($D$2,'2019 Data(H)'!$C$1:$CG$300,156,FALSE)</f>
        <v>#N/A</v>
      </c>
      <c r="F44" s="647"/>
      <c r="G44" s="413">
        <f>IF(F44&lt;0,"Note: Number is normally positive.",)</f>
        <v>0</v>
      </c>
      <c r="H44" s="17"/>
      <c r="I44" s="31"/>
      <c r="J44" s="368"/>
      <c r="K44" s="412"/>
      <c r="L44" s="865" t="s">
        <v>1142</v>
      </c>
      <c r="M44" s="633"/>
      <c r="N44" s="656"/>
      <c r="O44" s="412"/>
      <c r="P44" s="412"/>
      <c r="Q44" s="412"/>
      <c r="R44" s="412"/>
      <c r="S44" s="412"/>
      <c r="T44" s="412"/>
      <c r="U44" s="412"/>
      <c r="V44" s="412"/>
      <c r="W44" s="412"/>
      <c r="X44" s="412"/>
      <c r="Y44" s="412"/>
      <c r="Z44" s="412"/>
      <c r="AA44" s="412"/>
      <c r="AB44" s="412"/>
      <c r="AC44" s="412"/>
      <c r="AD44" s="412"/>
      <c r="AE44" s="412"/>
      <c r="AF44" s="412"/>
      <c r="AG44" s="412"/>
      <c r="AH44" s="412"/>
      <c r="AI44" s="412"/>
      <c r="AJ44" s="412"/>
      <c r="AK44" s="412"/>
      <c r="AL44" s="412"/>
      <c r="AM44" s="412"/>
      <c r="AN44" s="412"/>
      <c r="AO44" s="412"/>
      <c r="AP44" s="412"/>
      <c r="AQ44" s="412"/>
      <c r="AR44" s="412"/>
      <c r="AS44" s="412"/>
      <c r="AT44" s="412"/>
      <c r="AU44" s="412"/>
      <c r="AV44" s="412"/>
      <c r="AW44" s="412"/>
      <c r="AX44" s="412"/>
      <c r="AY44" s="412"/>
      <c r="AZ44" s="412"/>
      <c r="BA44" s="412"/>
      <c r="BB44" s="412"/>
      <c r="BC44" s="412"/>
      <c r="BD44" s="412"/>
      <c r="BE44" s="412"/>
      <c r="BF44" s="412"/>
      <c r="BG44" s="412"/>
      <c r="BH44" s="412"/>
      <c r="BI44" s="412"/>
      <c r="BJ44" s="412"/>
      <c r="BK44" s="412"/>
      <c r="BL44" s="412"/>
      <c r="BM44" s="412"/>
      <c r="BN44" s="412"/>
      <c r="BO44" s="412"/>
      <c r="BP44" s="412"/>
      <c r="BQ44" s="412"/>
      <c r="BR44" s="412"/>
      <c r="BS44" s="412"/>
      <c r="BT44" s="412"/>
      <c r="BU44" s="412"/>
      <c r="BV44" s="412"/>
      <c r="BW44" s="412"/>
      <c r="BX44" s="412"/>
      <c r="BY44" s="412"/>
      <c r="BZ44" s="412"/>
      <c r="CA44" s="412"/>
      <c r="CB44" s="412"/>
      <c r="CC44" s="412"/>
      <c r="CD44" s="412"/>
      <c r="CE44" s="412"/>
      <c r="CF44" s="412"/>
      <c r="CG44" s="412"/>
      <c r="CH44" s="412"/>
      <c r="CI44" s="412"/>
      <c r="CJ44" s="412"/>
      <c r="CK44" s="412"/>
      <c r="CL44" s="412"/>
      <c r="CM44" s="412"/>
      <c r="CN44" s="412"/>
      <c r="CO44" s="412"/>
      <c r="CP44" s="412"/>
      <c r="CQ44" s="412"/>
      <c r="CR44" s="412"/>
      <c r="CS44" s="412"/>
      <c r="CT44" s="412"/>
      <c r="CU44" s="412"/>
      <c r="CV44" s="412"/>
      <c r="CW44" s="412"/>
      <c r="CX44" s="412"/>
      <c r="CY44" s="412"/>
      <c r="CZ44" s="412"/>
      <c r="DA44" s="412"/>
      <c r="DB44" s="412"/>
      <c r="DC44" s="412"/>
      <c r="DD44" s="412"/>
      <c r="DE44" s="412"/>
      <c r="DF44" s="412"/>
      <c r="DG44" s="412"/>
      <c r="DH44" s="412"/>
      <c r="DI44" s="412"/>
      <c r="DJ44" s="412"/>
      <c r="DK44" s="412"/>
      <c r="DL44" s="412"/>
      <c r="DM44" s="412"/>
      <c r="DN44" s="412"/>
      <c r="DO44" s="412"/>
      <c r="DP44" s="412"/>
      <c r="DQ44" s="412"/>
      <c r="DR44" s="412"/>
      <c r="DS44" s="412"/>
      <c r="DT44" s="412"/>
      <c r="DU44" s="412"/>
      <c r="DV44" s="412"/>
      <c r="DW44" s="412"/>
      <c r="DX44" s="412"/>
      <c r="DY44" s="412"/>
      <c r="DZ44" s="412"/>
      <c r="EA44" s="412"/>
      <c r="EB44" s="412"/>
      <c r="EC44" s="412"/>
      <c r="ED44" s="412"/>
      <c r="EE44" s="412"/>
      <c r="EF44" s="412"/>
      <c r="EG44" s="412"/>
      <c r="EH44" s="412"/>
      <c r="EI44" s="412"/>
      <c r="EJ44" s="412"/>
      <c r="EK44" s="412"/>
      <c r="EL44" s="412"/>
      <c r="EM44" s="412"/>
      <c r="EN44" s="412"/>
      <c r="EO44" s="412"/>
      <c r="EP44" s="412"/>
      <c r="EQ44" s="412"/>
      <c r="ER44" s="412"/>
      <c r="ES44" s="412"/>
      <c r="ET44" s="412"/>
      <c r="EU44" s="412"/>
      <c r="EV44" s="412"/>
      <c r="EW44" s="412"/>
      <c r="EX44" s="412"/>
      <c r="EY44" s="412"/>
      <c r="EZ44" s="412"/>
      <c r="FA44" s="412"/>
      <c r="FB44" s="412"/>
      <c r="FC44" s="412"/>
      <c r="FD44" s="412"/>
      <c r="FE44" s="412"/>
      <c r="FF44" s="412"/>
      <c r="FG44" s="412"/>
      <c r="FH44" s="412"/>
      <c r="FI44" s="412"/>
      <c r="FJ44" s="412"/>
      <c r="FK44" s="412"/>
      <c r="FL44" s="412"/>
      <c r="FM44" s="412"/>
      <c r="FN44" s="412"/>
      <c r="FO44" s="412"/>
      <c r="FP44" s="412"/>
      <c r="FQ44" s="412"/>
      <c r="FR44" s="412"/>
      <c r="FS44" s="412"/>
      <c r="FT44" s="412"/>
      <c r="FU44" s="412"/>
      <c r="FV44" s="412"/>
      <c r="FW44" s="412"/>
      <c r="FX44" s="412"/>
      <c r="FY44" s="412"/>
      <c r="FZ44" s="412"/>
      <c r="GA44" s="412"/>
      <c r="GB44" s="412"/>
      <c r="GC44" s="412"/>
      <c r="GD44" s="412"/>
      <c r="GE44" s="412"/>
      <c r="GF44" s="412"/>
      <c r="GG44" s="412"/>
      <c r="GH44" s="412"/>
      <c r="GI44" s="412"/>
      <c r="GJ44" s="412"/>
      <c r="GK44" s="412"/>
      <c r="GL44" s="412"/>
      <c r="GM44" s="412"/>
      <c r="GN44" s="412"/>
      <c r="GO44" s="412"/>
      <c r="GP44" s="412"/>
      <c r="GQ44" s="412"/>
      <c r="GR44" s="412"/>
      <c r="GS44" s="412"/>
      <c r="GT44" s="412"/>
      <c r="GU44" s="412"/>
      <c r="GV44" s="412"/>
      <c r="GW44" s="412"/>
      <c r="GX44" s="412"/>
      <c r="GY44" s="412"/>
      <c r="GZ44" s="412"/>
      <c r="HA44" s="412"/>
      <c r="HB44" s="412"/>
      <c r="HC44" s="412"/>
      <c r="HD44" s="412"/>
      <c r="HE44" s="412"/>
      <c r="HF44" s="412"/>
      <c r="HG44" s="412"/>
      <c r="HH44" s="412"/>
      <c r="HI44" s="412"/>
      <c r="HJ44" s="412"/>
      <c r="HK44" s="412"/>
      <c r="HL44" s="412"/>
      <c r="HM44" s="412"/>
      <c r="HN44" s="412"/>
      <c r="HO44" s="412"/>
      <c r="HP44" s="412"/>
      <c r="HQ44" s="412"/>
      <c r="HR44" s="412"/>
      <c r="HS44" s="412"/>
      <c r="HT44" s="412"/>
      <c r="HU44" s="412"/>
      <c r="HV44" s="412"/>
      <c r="HW44" s="412"/>
      <c r="HX44" s="412"/>
      <c r="HY44" s="412"/>
      <c r="HZ44" s="412"/>
      <c r="IA44" s="412"/>
      <c r="IB44" s="412"/>
      <c r="IC44" s="412"/>
      <c r="ID44" s="412"/>
      <c r="IE44" s="412"/>
      <c r="IF44" s="412"/>
      <c r="IG44" s="412"/>
      <c r="IH44" s="412"/>
      <c r="II44" s="412"/>
      <c r="IJ44" s="412"/>
      <c r="IK44" s="412"/>
      <c r="IL44" s="412"/>
      <c r="IM44" s="412"/>
      <c r="IN44" s="412"/>
      <c r="IO44" s="412"/>
      <c r="IP44" s="412"/>
      <c r="IQ44" s="412"/>
      <c r="IR44" s="412"/>
      <c r="IS44" s="412"/>
      <c r="IT44" s="412"/>
      <c r="IU44" s="412"/>
      <c r="IV44" s="412"/>
      <c r="IW44" s="412"/>
      <c r="IX44" s="412"/>
      <c r="IY44" s="412"/>
      <c r="IZ44" s="412"/>
      <c r="JA44" s="412"/>
      <c r="JB44" s="412"/>
      <c r="JC44" s="412"/>
      <c r="JD44" s="412"/>
      <c r="JE44" s="412"/>
      <c r="JF44" s="412"/>
      <c r="JG44" s="412"/>
      <c r="JH44" s="412"/>
      <c r="JI44" s="412"/>
      <c r="JJ44" s="412"/>
      <c r="JK44" s="412"/>
      <c r="JL44" s="412"/>
      <c r="JM44" s="412"/>
      <c r="JN44" s="412"/>
      <c r="JO44" s="412"/>
      <c r="JP44" s="412"/>
      <c r="JQ44" s="412"/>
      <c r="JR44" s="412"/>
      <c r="JS44" s="412"/>
      <c r="JT44" s="412"/>
      <c r="JU44" s="412"/>
      <c r="JV44" s="412"/>
      <c r="JW44" s="412"/>
      <c r="JX44" s="412"/>
      <c r="JY44" s="412"/>
      <c r="JZ44" s="412"/>
      <c r="KA44" s="412"/>
      <c r="KB44" s="412"/>
      <c r="KC44" s="412"/>
      <c r="KD44" s="412"/>
      <c r="KE44" s="412"/>
      <c r="KF44" s="412"/>
      <c r="KG44" s="412"/>
      <c r="KH44" s="412"/>
      <c r="KI44" s="412"/>
      <c r="KJ44" s="412"/>
      <c r="KK44" s="412"/>
      <c r="KL44" s="412"/>
      <c r="KM44" s="412"/>
      <c r="KN44" s="412"/>
      <c r="KO44" s="412"/>
      <c r="KP44" s="412"/>
      <c r="KQ44" s="412"/>
      <c r="KR44" s="412"/>
      <c r="KS44" s="412"/>
      <c r="KT44" s="412"/>
      <c r="KU44" s="412"/>
      <c r="KV44" s="412"/>
      <c r="KW44" s="412"/>
      <c r="KX44" s="412"/>
      <c r="KY44" s="412"/>
      <c r="KZ44" s="412"/>
      <c r="LA44" s="412"/>
      <c r="LB44" s="412"/>
      <c r="LC44" s="412"/>
      <c r="LD44" s="412"/>
      <c r="LE44" s="412"/>
      <c r="LF44" s="412"/>
      <c r="LG44" s="412"/>
      <c r="LH44" s="412"/>
      <c r="LI44" s="412"/>
      <c r="LJ44" s="412"/>
      <c r="LK44" s="412"/>
      <c r="LL44" s="412"/>
      <c r="LM44" s="412"/>
      <c r="LN44" s="412"/>
      <c r="LO44" s="412"/>
      <c r="LP44" s="412"/>
      <c r="LQ44" s="412"/>
      <c r="LR44" s="412"/>
      <c r="LS44" s="412"/>
      <c r="LT44" s="412"/>
      <c r="LU44" s="412"/>
      <c r="LV44" s="412"/>
      <c r="LW44" s="412"/>
      <c r="LX44" s="412"/>
      <c r="LY44" s="412"/>
      <c r="LZ44" s="412"/>
      <c r="MA44" s="412"/>
      <c r="MB44" s="412"/>
      <c r="MC44" s="412"/>
      <c r="MD44" s="412"/>
      <c r="ME44" s="412"/>
      <c r="MF44" s="412"/>
      <c r="MG44" s="412"/>
      <c r="MH44" s="412"/>
      <c r="MI44" s="412"/>
      <c r="MJ44" s="412"/>
      <c r="MK44" s="412"/>
      <c r="ML44" s="412"/>
      <c r="MM44" s="412"/>
      <c r="MN44" s="412"/>
      <c r="MO44" s="412"/>
      <c r="MP44" s="412"/>
      <c r="MQ44" s="412"/>
      <c r="MR44" s="412"/>
      <c r="MS44" s="412"/>
      <c r="MT44" s="412"/>
      <c r="MU44" s="412"/>
      <c r="MV44" s="412"/>
      <c r="MW44" s="412"/>
      <c r="MX44" s="412"/>
      <c r="MY44" s="412"/>
      <c r="MZ44" s="412"/>
      <c r="NA44" s="412"/>
      <c r="NB44" s="412"/>
      <c r="NC44" s="412"/>
      <c r="ND44" s="412"/>
      <c r="NE44" s="412"/>
      <c r="NF44" s="412"/>
      <c r="NG44" s="412"/>
      <c r="NH44" s="412"/>
      <c r="NI44" s="412"/>
      <c r="NJ44" s="412"/>
      <c r="NK44" s="412"/>
      <c r="NL44" s="412"/>
      <c r="NM44" s="412"/>
      <c r="NN44" s="412"/>
      <c r="NO44" s="412"/>
      <c r="NP44" s="412"/>
      <c r="NQ44" s="412"/>
      <c r="NR44" s="412"/>
      <c r="NS44" s="412"/>
      <c r="NT44" s="412"/>
      <c r="NU44" s="412"/>
      <c r="NV44" s="412"/>
      <c r="NW44" s="412"/>
      <c r="NX44" s="412"/>
      <c r="NY44" s="412"/>
      <c r="NZ44" s="412"/>
      <c r="OA44" s="412"/>
      <c r="OB44" s="412"/>
      <c r="OC44" s="412"/>
      <c r="OD44" s="412"/>
      <c r="OE44" s="412"/>
      <c r="OF44" s="412"/>
      <c r="OG44" s="412"/>
      <c r="OH44" s="412"/>
      <c r="OI44" s="412"/>
      <c r="OJ44" s="412"/>
      <c r="OK44" s="412"/>
      <c r="OL44" s="412"/>
      <c r="OM44" s="412"/>
      <c r="ON44" s="412"/>
      <c r="OO44" s="412"/>
      <c r="OP44" s="412"/>
      <c r="OQ44" s="412"/>
      <c r="OR44" s="412"/>
      <c r="OS44" s="412"/>
      <c r="OT44" s="412"/>
      <c r="OU44" s="412"/>
      <c r="OV44" s="412"/>
      <c r="OW44" s="412"/>
      <c r="OX44" s="412"/>
      <c r="OY44" s="412"/>
      <c r="OZ44" s="412"/>
      <c r="PA44" s="412"/>
      <c r="PB44" s="412"/>
      <c r="PC44" s="412"/>
      <c r="PD44" s="412"/>
      <c r="PE44" s="412"/>
      <c r="PF44" s="412"/>
      <c r="PG44" s="412"/>
      <c r="PH44" s="412"/>
      <c r="PI44" s="412"/>
      <c r="PJ44" s="412"/>
      <c r="PK44" s="412"/>
      <c r="PL44" s="412"/>
      <c r="PM44" s="412"/>
      <c r="PN44" s="412"/>
      <c r="PO44" s="412"/>
      <c r="PP44" s="412"/>
      <c r="PQ44" s="412"/>
      <c r="PR44" s="412"/>
      <c r="PS44" s="412"/>
      <c r="PT44" s="412"/>
      <c r="PU44" s="412"/>
      <c r="PV44" s="412"/>
      <c r="PW44" s="412"/>
      <c r="PX44" s="412"/>
      <c r="PY44" s="412"/>
      <c r="PZ44" s="412"/>
      <c r="QA44" s="412"/>
      <c r="QB44" s="412"/>
      <c r="QC44" s="412"/>
      <c r="QD44" s="412"/>
      <c r="QE44" s="412"/>
      <c r="QF44" s="412"/>
      <c r="QG44" s="412"/>
      <c r="QH44" s="412"/>
      <c r="QI44" s="412"/>
      <c r="QJ44" s="412"/>
      <c r="QK44" s="412"/>
      <c r="QL44" s="412"/>
      <c r="QM44" s="412"/>
      <c r="QN44" s="412"/>
      <c r="QO44" s="412"/>
      <c r="QP44" s="412"/>
      <c r="QQ44" s="412"/>
      <c r="QR44" s="412"/>
      <c r="QS44" s="412"/>
      <c r="QT44" s="412"/>
      <c r="QU44" s="412"/>
      <c r="QV44" s="412"/>
      <c r="QW44" s="412"/>
      <c r="QX44" s="412"/>
      <c r="QY44" s="412"/>
      <c r="QZ44" s="412"/>
      <c r="RA44" s="412"/>
      <c r="RB44" s="412"/>
      <c r="RC44" s="412"/>
      <c r="RD44" s="412"/>
      <c r="RE44" s="412"/>
      <c r="RF44" s="412"/>
      <c r="RG44" s="412"/>
      <c r="RH44" s="412"/>
      <c r="RI44" s="412"/>
      <c r="RJ44" s="412"/>
      <c r="RK44" s="412"/>
      <c r="RL44" s="412"/>
      <c r="RM44" s="412"/>
      <c r="RN44" s="412"/>
      <c r="RO44" s="412"/>
      <c r="RP44" s="412"/>
      <c r="RQ44" s="412"/>
      <c r="RR44" s="412"/>
      <c r="RS44" s="412"/>
      <c r="RT44" s="412"/>
      <c r="RU44" s="412"/>
      <c r="RV44" s="412"/>
      <c r="RW44" s="412"/>
      <c r="RX44" s="412"/>
      <c r="RY44" s="412"/>
      <c r="RZ44" s="412"/>
      <c r="SA44" s="412"/>
      <c r="SB44" s="412"/>
      <c r="SC44" s="412"/>
      <c r="SD44" s="412"/>
      <c r="SE44" s="412"/>
      <c r="SF44" s="412"/>
      <c r="SG44" s="412"/>
      <c r="SH44" s="412"/>
      <c r="SI44" s="412"/>
      <c r="SJ44" s="412"/>
      <c r="SK44" s="412"/>
      <c r="SL44" s="412"/>
      <c r="SM44" s="412"/>
      <c r="SN44" s="412"/>
      <c r="SO44" s="412"/>
      <c r="SP44" s="412"/>
      <c r="SQ44" s="412"/>
      <c r="SR44" s="412"/>
      <c r="SS44" s="412"/>
      <c r="ST44" s="412"/>
      <c r="SU44" s="412"/>
      <c r="SV44" s="412"/>
      <c r="SW44" s="412"/>
      <c r="SX44" s="412"/>
      <c r="SY44" s="412"/>
      <c r="SZ44" s="412"/>
      <c r="TA44" s="412"/>
      <c r="TB44" s="412"/>
      <c r="TC44" s="412"/>
      <c r="TD44" s="412"/>
      <c r="TE44" s="412"/>
      <c r="TF44" s="412"/>
      <c r="TG44" s="412"/>
      <c r="TH44" s="412"/>
      <c r="TI44" s="412"/>
      <c r="TJ44" s="412"/>
      <c r="TK44" s="412"/>
      <c r="TL44" s="412"/>
      <c r="TM44" s="412"/>
      <c r="TN44" s="412"/>
      <c r="TO44" s="412"/>
      <c r="TP44" s="412"/>
      <c r="TQ44" s="412"/>
      <c r="TR44" s="412"/>
      <c r="TS44" s="412"/>
      <c r="TT44" s="412"/>
      <c r="TU44" s="412"/>
      <c r="TV44" s="412"/>
      <c r="TW44" s="412"/>
      <c r="TX44" s="412"/>
      <c r="TY44" s="412"/>
      <c r="TZ44" s="412"/>
      <c r="UA44" s="412"/>
      <c r="UB44" s="412"/>
      <c r="UC44" s="412"/>
      <c r="UD44" s="412"/>
      <c r="UE44" s="412"/>
      <c r="UF44" s="412"/>
      <c r="UG44" s="412"/>
      <c r="UH44" s="412"/>
      <c r="UI44" s="412"/>
      <c r="UJ44" s="412"/>
      <c r="UK44" s="412"/>
      <c r="UL44" s="412"/>
      <c r="UM44" s="412"/>
      <c r="UN44" s="412"/>
      <c r="UO44" s="412"/>
      <c r="UP44" s="412"/>
      <c r="UQ44" s="412"/>
      <c r="UR44" s="412"/>
      <c r="US44" s="412"/>
      <c r="UT44" s="412"/>
      <c r="UU44" s="412"/>
      <c r="UV44" s="412"/>
      <c r="UW44" s="412"/>
      <c r="UX44" s="412"/>
      <c r="UY44" s="412"/>
      <c r="UZ44" s="412"/>
      <c r="VA44" s="412"/>
      <c r="VB44" s="412"/>
      <c r="VC44" s="412"/>
      <c r="VD44" s="412"/>
      <c r="VE44" s="412"/>
      <c r="VF44" s="412"/>
      <c r="VG44" s="412"/>
      <c r="VH44" s="412"/>
      <c r="VI44" s="412"/>
      <c r="VJ44" s="412"/>
      <c r="VK44" s="412"/>
      <c r="VL44" s="412"/>
      <c r="VM44" s="412"/>
      <c r="VN44" s="412"/>
      <c r="VO44" s="412"/>
      <c r="VP44" s="412"/>
      <c r="VQ44" s="412"/>
      <c r="VR44" s="412"/>
      <c r="VS44" s="412"/>
      <c r="VT44" s="412"/>
      <c r="VU44" s="412"/>
      <c r="VV44" s="412"/>
      <c r="VW44" s="412"/>
      <c r="VX44" s="412"/>
      <c r="VY44" s="412"/>
      <c r="VZ44" s="412"/>
      <c r="WA44" s="412"/>
      <c r="WB44" s="412"/>
      <c r="WC44" s="412"/>
      <c r="WD44" s="412"/>
      <c r="WE44" s="412"/>
      <c r="WF44" s="412"/>
      <c r="WG44" s="412"/>
      <c r="WH44" s="412"/>
      <c r="WI44" s="412"/>
      <c r="WJ44" s="412"/>
      <c r="WK44" s="412"/>
      <c r="WL44" s="412"/>
      <c r="WM44" s="412"/>
      <c r="WN44" s="412"/>
      <c r="WO44" s="412"/>
      <c r="WP44" s="412"/>
      <c r="WQ44" s="412"/>
      <c r="WR44" s="412"/>
      <c r="WS44" s="412"/>
      <c r="WT44" s="412"/>
      <c r="WU44" s="412"/>
      <c r="WV44" s="412"/>
      <c r="WW44" s="412"/>
      <c r="WX44" s="412"/>
      <c r="WY44" s="412"/>
      <c r="WZ44" s="412"/>
      <c r="XA44" s="412"/>
      <c r="XB44" s="412"/>
      <c r="XC44" s="412"/>
      <c r="XD44" s="412"/>
      <c r="XE44" s="412"/>
      <c r="XF44" s="412"/>
      <c r="XG44" s="412"/>
      <c r="XH44" s="412"/>
      <c r="XI44" s="412"/>
      <c r="XJ44" s="412"/>
      <c r="XK44" s="412"/>
      <c r="XL44" s="412"/>
      <c r="XM44" s="412"/>
      <c r="XN44" s="412"/>
      <c r="XO44" s="412"/>
      <c r="XP44" s="412"/>
      <c r="XQ44" s="412"/>
      <c r="XR44" s="412"/>
      <c r="XS44" s="412"/>
      <c r="XT44" s="412"/>
      <c r="XU44" s="412"/>
      <c r="XV44" s="412"/>
      <c r="XW44" s="412"/>
      <c r="XX44" s="412"/>
      <c r="XY44" s="412"/>
      <c r="XZ44" s="412"/>
      <c r="YA44" s="412"/>
      <c r="YB44" s="412"/>
      <c r="YC44" s="412"/>
      <c r="YD44" s="412"/>
      <c r="YE44" s="412"/>
      <c r="YF44" s="412"/>
      <c r="YG44" s="412"/>
      <c r="YH44" s="412"/>
      <c r="YI44" s="412"/>
      <c r="YJ44" s="412"/>
      <c r="YK44" s="412"/>
      <c r="YL44" s="412"/>
      <c r="YM44" s="412"/>
      <c r="YN44" s="412"/>
      <c r="YO44" s="412"/>
      <c r="YP44" s="412"/>
      <c r="YQ44" s="412"/>
      <c r="YR44" s="412"/>
      <c r="YS44" s="412"/>
      <c r="YT44" s="412"/>
      <c r="YU44" s="412"/>
      <c r="YV44" s="412"/>
      <c r="YW44" s="412"/>
      <c r="YX44" s="412"/>
      <c r="YY44" s="412"/>
      <c r="YZ44" s="412"/>
      <c r="ZA44" s="412"/>
      <c r="ZB44" s="412"/>
      <c r="ZC44" s="412"/>
      <c r="ZD44" s="412"/>
      <c r="ZE44" s="412"/>
      <c r="ZF44" s="412"/>
      <c r="ZG44" s="412"/>
      <c r="ZH44" s="412"/>
      <c r="ZI44" s="412"/>
      <c r="ZJ44" s="412"/>
      <c r="ZK44" s="412"/>
      <c r="ZL44" s="412"/>
      <c r="ZM44" s="412"/>
      <c r="ZN44" s="412"/>
      <c r="ZO44" s="412"/>
      <c r="ZP44" s="412"/>
      <c r="ZQ44" s="412"/>
      <c r="ZR44" s="412"/>
      <c r="ZS44" s="412"/>
      <c r="ZT44" s="412"/>
      <c r="ZU44" s="412"/>
      <c r="ZV44" s="412"/>
      <c r="ZW44" s="412"/>
      <c r="ZX44" s="412"/>
      <c r="ZY44" s="412"/>
      <c r="ZZ44" s="412"/>
      <c r="AAA44" s="412"/>
      <c r="AAB44" s="412"/>
      <c r="AAC44" s="412"/>
      <c r="AAD44" s="412"/>
      <c r="AAE44" s="412"/>
      <c r="AAF44" s="412"/>
      <c r="AAG44" s="412"/>
      <c r="AAH44" s="412"/>
      <c r="AAI44" s="412"/>
      <c r="AAJ44" s="412"/>
      <c r="AAK44" s="412"/>
      <c r="AAL44" s="412"/>
      <c r="AAM44" s="412"/>
      <c r="AAN44" s="412"/>
      <c r="AAO44" s="412"/>
      <c r="AAP44" s="412"/>
      <c r="AAQ44" s="412"/>
      <c r="AAR44" s="412"/>
      <c r="AAS44" s="412"/>
      <c r="AAT44" s="412"/>
      <c r="AAU44" s="412"/>
      <c r="AAV44" s="412"/>
      <c r="AAW44" s="412"/>
      <c r="AAX44" s="412"/>
      <c r="AAY44" s="412"/>
      <c r="AAZ44" s="412"/>
      <c r="ABA44" s="412"/>
      <c r="ABB44" s="412"/>
      <c r="ABC44" s="412"/>
      <c r="ABD44" s="412"/>
      <c r="ABE44" s="412"/>
      <c r="ABF44" s="412"/>
      <c r="ABG44" s="412"/>
      <c r="ABH44" s="412"/>
      <c r="ABI44" s="412"/>
      <c r="ABJ44" s="412"/>
      <c r="ABK44" s="412"/>
      <c r="ABL44" s="412"/>
      <c r="ABM44" s="412"/>
      <c r="ABN44" s="412"/>
      <c r="ABO44" s="412"/>
      <c r="ABP44" s="412"/>
      <c r="ABQ44" s="412"/>
      <c r="ABR44" s="412"/>
      <c r="ABS44" s="412"/>
      <c r="ABT44" s="412"/>
      <c r="ABU44" s="412"/>
      <c r="ABV44" s="412"/>
      <c r="ABW44" s="412"/>
      <c r="ABX44" s="412"/>
      <c r="ABY44" s="412"/>
      <c r="ABZ44" s="412"/>
      <c r="ACA44" s="412"/>
      <c r="ACB44" s="412"/>
      <c r="ACC44" s="412"/>
      <c r="ACD44" s="412"/>
      <c r="ACE44" s="412"/>
      <c r="ACF44" s="412"/>
      <c r="ACG44" s="412"/>
      <c r="ACH44" s="412"/>
      <c r="ACI44" s="412"/>
      <c r="ACJ44" s="412"/>
      <c r="ACK44" s="412"/>
      <c r="ACL44" s="412"/>
      <c r="ACM44" s="412"/>
      <c r="ACN44" s="412"/>
      <c r="ACO44" s="412"/>
      <c r="ACP44" s="412"/>
      <c r="ACQ44" s="412"/>
      <c r="ACR44" s="412"/>
      <c r="ACS44" s="412"/>
      <c r="ACT44" s="412"/>
      <c r="ACU44" s="412"/>
      <c r="ACV44" s="412"/>
      <c r="ACW44" s="412"/>
      <c r="ACX44" s="412"/>
      <c r="ACY44" s="412"/>
      <c r="ACZ44" s="412"/>
      <c r="ADA44" s="412"/>
      <c r="ADB44" s="412"/>
      <c r="ADC44" s="412"/>
      <c r="ADD44" s="412"/>
      <c r="ADE44" s="412"/>
      <c r="ADF44" s="412"/>
      <c r="ADG44" s="412"/>
      <c r="ADH44" s="412"/>
      <c r="ADI44" s="412"/>
      <c r="ADJ44" s="412"/>
      <c r="ADK44" s="412"/>
      <c r="ADL44" s="412"/>
      <c r="ADM44" s="412"/>
      <c r="ADN44" s="412"/>
      <c r="ADO44" s="412"/>
      <c r="ADP44" s="412"/>
      <c r="ADQ44" s="412"/>
      <c r="ADR44" s="412"/>
      <c r="ADS44" s="412"/>
      <c r="ADT44" s="412"/>
      <c r="ADU44" s="412"/>
      <c r="ADV44" s="412"/>
      <c r="ADW44" s="412"/>
      <c r="ADX44" s="412"/>
      <c r="ADY44" s="412"/>
      <c r="ADZ44" s="412"/>
      <c r="AEA44" s="412"/>
      <c r="AEB44" s="412"/>
      <c r="AEC44" s="412"/>
      <c r="AED44" s="412"/>
      <c r="AEE44" s="412"/>
      <c r="AEF44" s="412"/>
      <c r="AEG44" s="412"/>
      <c r="AEH44" s="412"/>
      <c r="AEI44" s="412"/>
      <c r="AEJ44" s="412"/>
      <c r="AEK44" s="412"/>
      <c r="AEL44" s="412"/>
      <c r="AEM44" s="412"/>
      <c r="AEN44" s="412"/>
      <c r="AEO44" s="412"/>
      <c r="AEP44" s="412"/>
      <c r="AEQ44" s="412"/>
      <c r="AER44" s="412"/>
      <c r="AES44" s="412"/>
      <c r="AET44" s="412"/>
      <c r="AEU44" s="412"/>
      <c r="AEV44" s="412"/>
      <c r="AEW44" s="412"/>
      <c r="AEX44" s="412"/>
      <c r="AEY44" s="412"/>
      <c r="AEZ44" s="412"/>
      <c r="AFA44" s="412"/>
      <c r="AFB44" s="412"/>
      <c r="AFC44" s="412"/>
      <c r="AFD44" s="412"/>
      <c r="AFE44" s="412"/>
      <c r="AFF44" s="412"/>
      <c r="AFG44" s="412"/>
      <c r="AFH44" s="412"/>
      <c r="AFI44" s="412"/>
      <c r="AFJ44" s="412"/>
      <c r="AFK44" s="412"/>
      <c r="AFL44" s="412"/>
      <c r="AFM44" s="412"/>
      <c r="AFN44" s="412"/>
      <c r="AFO44" s="412"/>
      <c r="AFP44" s="412"/>
      <c r="AFQ44" s="412"/>
      <c r="AFR44" s="412"/>
      <c r="AFS44" s="412"/>
      <c r="AFT44" s="412"/>
      <c r="AFU44" s="412"/>
      <c r="AFV44" s="412"/>
      <c r="AFW44" s="412"/>
      <c r="AFX44" s="412"/>
      <c r="AFY44" s="412"/>
      <c r="AFZ44" s="412"/>
      <c r="AGA44" s="412"/>
      <c r="AGB44" s="412"/>
      <c r="AGC44" s="412"/>
      <c r="AGD44" s="412"/>
      <c r="AGE44" s="412"/>
      <c r="AGF44" s="412"/>
      <c r="AGG44" s="412"/>
      <c r="AGH44" s="412"/>
      <c r="AGI44" s="412"/>
      <c r="AGJ44" s="412"/>
      <c r="AGK44" s="412"/>
      <c r="AGL44" s="412"/>
      <c r="AGM44" s="412"/>
      <c r="AGN44" s="412"/>
      <c r="AGO44" s="412"/>
      <c r="AGP44" s="412"/>
      <c r="AGQ44" s="412"/>
      <c r="AGR44" s="412"/>
      <c r="AGS44" s="412"/>
      <c r="AGT44" s="412"/>
      <c r="AGU44" s="412"/>
      <c r="AGV44" s="412"/>
      <c r="AGW44" s="412"/>
      <c r="AGX44" s="412"/>
      <c r="AGY44" s="412"/>
      <c r="AGZ44" s="412"/>
      <c r="AHA44" s="412"/>
      <c r="AHB44" s="412"/>
      <c r="AHC44" s="412"/>
      <c r="AHD44" s="412"/>
      <c r="AHE44" s="412"/>
      <c r="AHF44" s="412"/>
      <c r="AHG44" s="412"/>
      <c r="AHH44" s="412"/>
      <c r="AHI44" s="412"/>
      <c r="AHJ44" s="412"/>
      <c r="AHK44" s="412"/>
      <c r="AHL44" s="412"/>
      <c r="AHM44" s="412"/>
      <c r="AHN44" s="412"/>
      <c r="AHO44" s="412"/>
      <c r="AHP44" s="412"/>
      <c r="AHQ44" s="412"/>
      <c r="AHR44" s="412"/>
      <c r="AHS44" s="412"/>
      <c r="AHT44" s="412"/>
      <c r="AHU44" s="412"/>
      <c r="AHV44" s="412"/>
      <c r="AHW44" s="412"/>
      <c r="AHX44" s="412"/>
      <c r="AHY44" s="412"/>
      <c r="AHZ44" s="412"/>
      <c r="AIA44" s="412"/>
      <c r="AIB44" s="412"/>
      <c r="AIC44" s="412"/>
      <c r="AID44" s="412"/>
      <c r="AIE44" s="412"/>
      <c r="AIF44" s="412"/>
      <c r="AIG44" s="412"/>
      <c r="AIH44" s="412"/>
      <c r="AII44" s="412"/>
      <c r="AIJ44" s="412"/>
      <c r="AIK44" s="412"/>
      <c r="AIL44" s="412"/>
      <c r="AIM44" s="412"/>
      <c r="AIN44" s="412"/>
      <c r="AIO44" s="412"/>
      <c r="AIP44" s="412"/>
      <c r="AIQ44" s="412"/>
      <c r="AIR44" s="412"/>
      <c r="AIS44" s="412"/>
      <c r="AIT44" s="412"/>
      <c r="AIU44" s="412"/>
      <c r="AIV44" s="412"/>
      <c r="AIW44" s="412"/>
      <c r="AIX44" s="412"/>
      <c r="AIY44" s="412"/>
      <c r="AIZ44" s="412"/>
      <c r="AJA44" s="412"/>
      <c r="AJB44" s="412"/>
      <c r="AJC44" s="412"/>
      <c r="AJD44" s="412"/>
      <c r="AJE44" s="412"/>
      <c r="AJF44" s="412"/>
      <c r="AJG44" s="412"/>
      <c r="AJH44" s="412"/>
      <c r="AJI44" s="412"/>
      <c r="AJJ44" s="412"/>
      <c r="AJK44" s="412"/>
      <c r="AJL44" s="412"/>
      <c r="AJM44" s="412"/>
      <c r="AJN44" s="412"/>
      <c r="AJO44" s="412"/>
      <c r="AJP44" s="412"/>
      <c r="AJQ44" s="412"/>
      <c r="AJR44" s="412"/>
      <c r="AJS44" s="412"/>
      <c r="AJT44" s="412"/>
      <c r="AJU44" s="412"/>
      <c r="AJV44" s="412"/>
      <c r="AJW44" s="412"/>
      <c r="AJX44" s="412"/>
      <c r="AJY44" s="412"/>
      <c r="AJZ44" s="412"/>
      <c r="AKA44" s="412"/>
      <c r="AKB44" s="412"/>
      <c r="AKC44" s="412"/>
      <c r="AKD44" s="412"/>
      <c r="AKE44" s="412"/>
      <c r="AKF44" s="412"/>
      <c r="AKG44" s="412"/>
      <c r="AKH44" s="412"/>
      <c r="AKI44" s="412"/>
      <c r="AKJ44" s="412"/>
      <c r="AKK44" s="412"/>
      <c r="AKL44" s="412"/>
      <c r="AKM44" s="412"/>
      <c r="AKN44" s="412"/>
      <c r="AKO44" s="412"/>
      <c r="AKP44" s="412"/>
      <c r="AKQ44" s="412"/>
      <c r="AKR44" s="412"/>
      <c r="AKS44" s="412"/>
      <c r="AKT44" s="412"/>
      <c r="AKU44" s="412"/>
      <c r="AKV44" s="412"/>
      <c r="AKW44" s="412"/>
      <c r="AKX44" s="412"/>
      <c r="AKY44" s="412"/>
      <c r="AKZ44" s="412"/>
      <c r="ALA44" s="412"/>
      <c r="ALB44" s="412"/>
      <c r="ALC44" s="412"/>
      <c r="ALD44" s="412"/>
      <c r="ALE44" s="412"/>
      <c r="ALF44" s="412"/>
      <c r="ALG44" s="412"/>
      <c r="ALH44" s="412"/>
      <c r="ALI44" s="412"/>
      <c r="ALJ44" s="412"/>
      <c r="ALK44" s="412"/>
      <c r="ALL44" s="412"/>
      <c r="ALM44" s="412"/>
      <c r="ALN44" s="412"/>
      <c r="ALO44" s="412"/>
      <c r="ALP44" s="412"/>
      <c r="ALQ44" s="412"/>
      <c r="ALR44" s="412"/>
      <c r="ALS44" s="412"/>
      <c r="ALT44" s="412"/>
      <c r="ALU44" s="412"/>
      <c r="ALV44" s="412"/>
      <c r="ALW44" s="412"/>
      <c r="ALX44" s="412"/>
      <c r="ALY44" s="412"/>
      <c r="ALZ44" s="412"/>
      <c r="AMA44" s="412"/>
      <c r="AMB44" s="412"/>
      <c r="AMC44" s="412"/>
      <c r="AMD44" s="412"/>
      <c r="AME44" s="412"/>
      <c r="AMF44" s="412"/>
      <c r="AMG44" s="412"/>
      <c r="AMH44" s="412"/>
      <c r="AMI44" s="412"/>
      <c r="AMJ44" s="412"/>
      <c r="AMK44" s="412"/>
      <c r="AML44" s="412"/>
      <c r="AMM44" s="412"/>
      <c r="AMN44" s="412"/>
      <c r="AMO44" s="412"/>
      <c r="AMP44" s="412"/>
      <c r="AMQ44" s="412"/>
      <c r="AMR44" s="412"/>
      <c r="AMS44" s="412"/>
      <c r="AMT44" s="412"/>
      <c r="AMU44" s="412"/>
      <c r="AMV44" s="412"/>
      <c r="AMW44" s="412"/>
      <c r="AMX44" s="412"/>
      <c r="AMY44" s="412"/>
      <c r="AMZ44" s="412"/>
      <c r="ANA44" s="412"/>
      <c r="ANB44" s="412"/>
      <c r="ANC44" s="412"/>
      <c r="AND44" s="412"/>
      <c r="ANE44" s="412"/>
      <c r="ANF44" s="412"/>
      <c r="ANG44" s="412"/>
      <c r="ANH44" s="412"/>
      <c r="ANI44" s="412"/>
      <c r="ANJ44" s="412"/>
      <c r="ANK44" s="412"/>
      <c r="ANL44" s="412"/>
      <c r="ANM44" s="412"/>
      <c r="ANN44" s="412"/>
      <c r="ANO44" s="412"/>
      <c r="ANP44" s="412"/>
      <c r="ANQ44" s="412"/>
      <c r="ANR44" s="412"/>
      <c r="ANS44" s="412"/>
      <c r="ANT44" s="412"/>
      <c r="ANU44" s="412"/>
      <c r="ANV44" s="412"/>
      <c r="ANW44" s="412"/>
      <c r="ANX44" s="412"/>
      <c r="ANY44" s="412"/>
      <c r="ANZ44" s="412"/>
      <c r="AOA44" s="412"/>
      <c r="AOB44" s="412"/>
      <c r="AOC44" s="412"/>
      <c r="AOD44" s="412"/>
      <c r="AOE44" s="412"/>
      <c r="AOF44" s="412"/>
      <c r="AOG44" s="412"/>
      <c r="AOH44" s="412"/>
      <c r="AOI44" s="412"/>
      <c r="AOJ44" s="412"/>
      <c r="AOK44" s="412"/>
      <c r="AOL44" s="412"/>
      <c r="AOM44" s="412"/>
      <c r="AON44" s="412"/>
      <c r="AOO44" s="412"/>
      <c r="AOP44" s="412"/>
      <c r="AOQ44" s="412"/>
      <c r="AOR44" s="412"/>
      <c r="AOS44" s="412"/>
      <c r="AOT44" s="412"/>
      <c r="AOU44" s="412"/>
      <c r="AOV44" s="412"/>
      <c r="AOW44" s="412"/>
      <c r="AOX44" s="412"/>
      <c r="AOY44" s="412"/>
      <c r="AOZ44" s="412"/>
      <c r="APA44" s="412"/>
      <c r="APB44" s="412"/>
      <c r="APC44" s="412"/>
      <c r="APD44" s="412"/>
      <c r="APE44" s="412"/>
      <c r="APF44" s="412"/>
      <c r="APG44" s="412"/>
      <c r="APH44" s="412"/>
      <c r="API44" s="412"/>
      <c r="APJ44" s="412"/>
      <c r="APK44" s="412"/>
      <c r="APL44" s="412"/>
      <c r="APM44" s="412"/>
      <c r="APN44" s="412"/>
      <c r="APO44" s="412"/>
      <c r="APP44" s="412"/>
      <c r="APQ44" s="412"/>
      <c r="APR44" s="412"/>
      <c r="APS44" s="412"/>
      <c r="APT44" s="412"/>
      <c r="APU44" s="412"/>
      <c r="APV44" s="412"/>
      <c r="APW44" s="412"/>
      <c r="APX44" s="412"/>
      <c r="APY44" s="412"/>
      <c r="APZ44" s="412"/>
      <c r="AQA44" s="412"/>
      <c r="AQB44" s="412"/>
      <c r="AQC44" s="412"/>
      <c r="AQD44" s="412"/>
      <c r="AQE44" s="412"/>
      <c r="AQF44" s="412"/>
      <c r="AQG44" s="412"/>
      <c r="AQH44" s="412"/>
      <c r="AQI44" s="412"/>
      <c r="AQJ44" s="412"/>
      <c r="AQK44" s="412"/>
      <c r="AQL44" s="412"/>
      <c r="AQM44" s="412"/>
      <c r="AQN44" s="412"/>
      <c r="AQO44" s="412"/>
      <c r="AQP44" s="412"/>
      <c r="AQQ44" s="412"/>
      <c r="AQR44" s="412"/>
      <c r="AQS44" s="412"/>
      <c r="AQT44" s="412"/>
      <c r="AQU44" s="412"/>
      <c r="AQV44" s="412"/>
      <c r="AQW44" s="412"/>
      <c r="AQX44" s="412"/>
      <c r="AQY44" s="412"/>
      <c r="AQZ44" s="412"/>
      <c r="ARA44" s="412"/>
      <c r="ARB44" s="412"/>
      <c r="ARC44" s="412"/>
      <c r="ARD44" s="412"/>
      <c r="ARE44" s="412"/>
      <c r="ARF44" s="412"/>
      <c r="ARG44" s="412"/>
      <c r="ARH44" s="412"/>
      <c r="ARI44" s="412"/>
      <c r="ARJ44" s="412"/>
      <c r="ARK44" s="412"/>
      <c r="ARL44" s="412"/>
      <c r="ARM44" s="412"/>
      <c r="ARN44" s="412"/>
      <c r="ARO44" s="412"/>
      <c r="ARP44" s="412"/>
      <c r="ARQ44" s="412"/>
      <c r="ARR44" s="412"/>
      <c r="ARS44" s="412"/>
      <c r="ART44" s="412"/>
      <c r="ARU44" s="412"/>
      <c r="ARV44" s="412"/>
      <c r="ARW44" s="412"/>
      <c r="ARX44" s="412"/>
      <c r="ARY44" s="412"/>
      <c r="ARZ44" s="412"/>
      <c r="ASA44" s="412"/>
      <c r="ASB44" s="412"/>
      <c r="ASC44" s="412"/>
      <c r="ASD44" s="412"/>
      <c r="ASE44" s="412"/>
      <c r="ASF44" s="412"/>
      <c r="ASG44" s="412"/>
      <c r="ASH44" s="412"/>
      <c r="ASI44" s="412"/>
      <c r="ASJ44" s="412"/>
      <c r="ASK44" s="412"/>
      <c r="ASL44" s="412"/>
      <c r="ASM44" s="412"/>
      <c r="ASN44" s="412"/>
      <c r="ASO44" s="412"/>
      <c r="ASP44" s="412"/>
      <c r="ASQ44" s="412"/>
      <c r="ASR44" s="412"/>
      <c r="ASS44" s="412"/>
      <c r="AST44" s="412"/>
      <c r="ASU44" s="412"/>
      <c r="ASV44" s="412"/>
      <c r="ASW44" s="412"/>
      <c r="ASX44" s="412"/>
      <c r="ASY44" s="412"/>
      <c r="ASZ44" s="412"/>
      <c r="ATA44" s="412"/>
      <c r="ATB44" s="412"/>
      <c r="ATC44" s="412"/>
      <c r="ATD44" s="412"/>
      <c r="ATE44" s="412"/>
      <c r="ATF44" s="412"/>
      <c r="ATG44" s="412"/>
      <c r="ATH44" s="412"/>
      <c r="ATI44" s="412"/>
      <c r="ATJ44" s="412"/>
      <c r="ATK44" s="412"/>
      <c r="ATL44" s="412"/>
      <c r="ATM44" s="412"/>
      <c r="ATN44" s="412"/>
      <c r="ATO44" s="412"/>
      <c r="ATP44" s="412"/>
      <c r="ATQ44" s="412"/>
      <c r="ATR44" s="412"/>
      <c r="ATS44" s="412"/>
      <c r="ATT44" s="412"/>
      <c r="ATU44" s="412"/>
      <c r="ATV44" s="412"/>
      <c r="ATW44" s="412"/>
      <c r="ATX44" s="412"/>
      <c r="ATY44" s="412"/>
      <c r="ATZ44" s="412"/>
      <c r="AUA44" s="412"/>
      <c r="AUB44" s="412"/>
      <c r="AUC44" s="412"/>
      <c r="AUD44" s="412"/>
      <c r="AUE44" s="412"/>
      <c r="AUF44" s="412"/>
      <c r="AUG44" s="412"/>
      <c r="AUH44" s="412"/>
      <c r="AUI44" s="412"/>
      <c r="AUJ44" s="412"/>
      <c r="AUK44" s="412"/>
      <c r="AUL44" s="412"/>
      <c r="AUM44" s="412"/>
      <c r="AUN44" s="412"/>
      <c r="AUO44" s="412"/>
      <c r="AUP44" s="412"/>
      <c r="AUQ44" s="412"/>
      <c r="AUR44" s="412"/>
      <c r="AUS44" s="412"/>
      <c r="AUT44" s="412"/>
      <c r="AUU44" s="412"/>
      <c r="AUV44" s="412"/>
      <c r="AUW44" s="412"/>
      <c r="AUX44" s="412"/>
      <c r="AUY44" s="412"/>
      <c r="AUZ44" s="412"/>
      <c r="AVA44" s="412"/>
      <c r="AVB44" s="412"/>
      <c r="AVC44" s="412"/>
      <c r="AVD44" s="412"/>
      <c r="AVE44" s="412"/>
      <c r="AVF44" s="412"/>
      <c r="AVG44" s="412"/>
      <c r="AVH44" s="412"/>
      <c r="AVI44" s="412"/>
      <c r="AVJ44" s="412"/>
      <c r="AVK44" s="412"/>
      <c r="AVL44" s="412"/>
      <c r="AVM44" s="412"/>
      <c r="AVN44" s="412"/>
      <c r="AVO44" s="412"/>
      <c r="AVP44" s="412"/>
      <c r="AVQ44" s="412"/>
      <c r="AVR44" s="412"/>
      <c r="AVS44" s="412"/>
      <c r="AVT44" s="412"/>
      <c r="AVU44" s="412"/>
      <c r="AVV44" s="412"/>
      <c r="AVW44" s="412"/>
      <c r="AVX44" s="412"/>
      <c r="AVY44" s="412"/>
      <c r="AVZ44" s="412"/>
      <c r="AWA44" s="412"/>
      <c r="AWB44" s="412"/>
      <c r="AWC44" s="412"/>
      <c r="AWD44" s="412"/>
      <c r="AWE44" s="412"/>
      <c r="AWF44" s="412"/>
      <c r="AWG44" s="412"/>
      <c r="AWH44" s="412"/>
      <c r="AWI44" s="412"/>
      <c r="AWJ44" s="412"/>
      <c r="AWK44" s="412"/>
      <c r="AWL44" s="412"/>
      <c r="AWM44" s="412"/>
      <c r="AWN44" s="412"/>
      <c r="AWO44" s="412"/>
      <c r="AWP44" s="412"/>
      <c r="AWQ44" s="412"/>
      <c r="AWR44" s="412"/>
      <c r="AWS44" s="412"/>
      <c r="AWT44" s="412"/>
      <c r="AWU44" s="412"/>
      <c r="AWV44" s="412"/>
      <c r="AWW44" s="412"/>
      <c r="AWX44" s="412"/>
      <c r="AWY44" s="412"/>
      <c r="AWZ44" s="412"/>
      <c r="AXA44" s="412"/>
      <c r="AXB44" s="412"/>
      <c r="AXC44" s="412"/>
      <c r="AXD44" s="412"/>
      <c r="AXE44" s="412"/>
      <c r="AXF44" s="412"/>
      <c r="AXG44" s="412"/>
      <c r="AXH44" s="412"/>
      <c r="AXI44" s="412"/>
      <c r="AXJ44" s="412"/>
      <c r="AXK44" s="412"/>
      <c r="AXL44" s="412"/>
      <c r="AXM44" s="412"/>
      <c r="AXN44" s="412"/>
      <c r="AXO44" s="412"/>
      <c r="AXP44" s="412"/>
      <c r="AXQ44" s="412"/>
      <c r="AXR44" s="412"/>
      <c r="AXS44" s="412"/>
      <c r="AXT44" s="412"/>
      <c r="AXU44" s="412"/>
      <c r="AXV44" s="412"/>
      <c r="AXW44" s="412"/>
      <c r="AXX44" s="412"/>
      <c r="AXY44" s="412"/>
      <c r="AXZ44" s="412"/>
      <c r="AYA44" s="412"/>
      <c r="AYB44" s="412"/>
      <c r="AYC44" s="412"/>
      <c r="AYD44" s="412"/>
      <c r="AYE44" s="412"/>
      <c r="AYF44" s="412"/>
      <c r="AYG44" s="412"/>
      <c r="AYH44" s="412"/>
      <c r="AYI44" s="412"/>
      <c r="AYJ44" s="412"/>
      <c r="AYK44" s="412"/>
      <c r="AYL44" s="412"/>
      <c r="AYM44" s="412"/>
      <c r="AYN44" s="412"/>
      <c r="AYO44" s="412"/>
      <c r="AYP44" s="412"/>
      <c r="AYQ44" s="412"/>
      <c r="AYR44" s="412"/>
      <c r="AYS44" s="412"/>
      <c r="AYT44" s="412"/>
      <c r="AYU44" s="412"/>
      <c r="AYV44" s="412"/>
      <c r="AYW44" s="412"/>
      <c r="AYX44" s="412"/>
      <c r="AYY44" s="412"/>
      <c r="AYZ44" s="412"/>
      <c r="AZA44" s="412"/>
      <c r="AZB44" s="412"/>
      <c r="AZC44" s="412"/>
      <c r="AZD44" s="412"/>
      <c r="AZE44" s="412"/>
      <c r="AZF44" s="412"/>
      <c r="AZG44" s="412"/>
      <c r="AZH44" s="412"/>
      <c r="AZI44" s="412"/>
      <c r="AZJ44" s="412"/>
      <c r="AZK44" s="412"/>
      <c r="AZL44" s="412"/>
      <c r="AZM44" s="412"/>
      <c r="AZN44" s="412"/>
      <c r="AZO44" s="412"/>
      <c r="AZP44" s="412"/>
      <c r="AZQ44" s="412"/>
      <c r="AZR44" s="412"/>
      <c r="AZS44" s="412"/>
      <c r="AZT44" s="412"/>
      <c r="AZU44" s="412"/>
      <c r="AZV44" s="412"/>
      <c r="AZW44" s="412"/>
      <c r="AZX44" s="412"/>
      <c r="AZY44" s="412"/>
      <c r="AZZ44" s="412"/>
      <c r="BAA44" s="412"/>
      <c r="BAB44" s="412"/>
      <c r="BAC44" s="412"/>
      <c r="BAD44" s="412"/>
      <c r="BAE44" s="412"/>
      <c r="BAF44" s="412"/>
      <c r="BAG44" s="412"/>
      <c r="BAH44" s="412"/>
      <c r="BAI44" s="412"/>
      <c r="BAJ44" s="412"/>
      <c r="BAK44" s="412"/>
      <c r="BAL44" s="412"/>
      <c r="BAM44" s="412"/>
      <c r="BAN44" s="412"/>
      <c r="BAO44" s="412"/>
      <c r="BAP44" s="412"/>
      <c r="BAQ44" s="412"/>
      <c r="BAR44" s="412"/>
      <c r="BAS44" s="412"/>
      <c r="BAT44" s="412"/>
      <c r="BAU44" s="412"/>
      <c r="BAV44" s="412"/>
      <c r="BAW44" s="412"/>
      <c r="BAX44" s="412"/>
      <c r="BAY44" s="412"/>
      <c r="BAZ44" s="412"/>
      <c r="BBA44" s="412"/>
      <c r="BBB44" s="412"/>
      <c r="BBC44" s="412"/>
      <c r="BBD44" s="412"/>
      <c r="BBE44" s="412"/>
      <c r="BBF44" s="412"/>
      <c r="BBG44" s="412"/>
      <c r="BBH44" s="412"/>
      <c r="BBI44" s="412"/>
      <c r="BBJ44" s="412"/>
      <c r="BBK44" s="412"/>
      <c r="BBL44" s="412"/>
      <c r="BBM44" s="412"/>
      <c r="BBN44" s="412"/>
      <c r="BBO44" s="412"/>
      <c r="BBP44" s="412"/>
      <c r="BBQ44" s="412"/>
      <c r="BBR44" s="412"/>
      <c r="BBS44" s="412"/>
      <c r="BBT44" s="412"/>
      <c r="BBU44" s="412"/>
      <c r="BBV44" s="412"/>
      <c r="BBW44" s="412"/>
      <c r="BBX44" s="412"/>
      <c r="BBY44" s="412"/>
      <c r="BBZ44" s="412"/>
      <c r="BCA44" s="412"/>
      <c r="BCB44" s="412"/>
      <c r="BCC44" s="412"/>
      <c r="BCD44" s="412"/>
      <c r="BCE44" s="412"/>
      <c r="BCF44" s="412"/>
      <c r="BCG44" s="412"/>
      <c r="BCH44" s="412"/>
      <c r="BCI44" s="412"/>
      <c r="BCJ44" s="412"/>
      <c r="BCK44" s="412"/>
      <c r="BCL44" s="412"/>
      <c r="BCM44" s="412"/>
      <c r="BCN44" s="412"/>
      <c r="BCO44" s="412"/>
      <c r="BCP44" s="412"/>
      <c r="BCQ44" s="412"/>
      <c r="BCR44" s="412"/>
      <c r="BCS44" s="412"/>
      <c r="BCT44" s="412"/>
      <c r="BCU44" s="412"/>
      <c r="BCV44" s="412"/>
      <c r="BCW44" s="412"/>
      <c r="BCX44" s="412"/>
      <c r="BCY44" s="412"/>
      <c r="BCZ44" s="412"/>
      <c r="BDA44" s="412"/>
      <c r="BDB44" s="412"/>
      <c r="BDC44" s="412"/>
      <c r="BDD44" s="412"/>
      <c r="BDE44" s="412"/>
      <c r="BDF44" s="412"/>
      <c r="BDG44" s="412"/>
      <c r="BDH44" s="412"/>
      <c r="BDI44" s="412"/>
      <c r="BDJ44" s="412"/>
      <c r="BDK44" s="412"/>
      <c r="BDL44" s="412"/>
      <c r="BDM44" s="412"/>
      <c r="BDN44" s="412"/>
      <c r="BDO44" s="412"/>
      <c r="BDP44" s="412"/>
      <c r="BDQ44" s="412"/>
      <c r="BDR44" s="412"/>
      <c r="BDS44" s="412"/>
      <c r="BDT44" s="412"/>
      <c r="BDU44" s="412"/>
      <c r="BDV44" s="412"/>
      <c r="BDW44" s="412"/>
      <c r="BDX44" s="412"/>
      <c r="BDY44" s="412"/>
      <c r="BDZ44" s="412"/>
      <c r="BEA44" s="412"/>
      <c r="BEB44" s="412"/>
      <c r="BEC44" s="412"/>
      <c r="BED44" s="412"/>
      <c r="BEE44" s="412"/>
      <c r="BEF44" s="412"/>
      <c r="BEG44" s="412"/>
      <c r="BEH44" s="412"/>
      <c r="BEI44" s="412"/>
      <c r="BEJ44" s="412"/>
      <c r="BEK44" s="412"/>
      <c r="BEL44" s="412"/>
      <c r="BEM44" s="412"/>
      <c r="BEN44" s="412"/>
      <c r="BEO44" s="412"/>
      <c r="BEP44" s="412"/>
      <c r="BEQ44" s="412"/>
      <c r="BER44" s="412"/>
      <c r="BES44" s="412"/>
      <c r="BET44" s="412"/>
      <c r="BEU44" s="412"/>
      <c r="BEV44" s="412"/>
      <c r="BEW44" s="412"/>
      <c r="BEX44" s="412"/>
      <c r="BEY44" s="412"/>
      <c r="BEZ44" s="412"/>
      <c r="BFA44" s="412"/>
      <c r="BFB44" s="412"/>
      <c r="BFC44" s="412"/>
      <c r="BFD44" s="412"/>
      <c r="BFE44" s="412"/>
      <c r="BFF44" s="412"/>
      <c r="BFG44" s="412"/>
      <c r="BFH44" s="412"/>
      <c r="BFI44" s="412"/>
      <c r="BFJ44" s="412"/>
      <c r="BFK44" s="412"/>
      <c r="BFL44" s="412"/>
      <c r="BFM44" s="412"/>
      <c r="BFN44" s="412"/>
      <c r="BFO44" s="412"/>
      <c r="BFP44" s="412"/>
      <c r="BFQ44" s="412"/>
      <c r="BFR44" s="412"/>
      <c r="BFS44" s="412"/>
      <c r="BFT44" s="412"/>
      <c r="BFU44" s="412"/>
      <c r="BFV44" s="412"/>
      <c r="BFW44" s="412"/>
      <c r="BFX44" s="412"/>
      <c r="BFY44" s="412"/>
      <c r="BFZ44" s="412"/>
      <c r="BGA44" s="412"/>
      <c r="BGB44" s="412"/>
      <c r="BGC44" s="412"/>
      <c r="BGD44" s="412"/>
      <c r="BGE44" s="412"/>
      <c r="BGF44" s="412"/>
      <c r="BGG44" s="412"/>
      <c r="BGH44" s="412"/>
      <c r="BGI44" s="412"/>
      <c r="BGJ44" s="412"/>
      <c r="BGK44" s="412"/>
      <c r="BGL44" s="412"/>
      <c r="BGM44" s="412"/>
      <c r="BGN44" s="412"/>
      <c r="BGO44" s="412"/>
      <c r="BGP44" s="412"/>
      <c r="BGQ44" s="412"/>
      <c r="BGR44" s="412"/>
      <c r="BGS44" s="412"/>
      <c r="BGT44" s="412"/>
      <c r="BGU44" s="412"/>
      <c r="BGV44" s="412"/>
      <c r="BGW44" s="412"/>
      <c r="BGX44" s="412"/>
      <c r="BGY44" s="412"/>
      <c r="BGZ44" s="412"/>
      <c r="BHA44" s="412"/>
      <c r="BHB44" s="412"/>
      <c r="BHC44" s="412"/>
      <c r="BHD44" s="412"/>
      <c r="BHE44" s="412"/>
      <c r="BHF44" s="412"/>
      <c r="BHG44" s="412"/>
      <c r="BHH44" s="412"/>
      <c r="BHI44" s="412"/>
      <c r="BHJ44" s="412"/>
      <c r="BHK44" s="412"/>
      <c r="BHL44" s="412"/>
      <c r="BHM44" s="412"/>
      <c r="BHN44" s="412"/>
      <c r="BHO44" s="412"/>
      <c r="BHP44" s="412"/>
      <c r="BHQ44" s="412"/>
      <c r="BHR44" s="412"/>
      <c r="BHS44" s="412"/>
      <c r="BHT44" s="412"/>
      <c r="BHU44" s="412"/>
      <c r="BHV44" s="412"/>
      <c r="BHW44" s="412"/>
      <c r="BHX44" s="412"/>
      <c r="BHY44" s="412"/>
      <c r="BHZ44" s="412"/>
      <c r="BIA44" s="412"/>
      <c r="BIB44" s="412"/>
      <c r="BIC44" s="412"/>
      <c r="BID44" s="412"/>
      <c r="BIE44" s="412"/>
      <c r="BIF44" s="412"/>
      <c r="BIG44" s="412"/>
      <c r="BIH44" s="412"/>
      <c r="BII44" s="412"/>
      <c r="BIJ44" s="412"/>
      <c r="BIK44" s="412"/>
      <c r="BIL44" s="412"/>
      <c r="BIM44" s="412"/>
      <c r="BIN44" s="412"/>
      <c r="BIO44" s="412"/>
      <c r="BIP44" s="412"/>
      <c r="BIQ44" s="412"/>
      <c r="BIR44" s="412"/>
      <c r="BIS44" s="412"/>
      <c r="BIT44" s="412"/>
      <c r="BIU44" s="412"/>
      <c r="BIV44" s="412"/>
      <c r="BIW44" s="412"/>
      <c r="BIX44" s="412"/>
      <c r="BIY44" s="412"/>
      <c r="BIZ44" s="412"/>
      <c r="BJA44" s="412"/>
      <c r="BJB44" s="412"/>
      <c r="BJC44" s="412"/>
      <c r="BJD44" s="412"/>
      <c r="BJE44" s="412"/>
      <c r="BJF44" s="412"/>
      <c r="BJG44" s="412"/>
      <c r="BJH44" s="412"/>
      <c r="BJI44" s="412"/>
      <c r="BJJ44" s="412"/>
      <c r="BJK44" s="412"/>
      <c r="BJL44" s="412"/>
      <c r="BJM44" s="412"/>
      <c r="BJN44" s="412"/>
      <c r="BJO44" s="412"/>
      <c r="BJP44" s="412"/>
      <c r="BJQ44" s="412"/>
      <c r="BJR44" s="412"/>
      <c r="BJS44" s="412"/>
      <c r="BJT44" s="412"/>
      <c r="BJU44" s="412"/>
      <c r="BJV44" s="412"/>
      <c r="BJW44" s="412"/>
      <c r="BJX44" s="412"/>
      <c r="BJY44" s="412"/>
      <c r="BJZ44" s="412"/>
      <c r="BKA44" s="412"/>
      <c r="BKB44" s="412"/>
      <c r="BKC44" s="412"/>
      <c r="BKD44" s="412"/>
      <c r="BKE44" s="412"/>
      <c r="BKF44" s="412"/>
      <c r="BKG44" s="412"/>
      <c r="BKH44" s="412"/>
      <c r="BKI44" s="412"/>
      <c r="BKJ44" s="412"/>
      <c r="BKK44" s="412"/>
      <c r="BKL44" s="412"/>
      <c r="BKM44" s="412"/>
      <c r="BKN44" s="412"/>
      <c r="BKO44" s="412"/>
      <c r="BKP44" s="412"/>
      <c r="BKQ44" s="412"/>
      <c r="BKR44" s="412"/>
      <c r="BKS44" s="412"/>
      <c r="BKT44" s="412"/>
      <c r="BKU44" s="412"/>
      <c r="BKV44" s="412"/>
      <c r="BKW44" s="412"/>
      <c r="BKX44" s="412"/>
      <c r="BKY44" s="412"/>
      <c r="BKZ44" s="412"/>
      <c r="BLA44" s="412"/>
      <c r="BLB44" s="412"/>
      <c r="BLC44" s="412"/>
      <c r="BLD44" s="412"/>
      <c r="BLE44" s="412"/>
      <c r="BLF44" s="412"/>
      <c r="BLG44" s="412"/>
      <c r="BLH44" s="412"/>
      <c r="BLI44" s="412"/>
      <c r="BLJ44" s="412"/>
      <c r="BLK44" s="412"/>
      <c r="BLL44" s="412"/>
      <c r="BLM44" s="412"/>
      <c r="BLN44" s="412"/>
      <c r="BLO44" s="412"/>
      <c r="BLP44" s="412"/>
      <c r="BLQ44" s="412"/>
      <c r="BLR44" s="412"/>
      <c r="BLS44" s="412"/>
      <c r="BLT44" s="412"/>
      <c r="BLU44" s="412"/>
      <c r="BLV44" s="412"/>
      <c r="BLW44" s="412"/>
      <c r="BLX44" s="412"/>
      <c r="BLY44" s="412"/>
      <c r="BLZ44" s="412"/>
      <c r="BMA44" s="412"/>
      <c r="BMB44" s="412"/>
      <c r="BMC44" s="412"/>
      <c r="BMD44" s="412"/>
      <c r="BME44" s="412"/>
      <c r="BMF44" s="412"/>
      <c r="BMG44" s="412"/>
      <c r="BMH44" s="412"/>
      <c r="BMI44" s="412"/>
      <c r="BMJ44" s="412"/>
      <c r="BMK44" s="412"/>
      <c r="BML44" s="412"/>
      <c r="BMM44" s="412"/>
      <c r="BMN44" s="412"/>
      <c r="BMO44" s="412"/>
      <c r="BMP44" s="412"/>
      <c r="BMQ44" s="412"/>
      <c r="BMR44" s="412"/>
      <c r="BMS44" s="412"/>
      <c r="BMT44" s="412"/>
      <c r="BMU44" s="412"/>
      <c r="BMV44" s="412"/>
      <c r="BMW44" s="412"/>
      <c r="BMX44" s="412"/>
      <c r="BMY44" s="412"/>
      <c r="BMZ44" s="412"/>
      <c r="BNA44" s="412"/>
      <c r="BNB44" s="412"/>
      <c r="BNC44" s="412"/>
      <c r="BND44" s="412"/>
      <c r="BNE44" s="412"/>
      <c r="BNF44" s="412"/>
      <c r="BNG44" s="412"/>
      <c r="BNH44" s="412"/>
      <c r="BNI44" s="412"/>
      <c r="BNJ44" s="412"/>
      <c r="BNK44" s="412"/>
      <c r="BNL44" s="412"/>
      <c r="BNM44" s="412"/>
      <c r="BNN44" s="412"/>
      <c r="BNO44" s="412"/>
      <c r="BNP44" s="412"/>
      <c r="BNQ44" s="412"/>
      <c r="BNR44" s="412"/>
      <c r="BNS44" s="412"/>
      <c r="BNT44" s="412"/>
      <c r="BNU44" s="412"/>
      <c r="BNV44" s="412"/>
      <c r="BNW44" s="412"/>
      <c r="BNX44" s="412"/>
      <c r="BNY44" s="412"/>
      <c r="BNZ44" s="412"/>
      <c r="BOA44" s="412"/>
      <c r="BOB44" s="412"/>
      <c r="BOC44" s="412"/>
      <c r="BOD44" s="412"/>
      <c r="BOE44" s="412"/>
      <c r="BOF44" s="412"/>
      <c r="BOG44" s="412"/>
      <c r="BOH44" s="412"/>
      <c r="BOI44" s="412"/>
      <c r="BOJ44" s="412"/>
      <c r="BOK44" s="412"/>
      <c r="BOL44" s="412"/>
      <c r="BOM44" s="412"/>
      <c r="BON44" s="412"/>
      <c r="BOO44" s="412"/>
      <c r="BOP44" s="412"/>
      <c r="BOQ44" s="412"/>
      <c r="BOR44" s="412"/>
      <c r="BOS44" s="412"/>
      <c r="BOT44" s="412"/>
      <c r="BOU44" s="412"/>
      <c r="BOV44" s="412"/>
      <c r="BOW44" s="412"/>
      <c r="BOX44" s="412"/>
      <c r="BOY44" s="412"/>
      <c r="BOZ44" s="412"/>
      <c r="BPA44" s="412"/>
      <c r="BPB44" s="412"/>
      <c r="BPC44" s="412"/>
      <c r="BPD44" s="412"/>
      <c r="BPE44" s="412"/>
      <c r="BPF44" s="412"/>
      <c r="BPG44" s="412"/>
      <c r="BPH44" s="412"/>
      <c r="BPI44" s="412"/>
      <c r="BPJ44" s="412"/>
      <c r="BPK44" s="412"/>
      <c r="BPL44" s="412"/>
      <c r="BPM44" s="412"/>
      <c r="BPN44" s="412"/>
      <c r="BPO44" s="412"/>
      <c r="BPP44" s="412"/>
      <c r="BPQ44" s="412"/>
      <c r="BPR44" s="412"/>
      <c r="BPS44" s="412"/>
      <c r="BPT44" s="412"/>
      <c r="BPU44" s="412"/>
      <c r="BPV44" s="412"/>
      <c r="BPW44" s="412"/>
      <c r="BPX44" s="412"/>
      <c r="BPY44" s="412"/>
      <c r="BPZ44" s="412"/>
      <c r="BQA44" s="412"/>
      <c r="BQB44" s="412"/>
      <c r="BQC44" s="412"/>
      <c r="BQD44" s="412"/>
      <c r="BQE44" s="412"/>
      <c r="BQF44" s="412"/>
      <c r="BQG44" s="412"/>
      <c r="BQH44" s="412"/>
      <c r="BQI44" s="412"/>
      <c r="BQJ44" s="412"/>
      <c r="BQK44" s="412"/>
      <c r="BQL44" s="412"/>
      <c r="BQM44" s="412"/>
      <c r="BQN44" s="412"/>
      <c r="BQO44" s="412"/>
      <c r="BQP44" s="412"/>
      <c r="BQQ44" s="412"/>
      <c r="BQR44" s="412"/>
      <c r="BQS44" s="412"/>
      <c r="BQT44" s="412"/>
      <c r="BQU44" s="412"/>
      <c r="BQV44" s="412"/>
      <c r="BQW44" s="412"/>
      <c r="BQX44" s="412"/>
      <c r="BQY44" s="412"/>
      <c r="BQZ44" s="412"/>
      <c r="BRA44" s="412"/>
      <c r="BRB44" s="412"/>
      <c r="BRC44" s="412"/>
      <c r="BRD44" s="412"/>
      <c r="BRE44" s="412"/>
      <c r="BRF44" s="412"/>
      <c r="BRG44" s="412"/>
      <c r="BRH44" s="412"/>
      <c r="BRI44" s="412"/>
      <c r="BRJ44" s="412"/>
      <c r="BRK44" s="412"/>
      <c r="BRL44" s="412"/>
      <c r="BRM44" s="412"/>
      <c r="BRN44" s="412"/>
      <c r="BRO44" s="412"/>
      <c r="BRP44" s="412"/>
      <c r="BRQ44" s="412"/>
      <c r="BRR44" s="412"/>
      <c r="BRS44" s="412"/>
      <c r="BRT44" s="412"/>
      <c r="BRU44" s="412"/>
      <c r="BRV44" s="412"/>
      <c r="BRW44" s="412"/>
      <c r="BRX44" s="412"/>
      <c r="BRY44" s="412"/>
      <c r="BRZ44" s="412"/>
      <c r="BSA44" s="412"/>
      <c r="BSB44" s="412"/>
      <c r="BSC44" s="412"/>
      <c r="BSD44" s="412"/>
      <c r="BSE44" s="412"/>
      <c r="BSF44" s="412"/>
      <c r="BSG44" s="412"/>
      <c r="BSH44" s="412"/>
      <c r="BSI44" s="412"/>
      <c r="BSJ44" s="412"/>
      <c r="BSK44" s="412"/>
      <c r="BSL44" s="412"/>
      <c r="BSM44" s="412"/>
      <c r="BSN44" s="412"/>
      <c r="BSO44" s="412"/>
      <c r="BSP44" s="412"/>
      <c r="BSQ44" s="412"/>
      <c r="BSR44" s="412"/>
      <c r="BSS44" s="412"/>
      <c r="BST44" s="412"/>
      <c r="BSU44" s="412"/>
      <c r="BSV44" s="412"/>
      <c r="BSW44" s="412"/>
      <c r="BSX44" s="412"/>
      <c r="BSY44" s="412"/>
      <c r="BSZ44" s="412"/>
      <c r="BTA44" s="412"/>
      <c r="BTB44" s="412"/>
      <c r="BTC44" s="412"/>
      <c r="BTD44" s="412"/>
      <c r="BTE44" s="412"/>
      <c r="BTF44" s="412"/>
      <c r="BTG44" s="412"/>
      <c r="BTH44" s="412"/>
      <c r="BTI44" s="412"/>
    </row>
    <row r="45" spans="1:1881" s="4" customFormat="1" ht="45.75" customHeight="1" thickBot="1" x14ac:dyDescent="0.3">
      <c r="A45" s="189">
        <v>536</v>
      </c>
      <c r="B45" s="65" t="s">
        <v>62</v>
      </c>
      <c r="C45" s="134" t="s">
        <v>161</v>
      </c>
      <c r="D45" s="176" t="s">
        <v>158</v>
      </c>
      <c r="E45" s="32" t="e">
        <f>HLOOKUP($D$2,'2019 Data(H)'!$C$1:$CG$300,186,FALSE)</f>
        <v>#N/A</v>
      </c>
      <c r="F45" s="647"/>
      <c r="G45" s="413">
        <f>IF(F45&lt;0,"Note: Number is normally positive.",)</f>
        <v>0</v>
      </c>
      <c r="H45" s="17"/>
      <c r="I45" s="298"/>
      <c r="J45" s="368"/>
      <c r="K45" s="412"/>
      <c r="L45" s="865" t="s">
        <v>1143</v>
      </c>
      <c r="M45" s="633"/>
      <c r="N45" s="656"/>
      <c r="O45" s="412"/>
      <c r="P45" s="412"/>
      <c r="Q45" s="412"/>
      <c r="R45" s="412"/>
      <c r="S45" s="412"/>
      <c r="T45" s="412"/>
      <c r="U45" s="412"/>
      <c r="V45" s="412"/>
      <c r="W45" s="412"/>
      <c r="X45" s="412"/>
      <c r="Y45" s="412"/>
      <c r="Z45" s="412"/>
      <c r="AA45" s="412"/>
      <c r="AB45" s="412"/>
      <c r="AC45" s="412"/>
      <c r="AD45" s="412"/>
      <c r="AE45" s="412"/>
      <c r="AF45" s="412"/>
      <c r="AG45" s="412"/>
      <c r="AH45" s="412"/>
      <c r="AI45" s="412"/>
      <c r="AJ45" s="412"/>
      <c r="AK45" s="412"/>
      <c r="AL45" s="412"/>
      <c r="AM45" s="412"/>
      <c r="AN45" s="412"/>
      <c r="AO45" s="412"/>
      <c r="AP45" s="412"/>
      <c r="AQ45" s="412"/>
      <c r="AR45" s="412"/>
      <c r="AS45" s="412"/>
      <c r="AT45" s="412"/>
      <c r="AU45" s="412"/>
      <c r="AV45" s="412"/>
      <c r="AW45" s="412"/>
      <c r="AX45" s="412"/>
      <c r="AY45" s="412"/>
      <c r="AZ45" s="412"/>
      <c r="BA45" s="412"/>
      <c r="BB45" s="412"/>
      <c r="BC45" s="412"/>
      <c r="BD45" s="412"/>
      <c r="BE45" s="412"/>
      <c r="BF45" s="412"/>
      <c r="BG45" s="412"/>
      <c r="BH45" s="412"/>
      <c r="BI45" s="412"/>
      <c r="BJ45" s="412"/>
      <c r="BK45" s="412"/>
      <c r="BL45" s="412"/>
      <c r="BM45" s="412"/>
      <c r="BN45" s="412"/>
      <c r="BO45" s="412"/>
      <c r="BP45" s="412"/>
      <c r="BQ45" s="412"/>
      <c r="BR45" s="412"/>
      <c r="BS45" s="412"/>
      <c r="BT45" s="412"/>
      <c r="BU45" s="412"/>
      <c r="BV45" s="412"/>
      <c r="BW45" s="412"/>
      <c r="BX45" s="412"/>
      <c r="BY45" s="412"/>
      <c r="BZ45" s="412"/>
      <c r="CA45" s="412"/>
      <c r="CB45" s="412"/>
      <c r="CC45" s="412"/>
      <c r="CD45" s="412"/>
      <c r="CE45" s="412"/>
      <c r="CF45" s="412"/>
      <c r="CG45" s="412"/>
      <c r="CH45" s="412"/>
      <c r="CI45" s="412"/>
      <c r="CJ45" s="412"/>
      <c r="CK45" s="412"/>
      <c r="CL45" s="412"/>
      <c r="CM45" s="412"/>
      <c r="CN45" s="412"/>
      <c r="CO45" s="412"/>
      <c r="CP45" s="412"/>
      <c r="CQ45" s="412"/>
      <c r="CR45" s="412"/>
      <c r="CS45" s="412"/>
      <c r="CT45" s="412"/>
      <c r="CU45" s="412"/>
      <c r="CV45" s="412"/>
      <c r="CW45" s="412"/>
      <c r="CX45" s="412"/>
      <c r="CY45" s="412"/>
      <c r="CZ45" s="412"/>
      <c r="DA45" s="412"/>
      <c r="DB45" s="412"/>
      <c r="DC45" s="412"/>
      <c r="DD45" s="412"/>
      <c r="DE45" s="412"/>
      <c r="DF45" s="412"/>
      <c r="DG45" s="412"/>
      <c r="DH45" s="412"/>
      <c r="DI45" s="412"/>
      <c r="DJ45" s="412"/>
      <c r="DK45" s="412"/>
      <c r="DL45" s="412"/>
      <c r="DM45" s="412"/>
      <c r="DN45" s="412"/>
      <c r="DO45" s="412"/>
      <c r="DP45" s="412"/>
      <c r="DQ45" s="412"/>
      <c r="DR45" s="412"/>
      <c r="DS45" s="412"/>
      <c r="DT45" s="412"/>
      <c r="DU45" s="412"/>
      <c r="DV45" s="412"/>
      <c r="DW45" s="412"/>
      <c r="DX45" s="412"/>
      <c r="DY45" s="412"/>
      <c r="DZ45" s="412"/>
      <c r="EA45" s="412"/>
      <c r="EB45" s="412"/>
      <c r="EC45" s="412"/>
      <c r="ED45" s="412"/>
      <c r="EE45" s="412"/>
      <c r="EF45" s="412"/>
      <c r="EG45" s="412"/>
      <c r="EH45" s="412"/>
      <c r="EI45" s="412"/>
      <c r="EJ45" s="412"/>
      <c r="EK45" s="412"/>
      <c r="EL45" s="412"/>
      <c r="EM45" s="412"/>
      <c r="EN45" s="412"/>
      <c r="EO45" s="412"/>
      <c r="EP45" s="412"/>
      <c r="EQ45" s="412"/>
      <c r="ER45" s="412"/>
      <c r="ES45" s="412"/>
      <c r="ET45" s="412"/>
      <c r="EU45" s="412"/>
      <c r="EV45" s="412"/>
      <c r="EW45" s="412"/>
      <c r="EX45" s="412"/>
      <c r="EY45" s="412"/>
      <c r="EZ45" s="412"/>
      <c r="FA45" s="412"/>
      <c r="FB45" s="412"/>
      <c r="FC45" s="412"/>
      <c r="FD45" s="412"/>
      <c r="FE45" s="412"/>
      <c r="FF45" s="412"/>
      <c r="FG45" s="412"/>
      <c r="FH45" s="412"/>
      <c r="FI45" s="412"/>
      <c r="FJ45" s="412"/>
      <c r="FK45" s="412"/>
      <c r="FL45" s="412"/>
      <c r="FM45" s="412"/>
      <c r="FN45" s="412"/>
      <c r="FO45" s="412"/>
      <c r="FP45" s="412"/>
      <c r="FQ45" s="412"/>
      <c r="FR45" s="412"/>
      <c r="FS45" s="412"/>
      <c r="FT45" s="412"/>
      <c r="FU45" s="412"/>
      <c r="FV45" s="412"/>
      <c r="FW45" s="412"/>
      <c r="FX45" s="412"/>
      <c r="FY45" s="412"/>
      <c r="FZ45" s="412"/>
      <c r="GA45" s="412"/>
      <c r="GB45" s="412"/>
      <c r="GC45" s="412"/>
      <c r="GD45" s="412"/>
      <c r="GE45" s="412"/>
      <c r="GF45" s="412"/>
      <c r="GG45" s="412"/>
      <c r="GH45" s="412"/>
      <c r="GI45" s="412"/>
      <c r="GJ45" s="412"/>
      <c r="GK45" s="412"/>
      <c r="GL45" s="412"/>
      <c r="GM45" s="412"/>
      <c r="GN45" s="412"/>
      <c r="GO45" s="412"/>
      <c r="GP45" s="412"/>
      <c r="GQ45" s="412"/>
      <c r="GR45" s="412"/>
      <c r="GS45" s="412"/>
      <c r="GT45" s="412"/>
      <c r="GU45" s="412"/>
      <c r="GV45" s="412"/>
      <c r="GW45" s="412"/>
      <c r="GX45" s="412"/>
      <c r="GY45" s="412"/>
      <c r="GZ45" s="412"/>
      <c r="HA45" s="412"/>
      <c r="HB45" s="412"/>
      <c r="HC45" s="412"/>
      <c r="HD45" s="412"/>
      <c r="HE45" s="412"/>
      <c r="HF45" s="412"/>
      <c r="HG45" s="412"/>
      <c r="HH45" s="412"/>
      <c r="HI45" s="412"/>
      <c r="HJ45" s="412"/>
      <c r="HK45" s="412"/>
      <c r="HL45" s="412"/>
      <c r="HM45" s="412"/>
      <c r="HN45" s="412"/>
      <c r="HO45" s="412"/>
      <c r="HP45" s="412"/>
      <c r="HQ45" s="412"/>
      <c r="HR45" s="412"/>
      <c r="HS45" s="412"/>
      <c r="HT45" s="412"/>
      <c r="HU45" s="412"/>
      <c r="HV45" s="412"/>
      <c r="HW45" s="412"/>
      <c r="HX45" s="412"/>
      <c r="HY45" s="412"/>
      <c r="HZ45" s="412"/>
      <c r="IA45" s="412"/>
      <c r="IB45" s="412"/>
      <c r="IC45" s="412"/>
      <c r="ID45" s="412"/>
      <c r="IE45" s="412"/>
      <c r="IF45" s="412"/>
      <c r="IG45" s="412"/>
      <c r="IH45" s="412"/>
      <c r="II45" s="412"/>
      <c r="IJ45" s="412"/>
      <c r="IK45" s="412"/>
      <c r="IL45" s="412"/>
      <c r="IM45" s="412"/>
      <c r="IN45" s="412"/>
      <c r="IO45" s="412"/>
      <c r="IP45" s="412"/>
      <c r="IQ45" s="412"/>
      <c r="IR45" s="412"/>
      <c r="IS45" s="412"/>
      <c r="IT45" s="412"/>
      <c r="IU45" s="412"/>
      <c r="IV45" s="412"/>
      <c r="IW45" s="412"/>
      <c r="IX45" s="412"/>
      <c r="IY45" s="412"/>
      <c r="IZ45" s="412"/>
      <c r="JA45" s="412"/>
      <c r="JB45" s="412"/>
      <c r="JC45" s="412"/>
      <c r="JD45" s="412"/>
      <c r="JE45" s="412"/>
      <c r="JF45" s="412"/>
      <c r="JG45" s="412"/>
      <c r="JH45" s="412"/>
      <c r="JI45" s="412"/>
      <c r="JJ45" s="412"/>
      <c r="JK45" s="412"/>
      <c r="JL45" s="412"/>
      <c r="JM45" s="412"/>
      <c r="JN45" s="412"/>
      <c r="JO45" s="412"/>
      <c r="JP45" s="412"/>
      <c r="JQ45" s="412"/>
      <c r="JR45" s="412"/>
      <c r="JS45" s="412"/>
      <c r="JT45" s="412"/>
      <c r="JU45" s="412"/>
      <c r="JV45" s="412"/>
      <c r="JW45" s="412"/>
      <c r="JX45" s="412"/>
      <c r="JY45" s="412"/>
      <c r="JZ45" s="412"/>
      <c r="KA45" s="412"/>
      <c r="KB45" s="412"/>
      <c r="KC45" s="412"/>
      <c r="KD45" s="412"/>
      <c r="KE45" s="412"/>
      <c r="KF45" s="412"/>
      <c r="KG45" s="412"/>
      <c r="KH45" s="412"/>
      <c r="KI45" s="412"/>
      <c r="KJ45" s="412"/>
      <c r="KK45" s="412"/>
      <c r="KL45" s="412"/>
      <c r="KM45" s="412"/>
      <c r="KN45" s="412"/>
      <c r="KO45" s="412"/>
      <c r="KP45" s="412"/>
      <c r="KQ45" s="412"/>
      <c r="KR45" s="412"/>
      <c r="KS45" s="412"/>
      <c r="KT45" s="412"/>
      <c r="KU45" s="412"/>
      <c r="KV45" s="412"/>
      <c r="KW45" s="412"/>
      <c r="KX45" s="412"/>
      <c r="KY45" s="412"/>
      <c r="KZ45" s="412"/>
      <c r="LA45" s="412"/>
      <c r="LB45" s="412"/>
      <c r="LC45" s="412"/>
      <c r="LD45" s="412"/>
      <c r="LE45" s="412"/>
      <c r="LF45" s="412"/>
      <c r="LG45" s="412"/>
      <c r="LH45" s="412"/>
      <c r="LI45" s="412"/>
      <c r="LJ45" s="412"/>
      <c r="LK45" s="412"/>
      <c r="LL45" s="412"/>
      <c r="LM45" s="412"/>
      <c r="LN45" s="412"/>
      <c r="LO45" s="412"/>
      <c r="LP45" s="412"/>
      <c r="LQ45" s="412"/>
      <c r="LR45" s="412"/>
      <c r="LS45" s="412"/>
      <c r="LT45" s="412"/>
      <c r="LU45" s="412"/>
      <c r="LV45" s="412"/>
      <c r="LW45" s="412"/>
      <c r="LX45" s="412"/>
      <c r="LY45" s="412"/>
      <c r="LZ45" s="412"/>
      <c r="MA45" s="412"/>
      <c r="MB45" s="412"/>
      <c r="MC45" s="412"/>
      <c r="MD45" s="412"/>
      <c r="ME45" s="412"/>
      <c r="MF45" s="412"/>
      <c r="MG45" s="412"/>
      <c r="MH45" s="412"/>
      <c r="MI45" s="412"/>
      <c r="MJ45" s="412"/>
      <c r="MK45" s="412"/>
      <c r="ML45" s="412"/>
      <c r="MM45" s="412"/>
      <c r="MN45" s="412"/>
      <c r="MO45" s="412"/>
      <c r="MP45" s="412"/>
      <c r="MQ45" s="412"/>
      <c r="MR45" s="412"/>
      <c r="MS45" s="412"/>
      <c r="MT45" s="412"/>
      <c r="MU45" s="412"/>
      <c r="MV45" s="412"/>
      <c r="MW45" s="412"/>
      <c r="MX45" s="412"/>
      <c r="MY45" s="412"/>
      <c r="MZ45" s="412"/>
      <c r="NA45" s="412"/>
      <c r="NB45" s="412"/>
      <c r="NC45" s="412"/>
      <c r="ND45" s="412"/>
      <c r="NE45" s="412"/>
      <c r="NF45" s="412"/>
      <c r="NG45" s="412"/>
      <c r="NH45" s="412"/>
      <c r="NI45" s="412"/>
      <c r="NJ45" s="412"/>
      <c r="NK45" s="412"/>
      <c r="NL45" s="412"/>
      <c r="NM45" s="412"/>
      <c r="NN45" s="412"/>
      <c r="NO45" s="412"/>
      <c r="NP45" s="412"/>
      <c r="NQ45" s="412"/>
      <c r="NR45" s="412"/>
      <c r="NS45" s="412"/>
      <c r="NT45" s="412"/>
      <c r="NU45" s="412"/>
      <c r="NV45" s="412"/>
      <c r="NW45" s="412"/>
      <c r="NX45" s="412"/>
      <c r="NY45" s="412"/>
      <c r="NZ45" s="412"/>
      <c r="OA45" s="412"/>
      <c r="OB45" s="412"/>
      <c r="OC45" s="412"/>
      <c r="OD45" s="412"/>
      <c r="OE45" s="412"/>
      <c r="OF45" s="412"/>
      <c r="OG45" s="412"/>
      <c r="OH45" s="412"/>
      <c r="OI45" s="412"/>
      <c r="OJ45" s="412"/>
      <c r="OK45" s="412"/>
      <c r="OL45" s="412"/>
      <c r="OM45" s="412"/>
      <c r="ON45" s="412"/>
      <c r="OO45" s="412"/>
      <c r="OP45" s="412"/>
      <c r="OQ45" s="412"/>
      <c r="OR45" s="412"/>
      <c r="OS45" s="412"/>
      <c r="OT45" s="412"/>
      <c r="OU45" s="412"/>
      <c r="OV45" s="412"/>
      <c r="OW45" s="412"/>
      <c r="OX45" s="412"/>
      <c r="OY45" s="412"/>
      <c r="OZ45" s="412"/>
      <c r="PA45" s="412"/>
      <c r="PB45" s="412"/>
      <c r="PC45" s="412"/>
      <c r="PD45" s="412"/>
      <c r="PE45" s="412"/>
      <c r="PF45" s="412"/>
      <c r="PG45" s="412"/>
      <c r="PH45" s="412"/>
      <c r="PI45" s="412"/>
      <c r="PJ45" s="412"/>
      <c r="PK45" s="412"/>
      <c r="PL45" s="412"/>
      <c r="PM45" s="412"/>
      <c r="PN45" s="412"/>
      <c r="PO45" s="412"/>
      <c r="PP45" s="412"/>
      <c r="PQ45" s="412"/>
      <c r="PR45" s="412"/>
      <c r="PS45" s="412"/>
      <c r="PT45" s="412"/>
      <c r="PU45" s="412"/>
      <c r="PV45" s="412"/>
      <c r="PW45" s="412"/>
      <c r="PX45" s="412"/>
      <c r="PY45" s="412"/>
      <c r="PZ45" s="412"/>
      <c r="QA45" s="412"/>
      <c r="QB45" s="412"/>
      <c r="QC45" s="412"/>
      <c r="QD45" s="412"/>
      <c r="QE45" s="412"/>
      <c r="QF45" s="412"/>
      <c r="QG45" s="412"/>
      <c r="QH45" s="412"/>
      <c r="QI45" s="412"/>
      <c r="QJ45" s="412"/>
      <c r="QK45" s="412"/>
      <c r="QL45" s="412"/>
      <c r="QM45" s="412"/>
      <c r="QN45" s="412"/>
      <c r="QO45" s="412"/>
      <c r="QP45" s="412"/>
      <c r="QQ45" s="412"/>
      <c r="QR45" s="412"/>
      <c r="QS45" s="412"/>
      <c r="QT45" s="412"/>
      <c r="QU45" s="412"/>
      <c r="QV45" s="412"/>
      <c r="QW45" s="412"/>
      <c r="QX45" s="412"/>
      <c r="QY45" s="412"/>
      <c r="QZ45" s="412"/>
      <c r="RA45" s="412"/>
      <c r="RB45" s="412"/>
      <c r="RC45" s="412"/>
      <c r="RD45" s="412"/>
      <c r="RE45" s="412"/>
      <c r="RF45" s="412"/>
      <c r="RG45" s="412"/>
      <c r="RH45" s="412"/>
      <c r="RI45" s="412"/>
      <c r="RJ45" s="412"/>
      <c r="RK45" s="412"/>
      <c r="RL45" s="412"/>
      <c r="RM45" s="412"/>
      <c r="RN45" s="412"/>
      <c r="RO45" s="412"/>
      <c r="RP45" s="412"/>
      <c r="RQ45" s="412"/>
      <c r="RR45" s="412"/>
      <c r="RS45" s="412"/>
      <c r="RT45" s="412"/>
      <c r="RU45" s="412"/>
      <c r="RV45" s="412"/>
      <c r="RW45" s="412"/>
      <c r="RX45" s="412"/>
      <c r="RY45" s="412"/>
      <c r="RZ45" s="412"/>
      <c r="SA45" s="412"/>
      <c r="SB45" s="412"/>
      <c r="SC45" s="412"/>
      <c r="SD45" s="412"/>
      <c r="SE45" s="412"/>
      <c r="SF45" s="412"/>
      <c r="SG45" s="412"/>
      <c r="SH45" s="412"/>
      <c r="SI45" s="412"/>
      <c r="SJ45" s="412"/>
      <c r="SK45" s="412"/>
      <c r="SL45" s="412"/>
      <c r="SM45" s="412"/>
      <c r="SN45" s="412"/>
      <c r="SO45" s="412"/>
      <c r="SP45" s="412"/>
      <c r="SQ45" s="412"/>
      <c r="SR45" s="412"/>
      <c r="SS45" s="412"/>
      <c r="ST45" s="412"/>
      <c r="SU45" s="412"/>
      <c r="SV45" s="412"/>
      <c r="SW45" s="412"/>
      <c r="SX45" s="412"/>
      <c r="SY45" s="412"/>
      <c r="SZ45" s="412"/>
      <c r="TA45" s="412"/>
      <c r="TB45" s="412"/>
      <c r="TC45" s="412"/>
      <c r="TD45" s="412"/>
      <c r="TE45" s="412"/>
      <c r="TF45" s="412"/>
      <c r="TG45" s="412"/>
      <c r="TH45" s="412"/>
      <c r="TI45" s="412"/>
      <c r="TJ45" s="412"/>
      <c r="TK45" s="412"/>
      <c r="TL45" s="412"/>
      <c r="TM45" s="412"/>
      <c r="TN45" s="412"/>
      <c r="TO45" s="412"/>
      <c r="TP45" s="412"/>
      <c r="TQ45" s="412"/>
      <c r="TR45" s="412"/>
      <c r="TS45" s="412"/>
      <c r="TT45" s="412"/>
      <c r="TU45" s="412"/>
      <c r="TV45" s="412"/>
      <c r="TW45" s="412"/>
      <c r="TX45" s="412"/>
      <c r="TY45" s="412"/>
      <c r="TZ45" s="412"/>
      <c r="UA45" s="412"/>
      <c r="UB45" s="412"/>
      <c r="UC45" s="412"/>
      <c r="UD45" s="412"/>
      <c r="UE45" s="412"/>
      <c r="UF45" s="412"/>
      <c r="UG45" s="412"/>
      <c r="UH45" s="412"/>
      <c r="UI45" s="412"/>
      <c r="UJ45" s="412"/>
      <c r="UK45" s="412"/>
      <c r="UL45" s="412"/>
      <c r="UM45" s="412"/>
      <c r="UN45" s="412"/>
      <c r="UO45" s="412"/>
      <c r="UP45" s="412"/>
      <c r="UQ45" s="412"/>
      <c r="UR45" s="412"/>
      <c r="US45" s="412"/>
      <c r="UT45" s="412"/>
      <c r="UU45" s="412"/>
      <c r="UV45" s="412"/>
      <c r="UW45" s="412"/>
      <c r="UX45" s="412"/>
      <c r="UY45" s="412"/>
      <c r="UZ45" s="412"/>
      <c r="VA45" s="412"/>
      <c r="VB45" s="412"/>
      <c r="VC45" s="412"/>
      <c r="VD45" s="412"/>
      <c r="VE45" s="412"/>
      <c r="VF45" s="412"/>
      <c r="VG45" s="412"/>
      <c r="VH45" s="412"/>
      <c r="VI45" s="412"/>
      <c r="VJ45" s="412"/>
      <c r="VK45" s="412"/>
      <c r="VL45" s="412"/>
      <c r="VM45" s="412"/>
      <c r="VN45" s="412"/>
      <c r="VO45" s="412"/>
      <c r="VP45" s="412"/>
      <c r="VQ45" s="412"/>
      <c r="VR45" s="412"/>
      <c r="VS45" s="412"/>
      <c r="VT45" s="412"/>
      <c r="VU45" s="412"/>
      <c r="VV45" s="412"/>
      <c r="VW45" s="412"/>
      <c r="VX45" s="412"/>
      <c r="VY45" s="412"/>
      <c r="VZ45" s="412"/>
      <c r="WA45" s="412"/>
      <c r="WB45" s="412"/>
      <c r="WC45" s="412"/>
      <c r="WD45" s="412"/>
      <c r="WE45" s="412"/>
      <c r="WF45" s="412"/>
      <c r="WG45" s="412"/>
      <c r="WH45" s="412"/>
      <c r="WI45" s="412"/>
      <c r="WJ45" s="412"/>
      <c r="WK45" s="412"/>
      <c r="WL45" s="412"/>
      <c r="WM45" s="412"/>
      <c r="WN45" s="412"/>
      <c r="WO45" s="412"/>
      <c r="WP45" s="412"/>
      <c r="WQ45" s="412"/>
      <c r="WR45" s="412"/>
      <c r="WS45" s="412"/>
      <c r="WT45" s="412"/>
      <c r="WU45" s="412"/>
      <c r="WV45" s="412"/>
      <c r="WW45" s="412"/>
      <c r="WX45" s="412"/>
      <c r="WY45" s="412"/>
      <c r="WZ45" s="412"/>
      <c r="XA45" s="412"/>
      <c r="XB45" s="412"/>
      <c r="XC45" s="412"/>
      <c r="XD45" s="412"/>
      <c r="XE45" s="412"/>
      <c r="XF45" s="412"/>
      <c r="XG45" s="412"/>
      <c r="XH45" s="412"/>
      <c r="XI45" s="412"/>
      <c r="XJ45" s="412"/>
      <c r="XK45" s="412"/>
      <c r="XL45" s="412"/>
      <c r="XM45" s="412"/>
      <c r="XN45" s="412"/>
      <c r="XO45" s="412"/>
      <c r="XP45" s="412"/>
      <c r="XQ45" s="412"/>
      <c r="XR45" s="412"/>
      <c r="XS45" s="412"/>
      <c r="XT45" s="412"/>
      <c r="XU45" s="412"/>
      <c r="XV45" s="412"/>
      <c r="XW45" s="412"/>
      <c r="XX45" s="412"/>
      <c r="XY45" s="412"/>
      <c r="XZ45" s="412"/>
      <c r="YA45" s="412"/>
      <c r="YB45" s="412"/>
      <c r="YC45" s="412"/>
      <c r="YD45" s="412"/>
      <c r="YE45" s="412"/>
      <c r="YF45" s="412"/>
      <c r="YG45" s="412"/>
      <c r="YH45" s="412"/>
      <c r="YI45" s="412"/>
      <c r="YJ45" s="412"/>
      <c r="YK45" s="412"/>
      <c r="YL45" s="412"/>
      <c r="YM45" s="412"/>
      <c r="YN45" s="412"/>
      <c r="YO45" s="412"/>
      <c r="YP45" s="412"/>
      <c r="YQ45" s="412"/>
      <c r="YR45" s="412"/>
      <c r="YS45" s="412"/>
      <c r="YT45" s="412"/>
      <c r="YU45" s="412"/>
      <c r="YV45" s="412"/>
      <c r="YW45" s="412"/>
      <c r="YX45" s="412"/>
      <c r="YY45" s="412"/>
      <c r="YZ45" s="412"/>
      <c r="ZA45" s="412"/>
      <c r="ZB45" s="412"/>
      <c r="ZC45" s="412"/>
      <c r="ZD45" s="412"/>
      <c r="ZE45" s="412"/>
      <c r="ZF45" s="412"/>
      <c r="ZG45" s="412"/>
      <c r="ZH45" s="412"/>
      <c r="ZI45" s="412"/>
      <c r="ZJ45" s="412"/>
      <c r="ZK45" s="412"/>
      <c r="ZL45" s="412"/>
      <c r="ZM45" s="412"/>
      <c r="ZN45" s="412"/>
      <c r="ZO45" s="412"/>
      <c r="ZP45" s="412"/>
      <c r="ZQ45" s="412"/>
      <c r="ZR45" s="412"/>
      <c r="ZS45" s="412"/>
      <c r="ZT45" s="412"/>
      <c r="ZU45" s="412"/>
      <c r="ZV45" s="412"/>
      <c r="ZW45" s="412"/>
      <c r="ZX45" s="412"/>
      <c r="ZY45" s="412"/>
      <c r="ZZ45" s="412"/>
      <c r="AAA45" s="412"/>
      <c r="AAB45" s="412"/>
      <c r="AAC45" s="412"/>
      <c r="AAD45" s="412"/>
      <c r="AAE45" s="412"/>
      <c r="AAF45" s="412"/>
      <c r="AAG45" s="412"/>
      <c r="AAH45" s="412"/>
      <c r="AAI45" s="412"/>
      <c r="AAJ45" s="412"/>
      <c r="AAK45" s="412"/>
      <c r="AAL45" s="412"/>
      <c r="AAM45" s="412"/>
      <c r="AAN45" s="412"/>
      <c r="AAO45" s="412"/>
      <c r="AAP45" s="412"/>
      <c r="AAQ45" s="412"/>
      <c r="AAR45" s="412"/>
      <c r="AAS45" s="412"/>
      <c r="AAT45" s="412"/>
      <c r="AAU45" s="412"/>
      <c r="AAV45" s="412"/>
      <c r="AAW45" s="412"/>
      <c r="AAX45" s="412"/>
      <c r="AAY45" s="412"/>
      <c r="AAZ45" s="412"/>
      <c r="ABA45" s="412"/>
      <c r="ABB45" s="412"/>
      <c r="ABC45" s="412"/>
      <c r="ABD45" s="412"/>
      <c r="ABE45" s="412"/>
      <c r="ABF45" s="412"/>
      <c r="ABG45" s="412"/>
      <c r="ABH45" s="412"/>
      <c r="ABI45" s="412"/>
      <c r="ABJ45" s="412"/>
      <c r="ABK45" s="412"/>
      <c r="ABL45" s="412"/>
      <c r="ABM45" s="412"/>
      <c r="ABN45" s="412"/>
      <c r="ABO45" s="412"/>
      <c r="ABP45" s="412"/>
      <c r="ABQ45" s="412"/>
      <c r="ABR45" s="412"/>
      <c r="ABS45" s="412"/>
      <c r="ABT45" s="412"/>
      <c r="ABU45" s="412"/>
      <c r="ABV45" s="412"/>
      <c r="ABW45" s="412"/>
      <c r="ABX45" s="412"/>
      <c r="ABY45" s="412"/>
      <c r="ABZ45" s="412"/>
      <c r="ACA45" s="412"/>
      <c r="ACB45" s="412"/>
      <c r="ACC45" s="412"/>
      <c r="ACD45" s="412"/>
      <c r="ACE45" s="412"/>
      <c r="ACF45" s="412"/>
      <c r="ACG45" s="412"/>
      <c r="ACH45" s="412"/>
      <c r="ACI45" s="412"/>
      <c r="ACJ45" s="412"/>
      <c r="ACK45" s="412"/>
      <c r="ACL45" s="412"/>
      <c r="ACM45" s="412"/>
      <c r="ACN45" s="412"/>
      <c r="ACO45" s="412"/>
      <c r="ACP45" s="412"/>
      <c r="ACQ45" s="412"/>
      <c r="ACR45" s="412"/>
      <c r="ACS45" s="412"/>
      <c r="ACT45" s="412"/>
      <c r="ACU45" s="412"/>
      <c r="ACV45" s="412"/>
      <c r="ACW45" s="412"/>
      <c r="ACX45" s="412"/>
      <c r="ACY45" s="412"/>
      <c r="ACZ45" s="412"/>
      <c r="ADA45" s="412"/>
      <c r="ADB45" s="412"/>
      <c r="ADC45" s="412"/>
      <c r="ADD45" s="412"/>
      <c r="ADE45" s="412"/>
      <c r="ADF45" s="412"/>
      <c r="ADG45" s="412"/>
      <c r="ADH45" s="412"/>
      <c r="ADI45" s="412"/>
      <c r="ADJ45" s="412"/>
      <c r="ADK45" s="412"/>
      <c r="ADL45" s="412"/>
      <c r="ADM45" s="412"/>
      <c r="ADN45" s="412"/>
      <c r="ADO45" s="412"/>
      <c r="ADP45" s="412"/>
      <c r="ADQ45" s="412"/>
      <c r="ADR45" s="412"/>
      <c r="ADS45" s="412"/>
      <c r="ADT45" s="412"/>
      <c r="ADU45" s="412"/>
      <c r="ADV45" s="412"/>
      <c r="ADW45" s="412"/>
      <c r="ADX45" s="412"/>
      <c r="ADY45" s="412"/>
      <c r="ADZ45" s="412"/>
      <c r="AEA45" s="412"/>
      <c r="AEB45" s="412"/>
      <c r="AEC45" s="412"/>
      <c r="AED45" s="412"/>
      <c r="AEE45" s="412"/>
      <c r="AEF45" s="412"/>
      <c r="AEG45" s="412"/>
      <c r="AEH45" s="412"/>
      <c r="AEI45" s="412"/>
      <c r="AEJ45" s="412"/>
      <c r="AEK45" s="412"/>
      <c r="AEL45" s="412"/>
      <c r="AEM45" s="412"/>
      <c r="AEN45" s="412"/>
      <c r="AEO45" s="412"/>
      <c r="AEP45" s="412"/>
      <c r="AEQ45" s="412"/>
      <c r="AER45" s="412"/>
      <c r="AES45" s="412"/>
      <c r="AET45" s="412"/>
      <c r="AEU45" s="412"/>
      <c r="AEV45" s="412"/>
      <c r="AEW45" s="412"/>
      <c r="AEX45" s="412"/>
      <c r="AEY45" s="412"/>
      <c r="AEZ45" s="412"/>
      <c r="AFA45" s="412"/>
      <c r="AFB45" s="412"/>
      <c r="AFC45" s="412"/>
      <c r="AFD45" s="412"/>
      <c r="AFE45" s="412"/>
      <c r="AFF45" s="412"/>
      <c r="AFG45" s="412"/>
      <c r="AFH45" s="412"/>
      <c r="AFI45" s="412"/>
      <c r="AFJ45" s="412"/>
      <c r="AFK45" s="412"/>
      <c r="AFL45" s="412"/>
      <c r="AFM45" s="412"/>
      <c r="AFN45" s="412"/>
      <c r="AFO45" s="412"/>
      <c r="AFP45" s="412"/>
      <c r="AFQ45" s="412"/>
      <c r="AFR45" s="412"/>
      <c r="AFS45" s="412"/>
      <c r="AFT45" s="412"/>
      <c r="AFU45" s="412"/>
      <c r="AFV45" s="412"/>
      <c r="AFW45" s="412"/>
      <c r="AFX45" s="412"/>
      <c r="AFY45" s="412"/>
      <c r="AFZ45" s="412"/>
      <c r="AGA45" s="412"/>
      <c r="AGB45" s="412"/>
      <c r="AGC45" s="412"/>
      <c r="AGD45" s="412"/>
      <c r="AGE45" s="412"/>
      <c r="AGF45" s="412"/>
      <c r="AGG45" s="412"/>
      <c r="AGH45" s="412"/>
      <c r="AGI45" s="412"/>
      <c r="AGJ45" s="412"/>
      <c r="AGK45" s="412"/>
      <c r="AGL45" s="412"/>
      <c r="AGM45" s="412"/>
      <c r="AGN45" s="412"/>
      <c r="AGO45" s="412"/>
      <c r="AGP45" s="412"/>
      <c r="AGQ45" s="412"/>
      <c r="AGR45" s="412"/>
      <c r="AGS45" s="412"/>
      <c r="AGT45" s="412"/>
      <c r="AGU45" s="412"/>
      <c r="AGV45" s="412"/>
      <c r="AGW45" s="412"/>
      <c r="AGX45" s="412"/>
      <c r="AGY45" s="412"/>
      <c r="AGZ45" s="412"/>
      <c r="AHA45" s="412"/>
      <c r="AHB45" s="412"/>
      <c r="AHC45" s="412"/>
      <c r="AHD45" s="412"/>
      <c r="AHE45" s="412"/>
      <c r="AHF45" s="412"/>
      <c r="AHG45" s="412"/>
      <c r="AHH45" s="412"/>
      <c r="AHI45" s="412"/>
      <c r="AHJ45" s="412"/>
      <c r="AHK45" s="412"/>
      <c r="AHL45" s="412"/>
      <c r="AHM45" s="412"/>
      <c r="AHN45" s="412"/>
      <c r="AHO45" s="412"/>
      <c r="AHP45" s="412"/>
      <c r="AHQ45" s="412"/>
      <c r="AHR45" s="412"/>
      <c r="AHS45" s="412"/>
      <c r="AHT45" s="412"/>
      <c r="AHU45" s="412"/>
      <c r="AHV45" s="412"/>
      <c r="AHW45" s="412"/>
      <c r="AHX45" s="412"/>
      <c r="AHY45" s="412"/>
      <c r="AHZ45" s="412"/>
      <c r="AIA45" s="412"/>
      <c r="AIB45" s="412"/>
      <c r="AIC45" s="412"/>
      <c r="AID45" s="412"/>
      <c r="AIE45" s="412"/>
      <c r="AIF45" s="412"/>
      <c r="AIG45" s="412"/>
      <c r="AIH45" s="412"/>
      <c r="AII45" s="412"/>
      <c r="AIJ45" s="412"/>
      <c r="AIK45" s="412"/>
      <c r="AIL45" s="412"/>
      <c r="AIM45" s="412"/>
      <c r="AIN45" s="412"/>
      <c r="AIO45" s="412"/>
      <c r="AIP45" s="412"/>
      <c r="AIQ45" s="412"/>
      <c r="AIR45" s="412"/>
      <c r="AIS45" s="412"/>
      <c r="AIT45" s="412"/>
      <c r="AIU45" s="412"/>
      <c r="AIV45" s="412"/>
      <c r="AIW45" s="412"/>
      <c r="AIX45" s="412"/>
      <c r="AIY45" s="412"/>
      <c r="AIZ45" s="412"/>
      <c r="AJA45" s="412"/>
      <c r="AJB45" s="412"/>
      <c r="AJC45" s="412"/>
      <c r="AJD45" s="412"/>
      <c r="AJE45" s="412"/>
      <c r="AJF45" s="412"/>
      <c r="AJG45" s="412"/>
      <c r="AJH45" s="412"/>
      <c r="AJI45" s="412"/>
      <c r="AJJ45" s="412"/>
      <c r="AJK45" s="412"/>
      <c r="AJL45" s="412"/>
      <c r="AJM45" s="412"/>
      <c r="AJN45" s="412"/>
      <c r="AJO45" s="412"/>
      <c r="AJP45" s="412"/>
      <c r="AJQ45" s="412"/>
      <c r="AJR45" s="412"/>
      <c r="AJS45" s="412"/>
      <c r="AJT45" s="412"/>
      <c r="AJU45" s="412"/>
      <c r="AJV45" s="412"/>
      <c r="AJW45" s="412"/>
      <c r="AJX45" s="412"/>
      <c r="AJY45" s="412"/>
      <c r="AJZ45" s="412"/>
      <c r="AKA45" s="412"/>
      <c r="AKB45" s="412"/>
      <c r="AKC45" s="412"/>
      <c r="AKD45" s="412"/>
      <c r="AKE45" s="412"/>
      <c r="AKF45" s="412"/>
      <c r="AKG45" s="412"/>
      <c r="AKH45" s="412"/>
      <c r="AKI45" s="412"/>
      <c r="AKJ45" s="412"/>
      <c r="AKK45" s="412"/>
      <c r="AKL45" s="412"/>
      <c r="AKM45" s="412"/>
      <c r="AKN45" s="412"/>
      <c r="AKO45" s="412"/>
      <c r="AKP45" s="412"/>
      <c r="AKQ45" s="412"/>
      <c r="AKR45" s="412"/>
      <c r="AKS45" s="412"/>
      <c r="AKT45" s="412"/>
      <c r="AKU45" s="412"/>
      <c r="AKV45" s="412"/>
      <c r="AKW45" s="412"/>
      <c r="AKX45" s="412"/>
      <c r="AKY45" s="412"/>
      <c r="AKZ45" s="412"/>
      <c r="ALA45" s="412"/>
      <c r="ALB45" s="412"/>
      <c r="ALC45" s="412"/>
      <c r="ALD45" s="412"/>
      <c r="ALE45" s="412"/>
      <c r="ALF45" s="412"/>
      <c r="ALG45" s="412"/>
      <c r="ALH45" s="412"/>
      <c r="ALI45" s="412"/>
      <c r="ALJ45" s="412"/>
      <c r="ALK45" s="412"/>
      <c r="ALL45" s="412"/>
      <c r="ALM45" s="412"/>
      <c r="ALN45" s="412"/>
      <c r="ALO45" s="412"/>
      <c r="ALP45" s="412"/>
      <c r="ALQ45" s="412"/>
      <c r="ALR45" s="412"/>
      <c r="ALS45" s="412"/>
      <c r="ALT45" s="412"/>
      <c r="ALU45" s="412"/>
      <c r="ALV45" s="412"/>
      <c r="ALW45" s="412"/>
      <c r="ALX45" s="412"/>
      <c r="ALY45" s="412"/>
      <c r="ALZ45" s="412"/>
      <c r="AMA45" s="412"/>
      <c r="AMB45" s="412"/>
      <c r="AMC45" s="412"/>
      <c r="AMD45" s="412"/>
      <c r="AME45" s="412"/>
      <c r="AMF45" s="412"/>
      <c r="AMG45" s="412"/>
      <c r="AMH45" s="412"/>
      <c r="AMI45" s="412"/>
      <c r="AMJ45" s="412"/>
      <c r="AMK45" s="412"/>
      <c r="AML45" s="412"/>
      <c r="AMM45" s="412"/>
      <c r="AMN45" s="412"/>
      <c r="AMO45" s="412"/>
      <c r="AMP45" s="412"/>
      <c r="AMQ45" s="412"/>
      <c r="AMR45" s="412"/>
      <c r="AMS45" s="412"/>
      <c r="AMT45" s="412"/>
      <c r="AMU45" s="412"/>
      <c r="AMV45" s="412"/>
      <c r="AMW45" s="412"/>
      <c r="AMX45" s="412"/>
      <c r="AMY45" s="412"/>
      <c r="AMZ45" s="412"/>
      <c r="ANA45" s="412"/>
      <c r="ANB45" s="412"/>
      <c r="ANC45" s="412"/>
      <c r="AND45" s="412"/>
      <c r="ANE45" s="412"/>
      <c r="ANF45" s="412"/>
      <c r="ANG45" s="412"/>
      <c r="ANH45" s="412"/>
      <c r="ANI45" s="412"/>
      <c r="ANJ45" s="412"/>
      <c r="ANK45" s="412"/>
      <c r="ANL45" s="412"/>
      <c r="ANM45" s="412"/>
      <c r="ANN45" s="412"/>
      <c r="ANO45" s="412"/>
      <c r="ANP45" s="412"/>
      <c r="ANQ45" s="412"/>
      <c r="ANR45" s="412"/>
      <c r="ANS45" s="412"/>
      <c r="ANT45" s="412"/>
      <c r="ANU45" s="412"/>
      <c r="ANV45" s="412"/>
      <c r="ANW45" s="412"/>
      <c r="ANX45" s="412"/>
      <c r="ANY45" s="412"/>
      <c r="ANZ45" s="412"/>
      <c r="AOA45" s="412"/>
      <c r="AOB45" s="412"/>
      <c r="AOC45" s="412"/>
      <c r="AOD45" s="412"/>
      <c r="AOE45" s="412"/>
      <c r="AOF45" s="412"/>
      <c r="AOG45" s="412"/>
      <c r="AOH45" s="412"/>
      <c r="AOI45" s="412"/>
      <c r="AOJ45" s="412"/>
      <c r="AOK45" s="412"/>
      <c r="AOL45" s="412"/>
      <c r="AOM45" s="412"/>
      <c r="AON45" s="412"/>
      <c r="AOO45" s="412"/>
      <c r="AOP45" s="412"/>
      <c r="AOQ45" s="412"/>
      <c r="AOR45" s="412"/>
      <c r="AOS45" s="412"/>
      <c r="AOT45" s="412"/>
      <c r="AOU45" s="412"/>
      <c r="AOV45" s="412"/>
      <c r="AOW45" s="412"/>
      <c r="AOX45" s="412"/>
      <c r="AOY45" s="412"/>
      <c r="AOZ45" s="412"/>
      <c r="APA45" s="412"/>
      <c r="APB45" s="412"/>
      <c r="APC45" s="412"/>
      <c r="APD45" s="412"/>
      <c r="APE45" s="412"/>
      <c r="APF45" s="412"/>
      <c r="APG45" s="412"/>
      <c r="APH45" s="412"/>
      <c r="API45" s="412"/>
      <c r="APJ45" s="412"/>
      <c r="APK45" s="412"/>
      <c r="APL45" s="412"/>
      <c r="APM45" s="412"/>
      <c r="APN45" s="412"/>
      <c r="APO45" s="412"/>
      <c r="APP45" s="412"/>
      <c r="APQ45" s="412"/>
      <c r="APR45" s="412"/>
      <c r="APS45" s="412"/>
      <c r="APT45" s="412"/>
      <c r="APU45" s="412"/>
      <c r="APV45" s="412"/>
      <c r="APW45" s="412"/>
      <c r="APX45" s="412"/>
      <c r="APY45" s="412"/>
      <c r="APZ45" s="412"/>
      <c r="AQA45" s="412"/>
      <c r="AQB45" s="412"/>
      <c r="AQC45" s="412"/>
      <c r="AQD45" s="412"/>
      <c r="AQE45" s="412"/>
      <c r="AQF45" s="412"/>
      <c r="AQG45" s="412"/>
      <c r="AQH45" s="412"/>
      <c r="AQI45" s="412"/>
      <c r="AQJ45" s="412"/>
      <c r="AQK45" s="412"/>
      <c r="AQL45" s="412"/>
      <c r="AQM45" s="412"/>
      <c r="AQN45" s="412"/>
      <c r="AQO45" s="412"/>
      <c r="AQP45" s="412"/>
      <c r="AQQ45" s="412"/>
      <c r="AQR45" s="412"/>
      <c r="AQS45" s="412"/>
      <c r="AQT45" s="412"/>
      <c r="AQU45" s="412"/>
      <c r="AQV45" s="412"/>
      <c r="AQW45" s="412"/>
      <c r="AQX45" s="412"/>
      <c r="AQY45" s="412"/>
      <c r="AQZ45" s="412"/>
      <c r="ARA45" s="412"/>
      <c r="ARB45" s="412"/>
      <c r="ARC45" s="412"/>
      <c r="ARD45" s="412"/>
      <c r="ARE45" s="412"/>
      <c r="ARF45" s="412"/>
      <c r="ARG45" s="412"/>
      <c r="ARH45" s="412"/>
      <c r="ARI45" s="412"/>
      <c r="ARJ45" s="412"/>
      <c r="ARK45" s="412"/>
      <c r="ARL45" s="412"/>
      <c r="ARM45" s="412"/>
      <c r="ARN45" s="412"/>
      <c r="ARO45" s="412"/>
      <c r="ARP45" s="412"/>
      <c r="ARQ45" s="412"/>
      <c r="ARR45" s="412"/>
      <c r="ARS45" s="412"/>
      <c r="ART45" s="412"/>
      <c r="ARU45" s="412"/>
      <c r="ARV45" s="412"/>
      <c r="ARW45" s="412"/>
      <c r="ARX45" s="412"/>
      <c r="ARY45" s="412"/>
      <c r="ARZ45" s="412"/>
      <c r="ASA45" s="412"/>
      <c r="ASB45" s="412"/>
      <c r="ASC45" s="412"/>
      <c r="ASD45" s="412"/>
      <c r="ASE45" s="412"/>
      <c r="ASF45" s="412"/>
      <c r="ASG45" s="412"/>
      <c r="ASH45" s="412"/>
      <c r="ASI45" s="412"/>
      <c r="ASJ45" s="412"/>
      <c r="ASK45" s="412"/>
      <c r="ASL45" s="412"/>
      <c r="ASM45" s="412"/>
      <c r="ASN45" s="412"/>
      <c r="ASO45" s="412"/>
      <c r="ASP45" s="412"/>
      <c r="ASQ45" s="412"/>
      <c r="ASR45" s="412"/>
      <c r="ASS45" s="412"/>
      <c r="AST45" s="412"/>
      <c r="ASU45" s="412"/>
      <c r="ASV45" s="412"/>
      <c r="ASW45" s="412"/>
      <c r="ASX45" s="412"/>
      <c r="ASY45" s="412"/>
      <c r="ASZ45" s="412"/>
      <c r="ATA45" s="412"/>
      <c r="ATB45" s="412"/>
      <c r="ATC45" s="412"/>
      <c r="ATD45" s="412"/>
      <c r="ATE45" s="412"/>
      <c r="ATF45" s="412"/>
      <c r="ATG45" s="412"/>
      <c r="ATH45" s="412"/>
      <c r="ATI45" s="412"/>
      <c r="ATJ45" s="412"/>
      <c r="ATK45" s="412"/>
      <c r="ATL45" s="412"/>
      <c r="ATM45" s="412"/>
      <c r="ATN45" s="412"/>
      <c r="ATO45" s="412"/>
      <c r="ATP45" s="412"/>
      <c r="ATQ45" s="412"/>
      <c r="ATR45" s="412"/>
      <c r="ATS45" s="412"/>
      <c r="ATT45" s="412"/>
      <c r="ATU45" s="412"/>
      <c r="ATV45" s="412"/>
      <c r="ATW45" s="412"/>
      <c r="ATX45" s="412"/>
      <c r="ATY45" s="412"/>
      <c r="ATZ45" s="412"/>
      <c r="AUA45" s="412"/>
      <c r="AUB45" s="412"/>
      <c r="AUC45" s="412"/>
      <c r="AUD45" s="412"/>
      <c r="AUE45" s="412"/>
      <c r="AUF45" s="412"/>
      <c r="AUG45" s="412"/>
      <c r="AUH45" s="412"/>
      <c r="AUI45" s="412"/>
      <c r="AUJ45" s="412"/>
      <c r="AUK45" s="412"/>
      <c r="AUL45" s="412"/>
      <c r="AUM45" s="412"/>
      <c r="AUN45" s="412"/>
      <c r="AUO45" s="412"/>
      <c r="AUP45" s="412"/>
      <c r="AUQ45" s="412"/>
      <c r="AUR45" s="412"/>
      <c r="AUS45" s="412"/>
      <c r="AUT45" s="412"/>
      <c r="AUU45" s="412"/>
      <c r="AUV45" s="412"/>
      <c r="AUW45" s="412"/>
      <c r="AUX45" s="412"/>
      <c r="AUY45" s="412"/>
      <c r="AUZ45" s="412"/>
      <c r="AVA45" s="412"/>
      <c r="AVB45" s="412"/>
      <c r="AVC45" s="412"/>
      <c r="AVD45" s="412"/>
      <c r="AVE45" s="412"/>
      <c r="AVF45" s="412"/>
      <c r="AVG45" s="412"/>
      <c r="AVH45" s="412"/>
      <c r="AVI45" s="412"/>
      <c r="AVJ45" s="412"/>
      <c r="AVK45" s="412"/>
      <c r="AVL45" s="412"/>
      <c r="AVM45" s="412"/>
      <c r="AVN45" s="412"/>
      <c r="AVO45" s="412"/>
      <c r="AVP45" s="412"/>
      <c r="AVQ45" s="412"/>
      <c r="AVR45" s="412"/>
      <c r="AVS45" s="412"/>
      <c r="AVT45" s="412"/>
      <c r="AVU45" s="412"/>
      <c r="AVV45" s="412"/>
      <c r="AVW45" s="412"/>
      <c r="AVX45" s="412"/>
      <c r="AVY45" s="412"/>
      <c r="AVZ45" s="412"/>
      <c r="AWA45" s="412"/>
      <c r="AWB45" s="412"/>
      <c r="AWC45" s="412"/>
      <c r="AWD45" s="412"/>
      <c r="AWE45" s="412"/>
      <c r="AWF45" s="412"/>
      <c r="AWG45" s="412"/>
      <c r="AWH45" s="412"/>
      <c r="AWI45" s="412"/>
      <c r="AWJ45" s="412"/>
      <c r="AWK45" s="412"/>
      <c r="AWL45" s="412"/>
      <c r="AWM45" s="412"/>
      <c r="AWN45" s="412"/>
      <c r="AWO45" s="412"/>
      <c r="AWP45" s="412"/>
      <c r="AWQ45" s="412"/>
      <c r="AWR45" s="412"/>
      <c r="AWS45" s="412"/>
      <c r="AWT45" s="412"/>
      <c r="AWU45" s="412"/>
      <c r="AWV45" s="412"/>
      <c r="AWW45" s="412"/>
      <c r="AWX45" s="412"/>
      <c r="AWY45" s="412"/>
      <c r="AWZ45" s="412"/>
      <c r="AXA45" s="412"/>
      <c r="AXB45" s="412"/>
      <c r="AXC45" s="412"/>
      <c r="AXD45" s="412"/>
      <c r="AXE45" s="412"/>
      <c r="AXF45" s="412"/>
      <c r="AXG45" s="412"/>
      <c r="AXH45" s="412"/>
      <c r="AXI45" s="412"/>
      <c r="AXJ45" s="412"/>
      <c r="AXK45" s="412"/>
      <c r="AXL45" s="412"/>
      <c r="AXM45" s="412"/>
      <c r="AXN45" s="412"/>
      <c r="AXO45" s="412"/>
      <c r="AXP45" s="412"/>
      <c r="AXQ45" s="412"/>
      <c r="AXR45" s="412"/>
      <c r="AXS45" s="412"/>
      <c r="AXT45" s="412"/>
      <c r="AXU45" s="412"/>
      <c r="AXV45" s="412"/>
      <c r="AXW45" s="412"/>
      <c r="AXX45" s="412"/>
      <c r="AXY45" s="412"/>
      <c r="AXZ45" s="412"/>
      <c r="AYA45" s="412"/>
      <c r="AYB45" s="412"/>
      <c r="AYC45" s="412"/>
      <c r="AYD45" s="412"/>
      <c r="AYE45" s="412"/>
      <c r="AYF45" s="412"/>
      <c r="AYG45" s="412"/>
      <c r="AYH45" s="412"/>
      <c r="AYI45" s="412"/>
      <c r="AYJ45" s="412"/>
      <c r="AYK45" s="412"/>
      <c r="AYL45" s="412"/>
      <c r="AYM45" s="412"/>
      <c r="AYN45" s="412"/>
      <c r="AYO45" s="412"/>
      <c r="AYP45" s="412"/>
      <c r="AYQ45" s="412"/>
      <c r="AYR45" s="412"/>
      <c r="AYS45" s="412"/>
      <c r="AYT45" s="412"/>
      <c r="AYU45" s="412"/>
      <c r="AYV45" s="412"/>
      <c r="AYW45" s="412"/>
      <c r="AYX45" s="412"/>
      <c r="AYY45" s="412"/>
      <c r="AYZ45" s="412"/>
      <c r="AZA45" s="412"/>
      <c r="AZB45" s="412"/>
      <c r="AZC45" s="412"/>
      <c r="AZD45" s="412"/>
      <c r="AZE45" s="412"/>
      <c r="AZF45" s="412"/>
      <c r="AZG45" s="412"/>
      <c r="AZH45" s="412"/>
      <c r="AZI45" s="412"/>
      <c r="AZJ45" s="412"/>
      <c r="AZK45" s="412"/>
      <c r="AZL45" s="412"/>
      <c r="AZM45" s="412"/>
      <c r="AZN45" s="412"/>
      <c r="AZO45" s="412"/>
      <c r="AZP45" s="412"/>
      <c r="AZQ45" s="412"/>
      <c r="AZR45" s="412"/>
      <c r="AZS45" s="412"/>
      <c r="AZT45" s="412"/>
      <c r="AZU45" s="412"/>
      <c r="AZV45" s="412"/>
      <c r="AZW45" s="412"/>
      <c r="AZX45" s="412"/>
      <c r="AZY45" s="412"/>
      <c r="AZZ45" s="412"/>
      <c r="BAA45" s="412"/>
      <c r="BAB45" s="412"/>
      <c r="BAC45" s="412"/>
      <c r="BAD45" s="412"/>
      <c r="BAE45" s="412"/>
      <c r="BAF45" s="412"/>
      <c r="BAG45" s="412"/>
      <c r="BAH45" s="412"/>
      <c r="BAI45" s="412"/>
      <c r="BAJ45" s="412"/>
      <c r="BAK45" s="412"/>
      <c r="BAL45" s="412"/>
      <c r="BAM45" s="412"/>
      <c r="BAN45" s="412"/>
      <c r="BAO45" s="412"/>
      <c r="BAP45" s="412"/>
      <c r="BAQ45" s="412"/>
      <c r="BAR45" s="412"/>
      <c r="BAS45" s="412"/>
      <c r="BAT45" s="412"/>
      <c r="BAU45" s="412"/>
      <c r="BAV45" s="412"/>
      <c r="BAW45" s="412"/>
      <c r="BAX45" s="412"/>
      <c r="BAY45" s="412"/>
      <c r="BAZ45" s="412"/>
      <c r="BBA45" s="412"/>
      <c r="BBB45" s="412"/>
      <c r="BBC45" s="412"/>
      <c r="BBD45" s="412"/>
      <c r="BBE45" s="412"/>
      <c r="BBF45" s="412"/>
      <c r="BBG45" s="412"/>
      <c r="BBH45" s="412"/>
      <c r="BBI45" s="412"/>
      <c r="BBJ45" s="412"/>
      <c r="BBK45" s="412"/>
      <c r="BBL45" s="412"/>
      <c r="BBM45" s="412"/>
      <c r="BBN45" s="412"/>
      <c r="BBO45" s="412"/>
      <c r="BBP45" s="412"/>
      <c r="BBQ45" s="412"/>
      <c r="BBR45" s="412"/>
      <c r="BBS45" s="412"/>
      <c r="BBT45" s="412"/>
      <c r="BBU45" s="412"/>
      <c r="BBV45" s="412"/>
      <c r="BBW45" s="412"/>
      <c r="BBX45" s="412"/>
      <c r="BBY45" s="412"/>
      <c r="BBZ45" s="412"/>
      <c r="BCA45" s="412"/>
      <c r="BCB45" s="412"/>
      <c r="BCC45" s="412"/>
      <c r="BCD45" s="412"/>
      <c r="BCE45" s="412"/>
      <c r="BCF45" s="412"/>
      <c r="BCG45" s="412"/>
      <c r="BCH45" s="412"/>
      <c r="BCI45" s="412"/>
      <c r="BCJ45" s="412"/>
      <c r="BCK45" s="412"/>
      <c r="BCL45" s="412"/>
      <c r="BCM45" s="412"/>
      <c r="BCN45" s="412"/>
      <c r="BCO45" s="412"/>
      <c r="BCP45" s="412"/>
      <c r="BCQ45" s="412"/>
      <c r="BCR45" s="412"/>
      <c r="BCS45" s="412"/>
      <c r="BCT45" s="412"/>
      <c r="BCU45" s="412"/>
      <c r="BCV45" s="412"/>
      <c r="BCW45" s="412"/>
      <c r="BCX45" s="412"/>
      <c r="BCY45" s="412"/>
      <c r="BCZ45" s="412"/>
      <c r="BDA45" s="412"/>
      <c r="BDB45" s="412"/>
      <c r="BDC45" s="412"/>
      <c r="BDD45" s="412"/>
      <c r="BDE45" s="412"/>
      <c r="BDF45" s="412"/>
      <c r="BDG45" s="412"/>
      <c r="BDH45" s="412"/>
      <c r="BDI45" s="412"/>
      <c r="BDJ45" s="412"/>
      <c r="BDK45" s="412"/>
      <c r="BDL45" s="412"/>
      <c r="BDM45" s="412"/>
      <c r="BDN45" s="412"/>
      <c r="BDO45" s="412"/>
      <c r="BDP45" s="412"/>
      <c r="BDQ45" s="412"/>
      <c r="BDR45" s="412"/>
      <c r="BDS45" s="412"/>
      <c r="BDT45" s="412"/>
      <c r="BDU45" s="412"/>
      <c r="BDV45" s="412"/>
      <c r="BDW45" s="412"/>
      <c r="BDX45" s="412"/>
      <c r="BDY45" s="412"/>
      <c r="BDZ45" s="412"/>
      <c r="BEA45" s="412"/>
      <c r="BEB45" s="412"/>
      <c r="BEC45" s="412"/>
      <c r="BED45" s="412"/>
      <c r="BEE45" s="412"/>
      <c r="BEF45" s="412"/>
      <c r="BEG45" s="412"/>
      <c r="BEH45" s="412"/>
      <c r="BEI45" s="412"/>
      <c r="BEJ45" s="412"/>
      <c r="BEK45" s="412"/>
      <c r="BEL45" s="412"/>
      <c r="BEM45" s="412"/>
      <c r="BEN45" s="412"/>
      <c r="BEO45" s="412"/>
      <c r="BEP45" s="412"/>
      <c r="BEQ45" s="412"/>
      <c r="BER45" s="412"/>
      <c r="BES45" s="412"/>
      <c r="BET45" s="412"/>
      <c r="BEU45" s="412"/>
      <c r="BEV45" s="412"/>
      <c r="BEW45" s="412"/>
      <c r="BEX45" s="412"/>
      <c r="BEY45" s="412"/>
      <c r="BEZ45" s="412"/>
      <c r="BFA45" s="412"/>
      <c r="BFB45" s="412"/>
      <c r="BFC45" s="412"/>
      <c r="BFD45" s="412"/>
      <c r="BFE45" s="412"/>
      <c r="BFF45" s="412"/>
      <c r="BFG45" s="412"/>
      <c r="BFH45" s="412"/>
      <c r="BFI45" s="412"/>
      <c r="BFJ45" s="412"/>
      <c r="BFK45" s="412"/>
      <c r="BFL45" s="412"/>
      <c r="BFM45" s="412"/>
      <c r="BFN45" s="412"/>
      <c r="BFO45" s="412"/>
      <c r="BFP45" s="412"/>
      <c r="BFQ45" s="412"/>
      <c r="BFR45" s="412"/>
      <c r="BFS45" s="412"/>
      <c r="BFT45" s="412"/>
      <c r="BFU45" s="412"/>
      <c r="BFV45" s="412"/>
      <c r="BFW45" s="412"/>
      <c r="BFX45" s="412"/>
      <c r="BFY45" s="412"/>
      <c r="BFZ45" s="412"/>
      <c r="BGA45" s="412"/>
      <c r="BGB45" s="412"/>
      <c r="BGC45" s="412"/>
      <c r="BGD45" s="412"/>
      <c r="BGE45" s="412"/>
      <c r="BGF45" s="412"/>
      <c r="BGG45" s="412"/>
      <c r="BGH45" s="412"/>
      <c r="BGI45" s="412"/>
      <c r="BGJ45" s="412"/>
      <c r="BGK45" s="412"/>
      <c r="BGL45" s="412"/>
      <c r="BGM45" s="412"/>
      <c r="BGN45" s="412"/>
      <c r="BGO45" s="412"/>
      <c r="BGP45" s="412"/>
      <c r="BGQ45" s="412"/>
      <c r="BGR45" s="412"/>
      <c r="BGS45" s="412"/>
      <c r="BGT45" s="412"/>
      <c r="BGU45" s="412"/>
      <c r="BGV45" s="412"/>
      <c r="BGW45" s="412"/>
      <c r="BGX45" s="412"/>
      <c r="BGY45" s="412"/>
      <c r="BGZ45" s="412"/>
      <c r="BHA45" s="412"/>
      <c r="BHB45" s="412"/>
      <c r="BHC45" s="412"/>
      <c r="BHD45" s="412"/>
      <c r="BHE45" s="412"/>
      <c r="BHF45" s="412"/>
      <c r="BHG45" s="412"/>
      <c r="BHH45" s="412"/>
      <c r="BHI45" s="412"/>
      <c r="BHJ45" s="412"/>
      <c r="BHK45" s="412"/>
      <c r="BHL45" s="412"/>
      <c r="BHM45" s="412"/>
      <c r="BHN45" s="412"/>
      <c r="BHO45" s="412"/>
      <c r="BHP45" s="412"/>
      <c r="BHQ45" s="412"/>
      <c r="BHR45" s="412"/>
      <c r="BHS45" s="412"/>
      <c r="BHT45" s="412"/>
      <c r="BHU45" s="412"/>
      <c r="BHV45" s="412"/>
      <c r="BHW45" s="412"/>
      <c r="BHX45" s="412"/>
      <c r="BHY45" s="412"/>
      <c r="BHZ45" s="412"/>
      <c r="BIA45" s="412"/>
      <c r="BIB45" s="412"/>
      <c r="BIC45" s="412"/>
      <c r="BID45" s="412"/>
      <c r="BIE45" s="412"/>
      <c r="BIF45" s="412"/>
      <c r="BIG45" s="412"/>
      <c r="BIH45" s="412"/>
      <c r="BII45" s="412"/>
      <c r="BIJ45" s="412"/>
      <c r="BIK45" s="412"/>
      <c r="BIL45" s="412"/>
      <c r="BIM45" s="412"/>
      <c r="BIN45" s="412"/>
      <c r="BIO45" s="412"/>
      <c r="BIP45" s="412"/>
      <c r="BIQ45" s="412"/>
      <c r="BIR45" s="412"/>
      <c r="BIS45" s="412"/>
      <c r="BIT45" s="412"/>
      <c r="BIU45" s="412"/>
      <c r="BIV45" s="412"/>
      <c r="BIW45" s="412"/>
      <c r="BIX45" s="412"/>
      <c r="BIY45" s="412"/>
      <c r="BIZ45" s="412"/>
      <c r="BJA45" s="412"/>
      <c r="BJB45" s="412"/>
      <c r="BJC45" s="412"/>
      <c r="BJD45" s="412"/>
      <c r="BJE45" s="412"/>
      <c r="BJF45" s="412"/>
      <c r="BJG45" s="412"/>
      <c r="BJH45" s="412"/>
      <c r="BJI45" s="412"/>
      <c r="BJJ45" s="412"/>
      <c r="BJK45" s="412"/>
      <c r="BJL45" s="412"/>
      <c r="BJM45" s="412"/>
      <c r="BJN45" s="412"/>
      <c r="BJO45" s="412"/>
      <c r="BJP45" s="412"/>
      <c r="BJQ45" s="412"/>
      <c r="BJR45" s="412"/>
      <c r="BJS45" s="412"/>
      <c r="BJT45" s="412"/>
      <c r="BJU45" s="412"/>
      <c r="BJV45" s="412"/>
      <c r="BJW45" s="412"/>
      <c r="BJX45" s="412"/>
      <c r="BJY45" s="412"/>
      <c r="BJZ45" s="412"/>
      <c r="BKA45" s="412"/>
      <c r="BKB45" s="412"/>
      <c r="BKC45" s="412"/>
      <c r="BKD45" s="412"/>
      <c r="BKE45" s="412"/>
      <c r="BKF45" s="412"/>
      <c r="BKG45" s="412"/>
      <c r="BKH45" s="412"/>
      <c r="BKI45" s="412"/>
      <c r="BKJ45" s="412"/>
      <c r="BKK45" s="412"/>
      <c r="BKL45" s="412"/>
      <c r="BKM45" s="412"/>
      <c r="BKN45" s="412"/>
      <c r="BKO45" s="412"/>
      <c r="BKP45" s="412"/>
      <c r="BKQ45" s="412"/>
      <c r="BKR45" s="412"/>
      <c r="BKS45" s="412"/>
      <c r="BKT45" s="412"/>
      <c r="BKU45" s="412"/>
      <c r="BKV45" s="412"/>
      <c r="BKW45" s="412"/>
      <c r="BKX45" s="412"/>
      <c r="BKY45" s="412"/>
      <c r="BKZ45" s="412"/>
      <c r="BLA45" s="412"/>
      <c r="BLB45" s="412"/>
      <c r="BLC45" s="412"/>
      <c r="BLD45" s="412"/>
      <c r="BLE45" s="412"/>
      <c r="BLF45" s="412"/>
      <c r="BLG45" s="412"/>
      <c r="BLH45" s="412"/>
      <c r="BLI45" s="412"/>
      <c r="BLJ45" s="412"/>
      <c r="BLK45" s="412"/>
      <c r="BLL45" s="412"/>
      <c r="BLM45" s="412"/>
      <c r="BLN45" s="412"/>
      <c r="BLO45" s="412"/>
      <c r="BLP45" s="412"/>
      <c r="BLQ45" s="412"/>
      <c r="BLR45" s="412"/>
      <c r="BLS45" s="412"/>
      <c r="BLT45" s="412"/>
      <c r="BLU45" s="412"/>
      <c r="BLV45" s="412"/>
      <c r="BLW45" s="412"/>
      <c r="BLX45" s="412"/>
      <c r="BLY45" s="412"/>
      <c r="BLZ45" s="412"/>
      <c r="BMA45" s="412"/>
      <c r="BMB45" s="412"/>
      <c r="BMC45" s="412"/>
      <c r="BMD45" s="412"/>
      <c r="BME45" s="412"/>
      <c r="BMF45" s="412"/>
      <c r="BMG45" s="412"/>
      <c r="BMH45" s="412"/>
      <c r="BMI45" s="412"/>
      <c r="BMJ45" s="412"/>
      <c r="BMK45" s="412"/>
      <c r="BML45" s="412"/>
      <c r="BMM45" s="412"/>
      <c r="BMN45" s="412"/>
      <c r="BMO45" s="412"/>
      <c r="BMP45" s="412"/>
      <c r="BMQ45" s="412"/>
      <c r="BMR45" s="412"/>
      <c r="BMS45" s="412"/>
      <c r="BMT45" s="412"/>
      <c r="BMU45" s="412"/>
      <c r="BMV45" s="412"/>
      <c r="BMW45" s="412"/>
      <c r="BMX45" s="412"/>
      <c r="BMY45" s="412"/>
      <c r="BMZ45" s="412"/>
      <c r="BNA45" s="412"/>
      <c r="BNB45" s="412"/>
      <c r="BNC45" s="412"/>
      <c r="BND45" s="412"/>
      <c r="BNE45" s="412"/>
      <c r="BNF45" s="412"/>
      <c r="BNG45" s="412"/>
      <c r="BNH45" s="412"/>
      <c r="BNI45" s="412"/>
      <c r="BNJ45" s="412"/>
      <c r="BNK45" s="412"/>
      <c r="BNL45" s="412"/>
      <c r="BNM45" s="412"/>
      <c r="BNN45" s="412"/>
      <c r="BNO45" s="412"/>
      <c r="BNP45" s="412"/>
      <c r="BNQ45" s="412"/>
      <c r="BNR45" s="412"/>
      <c r="BNS45" s="412"/>
      <c r="BNT45" s="412"/>
      <c r="BNU45" s="412"/>
      <c r="BNV45" s="412"/>
      <c r="BNW45" s="412"/>
      <c r="BNX45" s="412"/>
      <c r="BNY45" s="412"/>
      <c r="BNZ45" s="412"/>
      <c r="BOA45" s="412"/>
      <c r="BOB45" s="412"/>
      <c r="BOC45" s="412"/>
      <c r="BOD45" s="412"/>
      <c r="BOE45" s="412"/>
      <c r="BOF45" s="412"/>
      <c r="BOG45" s="412"/>
      <c r="BOH45" s="412"/>
      <c r="BOI45" s="412"/>
      <c r="BOJ45" s="412"/>
      <c r="BOK45" s="412"/>
      <c r="BOL45" s="412"/>
      <c r="BOM45" s="412"/>
      <c r="BON45" s="412"/>
      <c r="BOO45" s="412"/>
      <c r="BOP45" s="412"/>
      <c r="BOQ45" s="412"/>
      <c r="BOR45" s="412"/>
      <c r="BOS45" s="412"/>
      <c r="BOT45" s="412"/>
      <c r="BOU45" s="412"/>
      <c r="BOV45" s="412"/>
      <c r="BOW45" s="412"/>
      <c r="BOX45" s="412"/>
      <c r="BOY45" s="412"/>
      <c r="BOZ45" s="412"/>
      <c r="BPA45" s="412"/>
      <c r="BPB45" s="412"/>
      <c r="BPC45" s="412"/>
      <c r="BPD45" s="412"/>
      <c r="BPE45" s="412"/>
      <c r="BPF45" s="412"/>
      <c r="BPG45" s="412"/>
      <c r="BPH45" s="412"/>
      <c r="BPI45" s="412"/>
      <c r="BPJ45" s="412"/>
      <c r="BPK45" s="412"/>
      <c r="BPL45" s="412"/>
      <c r="BPM45" s="412"/>
      <c r="BPN45" s="412"/>
      <c r="BPO45" s="412"/>
      <c r="BPP45" s="412"/>
      <c r="BPQ45" s="412"/>
      <c r="BPR45" s="412"/>
      <c r="BPS45" s="412"/>
      <c r="BPT45" s="412"/>
      <c r="BPU45" s="412"/>
      <c r="BPV45" s="412"/>
      <c r="BPW45" s="412"/>
      <c r="BPX45" s="412"/>
      <c r="BPY45" s="412"/>
      <c r="BPZ45" s="412"/>
      <c r="BQA45" s="412"/>
      <c r="BQB45" s="412"/>
      <c r="BQC45" s="412"/>
      <c r="BQD45" s="412"/>
      <c r="BQE45" s="412"/>
      <c r="BQF45" s="412"/>
      <c r="BQG45" s="412"/>
      <c r="BQH45" s="412"/>
      <c r="BQI45" s="412"/>
      <c r="BQJ45" s="412"/>
      <c r="BQK45" s="412"/>
      <c r="BQL45" s="412"/>
      <c r="BQM45" s="412"/>
      <c r="BQN45" s="412"/>
      <c r="BQO45" s="412"/>
      <c r="BQP45" s="412"/>
      <c r="BQQ45" s="412"/>
      <c r="BQR45" s="412"/>
      <c r="BQS45" s="412"/>
      <c r="BQT45" s="412"/>
      <c r="BQU45" s="412"/>
      <c r="BQV45" s="412"/>
      <c r="BQW45" s="412"/>
      <c r="BQX45" s="412"/>
      <c r="BQY45" s="412"/>
      <c r="BQZ45" s="412"/>
      <c r="BRA45" s="412"/>
      <c r="BRB45" s="412"/>
      <c r="BRC45" s="412"/>
      <c r="BRD45" s="412"/>
      <c r="BRE45" s="412"/>
      <c r="BRF45" s="412"/>
      <c r="BRG45" s="412"/>
      <c r="BRH45" s="412"/>
      <c r="BRI45" s="412"/>
      <c r="BRJ45" s="412"/>
      <c r="BRK45" s="412"/>
      <c r="BRL45" s="412"/>
      <c r="BRM45" s="412"/>
      <c r="BRN45" s="412"/>
      <c r="BRO45" s="412"/>
      <c r="BRP45" s="412"/>
      <c r="BRQ45" s="412"/>
      <c r="BRR45" s="412"/>
      <c r="BRS45" s="412"/>
      <c r="BRT45" s="412"/>
      <c r="BRU45" s="412"/>
      <c r="BRV45" s="412"/>
      <c r="BRW45" s="412"/>
      <c r="BRX45" s="412"/>
      <c r="BRY45" s="412"/>
      <c r="BRZ45" s="412"/>
      <c r="BSA45" s="412"/>
      <c r="BSB45" s="412"/>
      <c r="BSC45" s="412"/>
      <c r="BSD45" s="412"/>
      <c r="BSE45" s="412"/>
      <c r="BSF45" s="412"/>
      <c r="BSG45" s="412"/>
      <c r="BSH45" s="412"/>
      <c r="BSI45" s="412"/>
      <c r="BSJ45" s="412"/>
      <c r="BSK45" s="412"/>
      <c r="BSL45" s="412"/>
      <c r="BSM45" s="412"/>
      <c r="BSN45" s="412"/>
      <c r="BSO45" s="412"/>
      <c r="BSP45" s="412"/>
      <c r="BSQ45" s="412"/>
      <c r="BSR45" s="412"/>
      <c r="BSS45" s="412"/>
      <c r="BST45" s="412"/>
      <c r="BSU45" s="412"/>
      <c r="BSV45" s="412"/>
      <c r="BSW45" s="412"/>
      <c r="BSX45" s="412"/>
      <c r="BSY45" s="412"/>
      <c r="BSZ45" s="412"/>
      <c r="BTA45" s="412"/>
      <c r="BTB45" s="412"/>
      <c r="BTC45" s="412"/>
      <c r="BTD45" s="412"/>
      <c r="BTE45" s="412"/>
      <c r="BTF45" s="412"/>
      <c r="BTG45" s="412"/>
      <c r="BTH45" s="412"/>
      <c r="BTI45" s="412"/>
    </row>
    <row r="46" spans="1:1881" s="4" customFormat="1" ht="51.75" customHeight="1" thickBot="1" x14ac:dyDescent="0.3">
      <c r="A46" s="189">
        <v>586</v>
      </c>
      <c r="B46" s="65" t="s">
        <v>66</v>
      </c>
      <c r="C46" s="134" t="s">
        <v>161</v>
      </c>
      <c r="D46" s="309" t="s">
        <v>656</v>
      </c>
      <c r="E46" s="32" t="e">
        <f>HLOOKUP($D$2,'2019 Data(H)'!$C$1:$CG$300,236,FALSE)</f>
        <v>#N/A</v>
      </c>
      <c r="F46" s="647"/>
      <c r="G46" s="413">
        <f>IF(F46&lt;0,"Note: Number is normally positive.",)</f>
        <v>0</v>
      </c>
      <c r="H46" s="150"/>
      <c r="I46" s="298"/>
      <c r="J46" s="412"/>
      <c r="K46" s="412"/>
      <c r="L46" s="865" t="s">
        <v>1144</v>
      </c>
      <c r="M46" s="633"/>
      <c r="N46" s="656"/>
      <c r="O46" s="412"/>
      <c r="P46" s="412"/>
      <c r="Q46" s="412"/>
      <c r="R46" s="412"/>
      <c r="S46" s="412"/>
      <c r="T46" s="412"/>
      <c r="U46" s="412"/>
      <c r="V46" s="412"/>
      <c r="W46" s="412"/>
      <c r="X46" s="412"/>
      <c r="Y46" s="412"/>
      <c r="Z46" s="412"/>
      <c r="AA46" s="412"/>
      <c r="AB46" s="412"/>
      <c r="AC46" s="412"/>
      <c r="AD46" s="412"/>
      <c r="AE46" s="412"/>
      <c r="AF46" s="412"/>
      <c r="AG46" s="412"/>
      <c r="AH46" s="412"/>
      <c r="AI46" s="412"/>
      <c r="AJ46" s="412"/>
      <c r="AK46" s="412"/>
      <c r="AL46" s="412"/>
      <c r="AM46" s="412"/>
      <c r="AN46" s="412"/>
      <c r="AO46" s="412"/>
      <c r="AP46" s="412"/>
      <c r="AQ46" s="412"/>
      <c r="AR46" s="412"/>
      <c r="AS46" s="412"/>
      <c r="AT46" s="412"/>
      <c r="AU46" s="412"/>
      <c r="AV46" s="412"/>
      <c r="AW46" s="412"/>
      <c r="AX46" s="412"/>
      <c r="AY46" s="412"/>
      <c r="AZ46" s="412"/>
      <c r="BA46" s="412"/>
      <c r="BB46" s="412"/>
      <c r="BC46" s="412"/>
      <c r="BD46" s="412"/>
      <c r="BE46" s="412"/>
      <c r="BF46" s="412"/>
      <c r="BG46" s="412"/>
      <c r="BH46" s="412"/>
      <c r="BI46" s="412"/>
      <c r="BJ46" s="412"/>
      <c r="BK46" s="412"/>
      <c r="BL46" s="412"/>
      <c r="BM46" s="412"/>
      <c r="BN46" s="412"/>
      <c r="BO46" s="412"/>
      <c r="BP46" s="412"/>
      <c r="BQ46" s="412"/>
      <c r="BR46" s="412"/>
      <c r="BS46" s="412"/>
      <c r="BT46" s="412"/>
      <c r="BU46" s="412"/>
      <c r="BV46" s="412"/>
      <c r="BW46" s="412"/>
      <c r="BX46" s="412"/>
      <c r="BY46" s="412"/>
      <c r="BZ46" s="412"/>
      <c r="CA46" s="412"/>
      <c r="CB46" s="412"/>
      <c r="CC46" s="412"/>
      <c r="CD46" s="412"/>
      <c r="CE46" s="412"/>
      <c r="CF46" s="412"/>
      <c r="CG46" s="412"/>
      <c r="CH46" s="412"/>
      <c r="CI46" s="412"/>
      <c r="CJ46" s="412"/>
      <c r="CK46" s="412"/>
      <c r="CL46" s="412"/>
      <c r="CM46" s="412"/>
      <c r="CN46" s="412"/>
      <c r="CO46" s="412"/>
      <c r="CP46" s="412"/>
      <c r="CQ46" s="412"/>
      <c r="CR46" s="412"/>
      <c r="CS46" s="412"/>
      <c r="CT46" s="412"/>
      <c r="CU46" s="412"/>
      <c r="CV46" s="412"/>
      <c r="CW46" s="412"/>
      <c r="CX46" s="412"/>
      <c r="CY46" s="412"/>
      <c r="CZ46" s="412"/>
      <c r="DA46" s="412"/>
      <c r="DB46" s="412"/>
      <c r="DC46" s="412"/>
      <c r="DD46" s="412"/>
      <c r="DE46" s="412"/>
      <c r="DF46" s="412"/>
      <c r="DG46" s="412"/>
      <c r="DH46" s="412"/>
      <c r="DI46" s="412"/>
      <c r="DJ46" s="412"/>
      <c r="DK46" s="412"/>
      <c r="DL46" s="412"/>
      <c r="DM46" s="412"/>
      <c r="DN46" s="412"/>
      <c r="DO46" s="412"/>
      <c r="DP46" s="412"/>
      <c r="DQ46" s="412"/>
      <c r="DR46" s="412"/>
      <c r="DS46" s="412"/>
      <c r="DT46" s="412"/>
      <c r="DU46" s="412"/>
      <c r="DV46" s="412"/>
      <c r="DW46" s="412"/>
      <c r="DX46" s="412"/>
      <c r="DY46" s="412"/>
      <c r="DZ46" s="412"/>
      <c r="EA46" s="412"/>
      <c r="EB46" s="412"/>
      <c r="EC46" s="412"/>
      <c r="ED46" s="412"/>
      <c r="EE46" s="412"/>
      <c r="EF46" s="412"/>
      <c r="EG46" s="412"/>
      <c r="EH46" s="412"/>
      <c r="EI46" s="412"/>
      <c r="EJ46" s="412"/>
      <c r="EK46" s="412"/>
      <c r="EL46" s="412"/>
      <c r="EM46" s="412"/>
      <c r="EN46" s="412"/>
      <c r="EO46" s="412"/>
      <c r="EP46" s="412"/>
      <c r="EQ46" s="412"/>
      <c r="ER46" s="412"/>
      <c r="ES46" s="412"/>
      <c r="ET46" s="412"/>
      <c r="EU46" s="412"/>
      <c r="EV46" s="412"/>
      <c r="EW46" s="412"/>
      <c r="EX46" s="412"/>
      <c r="EY46" s="412"/>
      <c r="EZ46" s="412"/>
      <c r="FA46" s="412"/>
      <c r="FB46" s="412"/>
      <c r="FC46" s="412"/>
      <c r="FD46" s="412"/>
      <c r="FE46" s="412"/>
      <c r="FF46" s="412"/>
      <c r="FG46" s="412"/>
      <c r="FH46" s="412"/>
      <c r="FI46" s="412"/>
      <c r="FJ46" s="412"/>
      <c r="FK46" s="412"/>
      <c r="FL46" s="412"/>
      <c r="FM46" s="412"/>
      <c r="FN46" s="412"/>
      <c r="FO46" s="412"/>
      <c r="FP46" s="412"/>
      <c r="FQ46" s="412"/>
      <c r="FR46" s="412"/>
      <c r="FS46" s="412"/>
      <c r="FT46" s="412"/>
      <c r="FU46" s="412"/>
      <c r="FV46" s="412"/>
      <c r="FW46" s="412"/>
      <c r="FX46" s="412"/>
      <c r="FY46" s="412"/>
      <c r="FZ46" s="412"/>
      <c r="GA46" s="412"/>
      <c r="GB46" s="412"/>
      <c r="GC46" s="412"/>
      <c r="GD46" s="412"/>
      <c r="GE46" s="412"/>
      <c r="GF46" s="412"/>
      <c r="GG46" s="412"/>
      <c r="GH46" s="412"/>
      <c r="GI46" s="412"/>
      <c r="GJ46" s="412"/>
      <c r="GK46" s="412"/>
      <c r="GL46" s="412"/>
      <c r="GM46" s="412"/>
      <c r="GN46" s="412"/>
      <c r="GO46" s="412"/>
      <c r="GP46" s="412"/>
      <c r="GQ46" s="412"/>
      <c r="GR46" s="412"/>
      <c r="GS46" s="412"/>
      <c r="GT46" s="412"/>
      <c r="GU46" s="412"/>
      <c r="GV46" s="412"/>
      <c r="GW46" s="412"/>
      <c r="GX46" s="412"/>
      <c r="GY46" s="412"/>
      <c r="GZ46" s="412"/>
      <c r="HA46" s="412"/>
      <c r="HB46" s="412"/>
      <c r="HC46" s="412"/>
      <c r="HD46" s="412"/>
      <c r="HE46" s="412"/>
      <c r="HF46" s="412"/>
      <c r="HG46" s="412"/>
      <c r="HH46" s="412"/>
      <c r="HI46" s="412"/>
      <c r="HJ46" s="412"/>
      <c r="HK46" s="412"/>
      <c r="HL46" s="412"/>
      <c r="HM46" s="412"/>
      <c r="HN46" s="412"/>
      <c r="HO46" s="412"/>
      <c r="HP46" s="412"/>
      <c r="HQ46" s="412"/>
      <c r="HR46" s="412"/>
      <c r="HS46" s="412"/>
      <c r="HT46" s="412"/>
      <c r="HU46" s="412"/>
      <c r="HV46" s="412"/>
      <c r="HW46" s="412"/>
      <c r="HX46" s="412"/>
      <c r="HY46" s="412"/>
      <c r="HZ46" s="412"/>
      <c r="IA46" s="412"/>
      <c r="IB46" s="412"/>
      <c r="IC46" s="412"/>
      <c r="ID46" s="412"/>
      <c r="IE46" s="412"/>
      <c r="IF46" s="412"/>
      <c r="IG46" s="412"/>
      <c r="IH46" s="412"/>
      <c r="II46" s="412"/>
      <c r="IJ46" s="412"/>
      <c r="IK46" s="412"/>
      <c r="IL46" s="412"/>
      <c r="IM46" s="412"/>
      <c r="IN46" s="412"/>
      <c r="IO46" s="412"/>
      <c r="IP46" s="412"/>
      <c r="IQ46" s="412"/>
      <c r="IR46" s="412"/>
      <c r="IS46" s="412"/>
      <c r="IT46" s="412"/>
      <c r="IU46" s="412"/>
      <c r="IV46" s="412"/>
      <c r="IW46" s="412"/>
      <c r="IX46" s="412"/>
      <c r="IY46" s="412"/>
      <c r="IZ46" s="412"/>
      <c r="JA46" s="412"/>
      <c r="JB46" s="412"/>
      <c r="JC46" s="412"/>
      <c r="JD46" s="412"/>
      <c r="JE46" s="412"/>
      <c r="JF46" s="412"/>
      <c r="JG46" s="412"/>
      <c r="JH46" s="412"/>
      <c r="JI46" s="412"/>
      <c r="JJ46" s="412"/>
      <c r="JK46" s="412"/>
      <c r="JL46" s="412"/>
      <c r="JM46" s="412"/>
      <c r="JN46" s="412"/>
      <c r="JO46" s="412"/>
      <c r="JP46" s="412"/>
      <c r="JQ46" s="412"/>
      <c r="JR46" s="412"/>
      <c r="JS46" s="412"/>
      <c r="JT46" s="412"/>
      <c r="JU46" s="412"/>
      <c r="JV46" s="412"/>
      <c r="JW46" s="412"/>
      <c r="JX46" s="412"/>
      <c r="JY46" s="412"/>
      <c r="JZ46" s="412"/>
      <c r="KA46" s="412"/>
      <c r="KB46" s="412"/>
      <c r="KC46" s="412"/>
      <c r="KD46" s="412"/>
      <c r="KE46" s="412"/>
      <c r="KF46" s="412"/>
      <c r="KG46" s="412"/>
      <c r="KH46" s="412"/>
      <c r="KI46" s="412"/>
      <c r="KJ46" s="412"/>
      <c r="KK46" s="412"/>
      <c r="KL46" s="412"/>
      <c r="KM46" s="412"/>
      <c r="KN46" s="412"/>
      <c r="KO46" s="412"/>
      <c r="KP46" s="412"/>
      <c r="KQ46" s="412"/>
      <c r="KR46" s="412"/>
      <c r="KS46" s="412"/>
      <c r="KT46" s="412"/>
      <c r="KU46" s="412"/>
      <c r="KV46" s="412"/>
      <c r="KW46" s="412"/>
      <c r="KX46" s="412"/>
      <c r="KY46" s="412"/>
      <c r="KZ46" s="412"/>
      <c r="LA46" s="412"/>
      <c r="LB46" s="412"/>
      <c r="LC46" s="412"/>
      <c r="LD46" s="412"/>
      <c r="LE46" s="412"/>
      <c r="LF46" s="412"/>
      <c r="LG46" s="412"/>
      <c r="LH46" s="412"/>
      <c r="LI46" s="412"/>
      <c r="LJ46" s="412"/>
      <c r="LK46" s="412"/>
      <c r="LL46" s="412"/>
      <c r="LM46" s="412"/>
      <c r="LN46" s="412"/>
      <c r="LO46" s="412"/>
      <c r="LP46" s="412"/>
      <c r="LQ46" s="412"/>
      <c r="LR46" s="412"/>
      <c r="LS46" s="412"/>
      <c r="LT46" s="412"/>
      <c r="LU46" s="412"/>
      <c r="LV46" s="412"/>
      <c r="LW46" s="412"/>
      <c r="LX46" s="412"/>
      <c r="LY46" s="412"/>
      <c r="LZ46" s="412"/>
      <c r="MA46" s="412"/>
      <c r="MB46" s="412"/>
      <c r="MC46" s="412"/>
      <c r="MD46" s="412"/>
      <c r="ME46" s="412"/>
      <c r="MF46" s="412"/>
      <c r="MG46" s="412"/>
      <c r="MH46" s="412"/>
      <c r="MI46" s="412"/>
      <c r="MJ46" s="412"/>
      <c r="MK46" s="412"/>
      <c r="ML46" s="412"/>
      <c r="MM46" s="412"/>
      <c r="MN46" s="412"/>
      <c r="MO46" s="412"/>
      <c r="MP46" s="412"/>
      <c r="MQ46" s="412"/>
      <c r="MR46" s="412"/>
      <c r="MS46" s="412"/>
      <c r="MT46" s="412"/>
      <c r="MU46" s="412"/>
      <c r="MV46" s="412"/>
      <c r="MW46" s="412"/>
      <c r="MX46" s="412"/>
      <c r="MY46" s="412"/>
      <c r="MZ46" s="412"/>
      <c r="NA46" s="412"/>
      <c r="NB46" s="412"/>
      <c r="NC46" s="412"/>
      <c r="ND46" s="412"/>
      <c r="NE46" s="412"/>
      <c r="NF46" s="412"/>
      <c r="NG46" s="412"/>
      <c r="NH46" s="412"/>
      <c r="NI46" s="412"/>
      <c r="NJ46" s="412"/>
      <c r="NK46" s="412"/>
      <c r="NL46" s="412"/>
      <c r="NM46" s="412"/>
      <c r="NN46" s="412"/>
      <c r="NO46" s="412"/>
      <c r="NP46" s="412"/>
      <c r="NQ46" s="412"/>
      <c r="NR46" s="412"/>
      <c r="NS46" s="412"/>
      <c r="NT46" s="412"/>
      <c r="NU46" s="412"/>
      <c r="NV46" s="412"/>
      <c r="NW46" s="412"/>
      <c r="NX46" s="412"/>
      <c r="NY46" s="412"/>
      <c r="NZ46" s="412"/>
      <c r="OA46" s="412"/>
      <c r="OB46" s="412"/>
      <c r="OC46" s="412"/>
      <c r="OD46" s="412"/>
      <c r="OE46" s="412"/>
      <c r="OF46" s="412"/>
      <c r="OG46" s="412"/>
      <c r="OH46" s="412"/>
      <c r="OI46" s="412"/>
      <c r="OJ46" s="412"/>
      <c r="OK46" s="412"/>
      <c r="OL46" s="412"/>
      <c r="OM46" s="412"/>
      <c r="ON46" s="412"/>
      <c r="OO46" s="412"/>
      <c r="OP46" s="412"/>
      <c r="OQ46" s="412"/>
      <c r="OR46" s="412"/>
      <c r="OS46" s="412"/>
      <c r="OT46" s="412"/>
      <c r="OU46" s="412"/>
      <c r="OV46" s="412"/>
      <c r="OW46" s="412"/>
      <c r="OX46" s="412"/>
      <c r="OY46" s="412"/>
      <c r="OZ46" s="412"/>
      <c r="PA46" s="412"/>
      <c r="PB46" s="412"/>
      <c r="PC46" s="412"/>
      <c r="PD46" s="412"/>
      <c r="PE46" s="412"/>
      <c r="PF46" s="412"/>
      <c r="PG46" s="412"/>
      <c r="PH46" s="412"/>
      <c r="PI46" s="412"/>
      <c r="PJ46" s="412"/>
      <c r="PK46" s="412"/>
      <c r="PL46" s="412"/>
      <c r="PM46" s="412"/>
      <c r="PN46" s="412"/>
      <c r="PO46" s="412"/>
      <c r="PP46" s="412"/>
      <c r="PQ46" s="412"/>
      <c r="PR46" s="412"/>
      <c r="PS46" s="412"/>
      <c r="PT46" s="412"/>
      <c r="PU46" s="412"/>
      <c r="PV46" s="412"/>
      <c r="PW46" s="412"/>
      <c r="PX46" s="412"/>
      <c r="PY46" s="412"/>
      <c r="PZ46" s="412"/>
      <c r="QA46" s="412"/>
      <c r="QB46" s="412"/>
      <c r="QC46" s="412"/>
      <c r="QD46" s="412"/>
      <c r="QE46" s="412"/>
      <c r="QF46" s="412"/>
      <c r="QG46" s="412"/>
      <c r="QH46" s="412"/>
      <c r="QI46" s="412"/>
      <c r="QJ46" s="412"/>
      <c r="QK46" s="412"/>
      <c r="QL46" s="412"/>
      <c r="QM46" s="412"/>
      <c r="QN46" s="412"/>
      <c r="QO46" s="412"/>
      <c r="QP46" s="412"/>
      <c r="QQ46" s="412"/>
      <c r="QR46" s="412"/>
      <c r="QS46" s="412"/>
      <c r="QT46" s="412"/>
      <c r="QU46" s="412"/>
      <c r="QV46" s="412"/>
      <c r="QW46" s="412"/>
      <c r="QX46" s="412"/>
      <c r="QY46" s="412"/>
      <c r="QZ46" s="412"/>
      <c r="RA46" s="412"/>
      <c r="RB46" s="412"/>
      <c r="RC46" s="412"/>
      <c r="RD46" s="412"/>
      <c r="RE46" s="412"/>
      <c r="RF46" s="412"/>
      <c r="RG46" s="412"/>
      <c r="RH46" s="412"/>
      <c r="RI46" s="412"/>
      <c r="RJ46" s="412"/>
      <c r="RK46" s="412"/>
      <c r="RL46" s="412"/>
      <c r="RM46" s="412"/>
      <c r="RN46" s="412"/>
      <c r="RO46" s="412"/>
      <c r="RP46" s="412"/>
      <c r="RQ46" s="412"/>
      <c r="RR46" s="412"/>
      <c r="RS46" s="412"/>
      <c r="RT46" s="412"/>
      <c r="RU46" s="412"/>
      <c r="RV46" s="412"/>
      <c r="RW46" s="412"/>
      <c r="RX46" s="412"/>
      <c r="RY46" s="412"/>
      <c r="RZ46" s="412"/>
      <c r="SA46" s="412"/>
      <c r="SB46" s="412"/>
      <c r="SC46" s="412"/>
      <c r="SD46" s="412"/>
      <c r="SE46" s="412"/>
      <c r="SF46" s="412"/>
      <c r="SG46" s="412"/>
      <c r="SH46" s="412"/>
      <c r="SI46" s="412"/>
      <c r="SJ46" s="412"/>
      <c r="SK46" s="412"/>
      <c r="SL46" s="412"/>
      <c r="SM46" s="412"/>
      <c r="SN46" s="412"/>
      <c r="SO46" s="412"/>
      <c r="SP46" s="412"/>
      <c r="SQ46" s="412"/>
      <c r="SR46" s="412"/>
      <c r="SS46" s="412"/>
      <c r="ST46" s="412"/>
      <c r="SU46" s="412"/>
      <c r="SV46" s="412"/>
      <c r="SW46" s="412"/>
      <c r="SX46" s="412"/>
      <c r="SY46" s="412"/>
      <c r="SZ46" s="412"/>
      <c r="TA46" s="412"/>
      <c r="TB46" s="412"/>
      <c r="TC46" s="412"/>
      <c r="TD46" s="412"/>
      <c r="TE46" s="412"/>
      <c r="TF46" s="412"/>
      <c r="TG46" s="412"/>
      <c r="TH46" s="412"/>
      <c r="TI46" s="412"/>
      <c r="TJ46" s="412"/>
      <c r="TK46" s="412"/>
      <c r="TL46" s="412"/>
      <c r="TM46" s="412"/>
      <c r="TN46" s="412"/>
      <c r="TO46" s="412"/>
      <c r="TP46" s="412"/>
      <c r="TQ46" s="412"/>
      <c r="TR46" s="412"/>
      <c r="TS46" s="412"/>
      <c r="TT46" s="412"/>
      <c r="TU46" s="412"/>
      <c r="TV46" s="412"/>
      <c r="TW46" s="412"/>
      <c r="TX46" s="412"/>
      <c r="TY46" s="412"/>
      <c r="TZ46" s="412"/>
      <c r="UA46" s="412"/>
      <c r="UB46" s="412"/>
      <c r="UC46" s="412"/>
      <c r="UD46" s="412"/>
      <c r="UE46" s="412"/>
      <c r="UF46" s="412"/>
      <c r="UG46" s="412"/>
      <c r="UH46" s="412"/>
      <c r="UI46" s="412"/>
      <c r="UJ46" s="412"/>
      <c r="UK46" s="412"/>
      <c r="UL46" s="412"/>
      <c r="UM46" s="412"/>
      <c r="UN46" s="412"/>
      <c r="UO46" s="412"/>
      <c r="UP46" s="412"/>
      <c r="UQ46" s="412"/>
      <c r="UR46" s="412"/>
      <c r="US46" s="412"/>
      <c r="UT46" s="412"/>
      <c r="UU46" s="412"/>
      <c r="UV46" s="412"/>
      <c r="UW46" s="412"/>
      <c r="UX46" s="412"/>
      <c r="UY46" s="412"/>
      <c r="UZ46" s="412"/>
      <c r="VA46" s="412"/>
      <c r="VB46" s="412"/>
      <c r="VC46" s="412"/>
      <c r="VD46" s="412"/>
      <c r="VE46" s="412"/>
      <c r="VF46" s="412"/>
      <c r="VG46" s="412"/>
      <c r="VH46" s="412"/>
      <c r="VI46" s="412"/>
      <c r="VJ46" s="412"/>
      <c r="VK46" s="412"/>
      <c r="VL46" s="412"/>
      <c r="VM46" s="412"/>
      <c r="VN46" s="412"/>
      <c r="VO46" s="412"/>
      <c r="VP46" s="412"/>
      <c r="VQ46" s="412"/>
      <c r="VR46" s="412"/>
      <c r="VS46" s="412"/>
      <c r="VT46" s="412"/>
      <c r="VU46" s="412"/>
      <c r="VV46" s="412"/>
      <c r="VW46" s="412"/>
      <c r="VX46" s="412"/>
      <c r="VY46" s="412"/>
      <c r="VZ46" s="412"/>
      <c r="WA46" s="412"/>
      <c r="WB46" s="412"/>
      <c r="WC46" s="412"/>
      <c r="WD46" s="412"/>
      <c r="WE46" s="412"/>
      <c r="WF46" s="412"/>
      <c r="WG46" s="412"/>
      <c r="WH46" s="412"/>
      <c r="WI46" s="412"/>
      <c r="WJ46" s="412"/>
      <c r="WK46" s="412"/>
      <c r="WL46" s="412"/>
      <c r="WM46" s="412"/>
      <c r="WN46" s="412"/>
      <c r="WO46" s="412"/>
      <c r="WP46" s="412"/>
      <c r="WQ46" s="412"/>
      <c r="WR46" s="412"/>
      <c r="WS46" s="412"/>
      <c r="WT46" s="412"/>
      <c r="WU46" s="412"/>
      <c r="WV46" s="412"/>
      <c r="WW46" s="412"/>
      <c r="WX46" s="412"/>
      <c r="WY46" s="412"/>
      <c r="WZ46" s="412"/>
      <c r="XA46" s="412"/>
      <c r="XB46" s="412"/>
      <c r="XC46" s="412"/>
      <c r="XD46" s="412"/>
      <c r="XE46" s="412"/>
      <c r="XF46" s="412"/>
      <c r="XG46" s="412"/>
      <c r="XH46" s="412"/>
      <c r="XI46" s="412"/>
      <c r="XJ46" s="412"/>
      <c r="XK46" s="412"/>
      <c r="XL46" s="412"/>
      <c r="XM46" s="412"/>
      <c r="XN46" s="412"/>
      <c r="XO46" s="412"/>
      <c r="XP46" s="412"/>
      <c r="XQ46" s="412"/>
      <c r="XR46" s="412"/>
      <c r="XS46" s="412"/>
      <c r="XT46" s="412"/>
      <c r="XU46" s="412"/>
      <c r="XV46" s="412"/>
      <c r="XW46" s="412"/>
      <c r="XX46" s="412"/>
      <c r="XY46" s="412"/>
      <c r="XZ46" s="412"/>
      <c r="YA46" s="412"/>
      <c r="YB46" s="412"/>
      <c r="YC46" s="412"/>
      <c r="YD46" s="412"/>
      <c r="YE46" s="412"/>
      <c r="YF46" s="412"/>
      <c r="YG46" s="412"/>
      <c r="YH46" s="412"/>
      <c r="YI46" s="412"/>
      <c r="YJ46" s="412"/>
      <c r="YK46" s="412"/>
      <c r="YL46" s="412"/>
      <c r="YM46" s="412"/>
      <c r="YN46" s="412"/>
      <c r="YO46" s="412"/>
      <c r="YP46" s="412"/>
      <c r="YQ46" s="412"/>
      <c r="YR46" s="412"/>
      <c r="YS46" s="412"/>
      <c r="YT46" s="412"/>
      <c r="YU46" s="412"/>
      <c r="YV46" s="412"/>
      <c r="YW46" s="412"/>
      <c r="YX46" s="412"/>
      <c r="YY46" s="412"/>
      <c r="YZ46" s="412"/>
      <c r="ZA46" s="412"/>
      <c r="ZB46" s="412"/>
      <c r="ZC46" s="412"/>
      <c r="ZD46" s="412"/>
      <c r="ZE46" s="412"/>
      <c r="ZF46" s="412"/>
      <c r="ZG46" s="412"/>
      <c r="ZH46" s="412"/>
      <c r="ZI46" s="412"/>
      <c r="ZJ46" s="412"/>
      <c r="ZK46" s="412"/>
      <c r="ZL46" s="412"/>
      <c r="ZM46" s="412"/>
      <c r="ZN46" s="412"/>
      <c r="ZO46" s="412"/>
      <c r="ZP46" s="412"/>
      <c r="ZQ46" s="412"/>
      <c r="ZR46" s="412"/>
      <c r="ZS46" s="412"/>
      <c r="ZT46" s="412"/>
      <c r="ZU46" s="412"/>
      <c r="ZV46" s="412"/>
      <c r="ZW46" s="412"/>
      <c r="ZX46" s="412"/>
      <c r="ZY46" s="412"/>
      <c r="ZZ46" s="412"/>
      <c r="AAA46" s="412"/>
      <c r="AAB46" s="412"/>
      <c r="AAC46" s="412"/>
      <c r="AAD46" s="412"/>
      <c r="AAE46" s="412"/>
      <c r="AAF46" s="412"/>
      <c r="AAG46" s="412"/>
      <c r="AAH46" s="412"/>
      <c r="AAI46" s="412"/>
      <c r="AAJ46" s="412"/>
      <c r="AAK46" s="412"/>
      <c r="AAL46" s="412"/>
      <c r="AAM46" s="412"/>
      <c r="AAN46" s="412"/>
      <c r="AAO46" s="412"/>
      <c r="AAP46" s="412"/>
      <c r="AAQ46" s="412"/>
      <c r="AAR46" s="412"/>
      <c r="AAS46" s="412"/>
      <c r="AAT46" s="412"/>
      <c r="AAU46" s="412"/>
      <c r="AAV46" s="412"/>
      <c r="AAW46" s="412"/>
      <c r="AAX46" s="412"/>
      <c r="AAY46" s="412"/>
      <c r="AAZ46" s="412"/>
      <c r="ABA46" s="412"/>
      <c r="ABB46" s="412"/>
      <c r="ABC46" s="412"/>
      <c r="ABD46" s="412"/>
      <c r="ABE46" s="412"/>
      <c r="ABF46" s="412"/>
      <c r="ABG46" s="412"/>
      <c r="ABH46" s="412"/>
      <c r="ABI46" s="412"/>
      <c r="ABJ46" s="412"/>
      <c r="ABK46" s="412"/>
      <c r="ABL46" s="412"/>
      <c r="ABM46" s="412"/>
      <c r="ABN46" s="412"/>
      <c r="ABO46" s="412"/>
      <c r="ABP46" s="412"/>
      <c r="ABQ46" s="412"/>
      <c r="ABR46" s="412"/>
      <c r="ABS46" s="412"/>
      <c r="ABT46" s="412"/>
      <c r="ABU46" s="412"/>
      <c r="ABV46" s="412"/>
      <c r="ABW46" s="412"/>
      <c r="ABX46" s="412"/>
      <c r="ABY46" s="412"/>
      <c r="ABZ46" s="412"/>
      <c r="ACA46" s="412"/>
      <c r="ACB46" s="412"/>
      <c r="ACC46" s="412"/>
      <c r="ACD46" s="412"/>
      <c r="ACE46" s="412"/>
      <c r="ACF46" s="412"/>
      <c r="ACG46" s="412"/>
      <c r="ACH46" s="412"/>
      <c r="ACI46" s="412"/>
      <c r="ACJ46" s="412"/>
      <c r="ACK46" s="412"/>
      <c r="ACL46" s="412"/>
      <c r="ACM46" s="412"/>
      <c r="ACN46" s="412"/>
      <c r="ACO46" s="412"/>
      <c r="ACP46" s="412"/>
      <c r="ACQ46" s="412"/>
      <c r="ACR46" s="412"/>
      <c r="ACS46" s="412"/>
      <c r="ACT46" s="412"/>
      <c r="ACU46" s="412"/>
      <c r="ACV46" s="412"/>
      <c r="ACW46" s="412"/>
      <c r="ACX46" s="412"/>
      <c r="ACY46" s="412"/>
      <c r="ACZ46" s="412"/>
      <c r="ADA46" s="412"/>
      <c r="ADB46" s="412"/>
      <c r="ADC46" s="412"/>
      <c r="ADD46" s="412"/>
      <c r="ADE46" s="412"/>
      <c r="ADF46" s="412"/>
      <c r="ADG46" s="412"/>
      <c r="ADH46" s="412"/>
      <c r="ADI46" s="412"/>
      <c r="ADJ46" s="412"/>
      <c r="ADK46" s="412"/>
      <c r="ADL46" s="412"/>
      <c r="ADM46" s="412"/>
      <c r="ADN46" s="412"/>
      <c r="ADO46" s="412"/>
      <c r="ADP46" s="412"/>
      <c r="ADQ46" s="412"/>
      <c r="ADR46" s="412"/>
      <c r="ADS46" s="412"/>
      <c r="ADT46" s="412"/>
      <c r="ADU46" s="412"/>
      <c r="ADV46" s="412"/>
      <c r="ADW46" s="412"/>
      <c r="ADX46" s="412"/>
      <c r="ADY46" s="412"/>
      <c r="ADZ46" s="412"/>
      <c r="AEA46" s="412"/>
      <c r="AEB46" s="412"/>
      <c r="AEC46" s="412"/>
      <c r="AED46" s="412"/>
      <c r="AEE46" s="412"/>
      <c r="AEF46" s="412"/>
      <c r="AEG46" s="412"/>
      <c r="AEH46" s="412"/>
      <c r="AEI46" s="412"/>
      <c r="AEJ46" s="412"/>
      <c r="AEK46" s="412"/>
      <c r="AEL46" s="412"/>
      <c r="AEM46" s="412"/>
      <c r="AEN46" s="412"/>
      <c r="AEO46" s="412"/>
      <c r="AEP46" s="412"/>
      <c r="AEQ46" s="412"/>
      <c r="AER46" s="412"/>
      <c r="AES46" s="412"/>
      <c r="AET46" s="412"/>
      <c r="AEU46" s="412"/>
      <c r="AEV46" s="412"/>
      <c r="AEW46" s="412"/>
      <c r="AEX46" s="412"/>
      <c r="AEY46" s="412"/>
      <c r="AEZ46" s="412"/>
      <c r="AFA46" s="412"/>
      <c r="AFB46" s="412"/>
      <c r="AFC46" s="412"/>
      <c r="AFD46" s="412"/>
      <c r="AFE46" s="412"/>
      <c r="AFF46" s="412"/>
      <c r="AFG46" s="412"/>
      <c r="AFH46" s="412"/>
      <c r="AFI46" s="412"/>
      <c r="AFJ46" s="412"/>
      <c r="AFK46" s="412"/>
      <c r="AFL46" s="412"/>
      <c r="AFM46" s="412"/>
      <c r="AFN46" s="412"/>
      <c r="AFO46" s="412"/>
      <c r="AFP46" s="412"/>
      <c r="AFQ46" s="412"/>
      <c r="AFR46" s="412"/>
      <c r="AFS46" s="412"/>
      <c r="AFT46" s="412"/>
      <c r="AFU46" s="412"/>
      <c r="AFV46" s="412"/>
      <c r="AFW46" s="412"/>
      <c r="AFX46" s="412"/>
      <c r="AFY46" s="412"/>
      <c r="AFZ46" s="412"/>
      <c r="AGA46" s="412"/>
      <c r="AGB46" s="412"/>
      <c r="AGC46" s="412"/>
      <c r="AGD46" s="412"/>
      <c r="AGE46" s="412"/>
      <c r="AGF46" s="412"/>
      <c r="AGG46" s="412"/>
      <c r="AGH46" s="412"/>
      <c r="AGI46" s="412"/>
      <c r="AGJ46" s="412"/>
      <c r="AGK46" s="412"/>
      <c r="AGL46" s="412"/>
      <c r="AGM46" s="412"/>
      <c r="AGN46" s="412"/>
      <c r="AGO46" s="412"/>
      <c r="AGP46" s="412"/>
      <c r="AGQ46" s="412"/>
      <c r="AGR46" s="412"/>
      <c r="AGS46" s="412"/>
      <c r="AGT46" s="412"/>
      <c r="AGU46" s="412"/>
      <c r="AGV46" s="412"/>
      <c r="AGW46" s="412"/>
      <c r="AGX46" s="412"/>
      <c r="AGY46" s="412"/>
      <c r="AGZ46" s="412"/>
      <c r="AHA46" s="412"/>
      <c r="AHB46" s="412"/>
      <c r="AHC46" s="412"/>
      <c r="AHD46" s="412"/>
      <c r="AHE46" s="412"/>
      <c r="AHF46" s="412"/>
      <c r="AHG46" s="412"/>
      <c r="AHH46" s="412"/>
      <c r="AHI46" s="412"/>
      <c r="AHJ46" s="412"/>
      <c r="AHK46" s="412"/>
      <c r="AHL46" s="412"/>
      <c r="AHM46" s="412"/>
      <c r="AHN46" s="412"/>
      <c r="AHO46" s="412"/>
      <c r="AHP46" s="412"/>
      <c r="AHQ46" s="412"/>
      <c r="AHR46" s="412"/>
      <c r="AHS46" s="412"/>
      <c r="AHT46" s="412"/>
      <c r="AHU46" s="412"/>
      <c r="AHV46" s="412"/>
      <c r="AHW46" s="412"/>
      <c r="AHX46" s="412"/>
      <c r="AHY46" s="412"/>
      <c r="AHZ46" s="412"/>
      <c r="AIA46" s="412"/>
      <c r="AIB46" s="412"/>
      <c r="AIC46" s="412"/>
      <c r="AID46" s="412"/>
      <c r="AIE46" s="412"/>
      <c r="AIF46" s="412"/>
      <c r="AIG46" s="412"/>
      <c r="AIH46" s="412"/>
      <c r="AII46" s="412"/>
      <c r="AIJ46" s="412"/>
      <c r="AIK46" s="412"/>
      <c r="AIL46" s="412"/>
      <c r="AIM46" s="412"/>
      <c r="AIN46" s="412"/>
      <c r="AIO46" s="412"/>
      <c r="AIP46" s="412"/>
      <c r="AIQ46" s="412"/>
      <c r="AIR46" s="412"/>
      <c r="AIS46" s="412"/>
      <c r="AIT46" s="412"/>
      <c r="AIU46" s="412"/>
      <c r="AIV46" s="412"/>
      <c r="AIW46" s="412"/>
      <c r="AIX46" s="412"/>
      <c r="AIY46" s="412"/>
      <c r="AIZ46" s="412"/>
      <c r="AJA46" s="412"/>
      <c r="AJB46" s="412"/>
      <c r="AJC46" s="412"/>
      <c r="AJD46" s="412"/>
      <c r="AJE46" s="412"/>
      <c r="AJF46" s="412"/>
      <c r="AJG46" s="412"/>
      <c r="AJH46" s="412"/>
      <c r="AJI46" s="412"/>
      <c r="AJJ46" s="412"/>
      <c r="AJK46" s="412"/>
      <c r="AJL46" s="412"/>
      <c r="AJM46" s="412"/>
      <c r="AJN46" s="412"/>
      <c r="AJO46" s="412"/>
      <c r="AJP46" s="412"/>
      <c r="AJQ46" s="412"/>
      <c r="AJR46" s="412"/>
      <c r="AJS46" s="412"/>
      <c r="AJT46" s="412"/>
      <c r="AJU46" s="412"/>
      <c r="AJV46" s="412"/>
      <c r="AJW46" s="412"/>
      <c r="AJX46" s="412"/>
      <c r="AJY46" s="412"/>
      <c r="AJZ46" s="412"/>
      <c r="AKA46" s="412"/>
      <c r="AKB46" s="412"/>
      <c r="AKC46" s="412"/>
      <c r="AKD46" s="412"/>
      <c r="AKE46" s="412"/>
      <c r="AKF46" s="412"/>
      <c r="AKG46" s="412"/>
      <c r="AKH46" s="412"/>
      <c r="AKI46" s="412"/>
      <c r="AKJ46" s="412"/>
      <c r="AKK46" s="412"/>
      <c r="AKL46" s="412"/>
      <c r="AKM46" s="412"/>
      <c r="AKN46" s="412"/>
      <c r="AKO46" s="412"/>
      <c r="AKP46" s="412"/>
      <c r="AKQ46" s="412"/>
      <c r="AKR46" s="412"/>
      <c r="AKS46" s="412"/>
      <c r="AKT46" s="412"/>
      <c r="AKU46" s="412"/>
      <c r="AKV46" s="412"/>
      <c r="AKW46" s="412"/>
      <c r="AKX46" s="412"/>
      <c r="AKY46" s="412"/>
      <c r="AKZ46" s="412"/>
      <c r="ALA46" s="412"/>
      <c r="ALB46" s="412"/>
      <c r="ALC46" s="412"/>
      <c r="ALD46" s="412"/>
      <c r="ALE46" s="412"/>
      <c r="ALF46" s="412"/>
      <c r="ALG46" s="412"/>
      <c r="ALH46" s="412"/>
      <c r="ALI46" s="412"/>
      <c r="ALJ46" s="412"/>
      <c r="ALK46" s="412"/>
      <c r="ALL46" s="412"/>
      <c r="ALM46" s="412"/>
      <c r="ALN46" s="412"/>
      <c r="ALO46" s="412"/>
      <c r="ALP46" s="412"/>
      <c r="ALQ46" s="412"/>
      <c r="ALR46" s="412"/>
      <c r="ALS46" s="412"/>
      <c r="ALT46" s="412"/>
      <c r="ALU46" s="412"/>
      <c r="ALV46" s="412"/>
      <c r="ALW46" s="412"/>
      <c r="ALX46" s="412"/>
      <c r="ALY46" s="412"/>
      <c r="ALZ46" s="412"/>
      <c r="AMA46" s="412"/>
      <c r="AMB46" s="412"/>
      <c r="AMC46" s="412"/>
      <c r="AMD46" s="412"/>
      <c r="AME46" s="412"/>
      <c r="AMF46" s="412"/>
      <c r="AMG46" s="412"/>
      <c r="AMH46" s="412"/>
      <c r="AMI46" s="412"/>
      <c r="AMJ46" s="412"/>
      <c r="AMK46" s="412"/>
      <c r="AML46" s="412"/>
      <c r="AMM46" s="412"/>
      <c r="AMN46" s="412"/>
      <c r="AMO46" s="412"/>
      <c r="AMP46" s="412"/>
      <c r="AMQ46" s="412"/>
      <c r="AMR46" s="412"/>
      <c r="AMS46" s="412"/>
      <c r="AMT46" s="412"/>
      <c r="AMU46" s="412"/>
      <c r="AMV46" s="412"/>
      <c r="AMW46" s="412"/>
      <c r="AMX46" s="412"/>
      <c r="AMY46" s="412"/>
      <c r="AMZ46" s="412"/>
      <c r="ANA46" s="412"/>
      <c r="ANB46" s="412"/>
      <c r="ANC46" s="412"/>
      <c r="AND46" s="412"/>
      <c r="ANE46" s="412"/>
      <c r="ANF46" s="412"/>
      <c r="ANG46" s="412"/>
      <c r="ANH46" s="412"/>
      <c r="ANI46" s="412"/>
      <c r="ANJ46" s="412"/>
      <c r="ANK46" s="412"/>
      <c r="ANL46" s="412"/>
      <c r="ANM46" s="412"/>
      <c r="ANN46" s="412"/>
      <c r="ANO46" s="412"/>
      <c r="ANP46" s="412"/>
      <c r="ANQ46" s="412"/>
      <c r="ANR46" s="412"/>
      <c r="ANS46" s="412"/>
      <c r="ANT46" s="412"/>
      <c r="ANU46" s="412"/>
      <c r="ANV46" s="412"/>
      <c r="ANW46" s="412"/>
      <c r="ANX46" s="412"/>
      <c r="ANY46" s="412"/>
      <c r="ANZ46" s="412"/>
      <c r="AOA46" s="412"/>
      <c r="AOB46" s="412"/>
      <c r="AOC46" s="412"/>
      <c r="AOD46" s="412"/>
      <c r="AOE46" s="412"/>
      <c r="AOF46" s="412"/>
      <c r="AOG46" s="412"/>
      <c r="AOH46" s="412"/>
      <c r="AOI46" s="412"/>
      <c r="AOJ46" s="412"/>
      <c r="AOK46" s="412"/>
      <c r="AOL46" s="412"/>
      <c r="AOM46" s="412"/>
      <c r="AON46" s="412"/>
      <c r="AOO46" s="412"/>
      <c r="AOP46" s="412"/>
      <c r="AOQ46" s="412"/>
      <c r="AOR46" s="412"/>
      <c r="AOS46" s="412"/>
      <c r="AOT46" s="412"/>
      <c r="AOU46" s="412"/>
      <c r="AOV46" s="412"/>
      <c r="AOW46" s="412"/>
      <c r="AOX46" s="412"/>
      <c r="AOY46" s="412"/>
      <c r="AOZ46" s="412"/>
      <c r="APA46" s="412"/>
      <c r="APB46" s="412"/>
      <c r="APC46" s="412"/>
      <c r="APD46" s="412"/>
      <c r="APE46" s="412"/>
      <c r="APF46" s="412"/>
      <c r="APG46" s="412"/>
      <c r="APH46" s="412"/>
      <c r="API46" s="412"/>
      <c r="APJ46" s="412"/>
      <c r="APK46" s="412"/>
      <c r="APL46" s="412"/>
      <c r="APM46" s="412"/>
      <c r="APN46" s="412"/>
      <c r="APO46" s="412"/>
      <c r="APP46" s="412"/>
      <c r="APQ46" s="412"/>
      <c r="APR46" s="412"/>
      <c r="APS46" s="412"/>
      <c r="APT46" s="412"/>
      <c r="APU46" s="412"/>
      <c r="APV46" s="412"/>
      <c r="APW46" s="412"/>
      <c r="APX46" s="412"/>
      <c r="APY46" s="412"/>
      <c r="APZ46" s="412"/>
      <c r="AQA46" s="412"/>
      <c r="AQB46" s="412"/>
      <c r="AQC46" s="412"/>
      <c r="AQD46" s="412"/>
      <c r="AQE46" s="412"/>
      <c r="AQF46" s="412"/>
      <c r="AQG46" s="412"/>
      <c r="AQH46" s="412"/>
      <c r="AQI46" s="412"/>
      <c r="AQJ46" s="412"/>
      <c r="AQK46" s="412"/>
      <c r="AQL46" s="412"/>
      <c r="AQM46" s="412"/>
      <c r="AQN46" s="412"/>
      <c r="AQO46" s="412"/>
      <c r="AQP46" s="412"/>
      <c r="AQQ46" s="412"/>
      <c r="AQR46" s="412"/>
      <c r="AQS46" s="412"/>
      <c r="AQT46" s="412"/>
      <c r="AQU46" s="412"/>
      <c r="AQV46" s="412"/>
      <c r="AQW46" s="412"/>
      <c r="AQX46" s="412"/>
      <c r="AQY46" s="412"/>
      <c r="AQZ46" s="412"/>
      <c r="ARA46" s="412"/>
      <c r="ARB46" s="412"/>
      <c r="ARC46" s="412"/>
      <c r="ARD46" s="412"/>
      <c r="ARE46" s="412"/>
      <c r="ARF46" s="412"/>
      <c r="ARG46" s="412"/>
      <c r="ARH46" s="412"/>
      <c r="ARI46" s="412"/>
      <c r="ARJ46" s="412"/>
      <c r="ARK46" s="412"/>
      <c r="ARL46" s="412"/>
      <c r="ARM46" s="412"/>
      <c r="ARN46" s="412"/>
      <c r="ARO46" s="412"/>
      <c r="ARP46" s="412"/>
      <c r="ARQ46" s="412"/>
      <c r="ARR46" s="412"/>
      <c r="ARS46" s="412"/>
      <c r="ART46" s="412"/>
      <c r="ARU46" s="412"/>
      <c r="ARV46" s="412"/>
      <c r="ARW46" s="412"/>
      <c r="ARX46" s="412"/>
      <c r="ARY46" s="412"/>
      <c r="ARZ46" s="412"/>
      <c r="ASA46" s="412"/>
      <c r="ASB46" s="412"/>
      <c r="ASC46" s="412"/>
      <c r="ASD46" s="412"/>
      <c r="ASE46" s="412"/>
      <c r="ASF46" s="412"/>
      <c r="ASG46" s="412"/>
      <c r="ASH46" s="412"/>
      <c r="ASI46" s="412"/>
      <c r="ASJ46" s="412"/>
      <c r="ASK46" s="412"/>
      <c r="ASL46" s="412"/>
      <c r="ASM46" s="412"/>
      <c r="ASN46" s="412"/>
      <c r="ASO46" s="412"/>
      <c r="ASP46" s="412"/>
      <c r="ASQ46" s="412"/>
      <c r="ASR46" s="412"/>
      <c r="ASS46" s="412"/>
      <c r="AST46" s="412"/>
      <c r="ASU46" s="412"/>
      <c r="ASV46" s="412"/>
      <c r="ASW46" s="412"/>
      <c r="ASX46" s="412"/>
      <c r="ASY46" s="412"/>
      <c r="ASZ46" s="412"/>
      <c r="ATA46" s="412"/>
      <c r="ATB46" s="412"/>
      <c r="ATC46" s="412"/>
      <c r="ATD46" s="412"/>
      <c r="ATE46" s="412"/>
      <c r="ATF46" s="412"/>
      <c r="ATG46" s="412"/>
      <c r="ATH46" s="412"/>
      <c r="ATI46" s="412"/>
      <c r="ATJ46" s="412"/>
      <c r="ATK46" s="412"/>
      <c r="ATL46" s="412"/>
      <c r="ATM46" s="412"/>
      <c r="ATN46" s="412"/>
      <c r="ATO46" s="412"/>
      <c r="ATP46" s="412"/>
      <c r="ATQ46" s="412"/>
      <c r="ATR46" s="412"/>
      <c r="ATS46" s="412"/>
      <c r="ATT46" s="412"/>
      <c r="ATU46" s="412"/>
      <c r="ATV46" s="412"/>
      <c r="ATW46" s="412"/>
      <c r="ATX46" s="412"/>
      <c r="ATY46" s="412"/>
      <c r="ATZ46" s="412"/>
      <c r="AUA46" s="412"/>
      <c r="AUB46" s="412"/>
      <c r="AUC46" s="412"/>
      <c r="AUD46" s="412"/>
      <c r="AUE46" s="412"/>
      <c r="AUF46" s="412"/>
      <c r="AUG46" s="412"/>
      <c r="AUH46" s="412"/>
      <c r="AUI46" s="412"/>
      <c r="AUJ46" s="412"/>
      <c r="AUK46" s="412"/>
      <c r="AUL46" s="412"/>
      <c r="AUM46" s="412"/>
      <c r="AUN46" s="412"/>
      <c r="AUO46" s="412"/>
      <c r="AUP46" s="412"/>
      <c r="AUQ46" s="412"/>
      <c r="AUR46" s="412"/>
      <c r="AUS46" s="412"/>
      <c r="AUT46" s="412"/>
      <c r="AUU46" s="412"/>
      <c r="AUV46" s="412"/>
      <c r="AUW46" s="412"/>
      <c r="AUX46" s="412"/>
      <c r="AUY46" s="412"/>
      <c r="AUZ46" s="412"/>
      <c r="AVA46" s="412"/>
      <c r="AVB46" s="412"/>
      <c r="AVC46" s="412"/>
      <c r="AVD46" s="412"/>
      <c r="AVE46" s="412"/>
      <c r="AVF46" s="412"/>
      <c r="AVG46" s="412"/>
      <c r="AVH46" s="412"/>
      <c r="AVI46" s="412"/>
      <c r="AVJ46" s="412"/>
      <c r="AVK46" s="412"/>
      <c r="AVL46" s="412"/>
      <c r="AVM46" s="412"/>
      <c r="AVN46" s="412"/>
      <c r="AVO46" s="412"/>
      <c r="AVP46" s="412"/>
      <c r="AVQ46" s="412"/>
      <c r="AVR46" s="412"/>
      <c r="AVS46" s="412"/>
      <c r="AVT46" s="412"/>
      <c r="AVU46" s="412"/>
      <c r="AVV46" s="412"/>
      <c r="AVW46" s="412"/>
      <c r="AVX46" s="412"/>
      <c r="AVY46" s="412"/>
      <c r="AVZ46" s="412"/>
      <c r="AWA46" s="412"/>
      <c r="AWB46" s="412"/>
      <c r="AWC46" s="412"/>
      <c r="AWD46" s="412"/>
      <c r="AWE46" s="412"/>
      <c r="AWF46" s="412"/>
      <c r="AWG46" s="412"/>
      <c r="AWH46" s="412"/>
      <c r="AWI46" s="412"/>
      <c r="AWJ46" s="412"/>
      <c r="AWK46" s="412"/>
      <c r="AWL46" s="412"/>
      <c r="AWM46" s="412"/>
      <c r="AWN46" s="412"/>
      <c r="AWO46" s="412"/>
      <c r="AWP46" s="412"/>
      <c r="AWQ46" s="412"/>
      <c r="AWR46" s="412"/>
      <c r="AWS46" s="412"/>
      <c r="AWT46" s="412"/>
      <c r="AWU46" s="412"/>
      <c r="AWV46" s="412"/>
      <c r="AWW46" s="412"/>
      <c r="AWX46" s="412"/>
      <c r="AWY46" s="412"/>
      <c r="AWZ46" s="412"/>
      <c r="AXA46" s="412"/>
      <c r="AXB46" s="412"/>
      <c r="AXC46" s="412"/>
      <c r="AXD46" s="412"/>
      <c r="AXE46" s="412"/>
      <c r="AXF46" s="412"/>
      <c r="AXG46" s="412"/>
      <c r="AXH46" s="412"/>
      <c r="AXI46" s="412"/>
      <c r="AXJ46" s="412"/>
      <c r="AXK46" s="412"/>
      <c r="AXL46" s="412"/>
      <c r="AXM46" s="412"/>
      <c r="AXN46" s="412"/>
      <c r="AXO46" s="412"/>
      <c r="AXP46" s="412"/>
      <c r="AXQ46" s="412"/>
      <c r="AXR46" s="412"/>
      <c r="AXS46" s="412"/>
      <c r="AXT46" s="412"/>
      <c r="AXU46" s="412"/>
      <c r="AXV46" s="412"/>
      <c r="AXW46" s="412"/>
      <c r="AXX46" s="412"/>
      <c r="AXY46" s="412"/>
      <c r="AXZ46" s="412"/>
      <c r="AYA46" s="412"/>
      <c r="AYB46" s="412"/>
      <c r="AYC46" s="412"/>
      <c r="AYD46" s="412"/>
      <c r="AYE46" s="412"/>
      <c r="AYF46" s="412"/>
      <c r="AYG46" s="412"/>
      <c r="AYH46" s="412"/>
      <c r="AYI46" s="412"/>
      <c r="AYJ46" s="412"/>
      <c r="AYK46" s="412"/>
      <c r="AYL46" s="412"/>
      <c r="AYM46" s="412"/>
      <c r="AYN46" s="412"/>
      <c r="AYO46" s="412"/>
      <c r="AYP46" s="412"/>
      <c r="AYQ46" s="412"/>
      <c r="AYR46" s="412"/>
      <c r="AYS46" s="412"/>
      <c r="AYT46" s="412"/>
      <c r="AYU46" s="412"/>
      <c r="AYV46" s="412"/>
      <c r="AYW46" s="412"/>
      <c r="AYX46" s="412"/>
      <c r="AYY46" s="412"/>
      <c r="AYZ46" s="412"/>
      <c r="AZA46" s="412"/>
      <c r="AZB46" s="412"/>
      <c r="AZC46" s="412"/>
      <c r="AZD46" s="412"/>
      <c r="AZE46" s="412"/>
      <c r="AZF46" s="412"/>
      <c r="AZG46" s="412"/>
      <c r="AZH46" s="412"/>
      <c r="AZI46" s="412"/>
      <c r="AZJ46" s="412"/>
      <c r="AZK46" s="412"/>
      <c r="AZL46" s="412"/>
      <c r="AZM46" s="412"/>
      <c r="AZN46" s="412"/>
      <c r="AZO46" s="412"/>
      <c r="AZP46" s="412"/>
      <c r="AZQ46" s="412"/>
      <c r="AZR46" s="412"/>
      <c r="AZS46" s="412"/>
      <c r="AZT46" s="412"/>
      <c r="AZU46" s="412"/>
      <c r="AZV46" s="412"/>
      <c r="AZW46" s="412"/>
      <c r="AZX46" s="412"/>
      <c r="AZY46" s="412"/>
      <c r="AZZ46" s="412"/>
      <c r="BAA46" s="412"/>
      <c r="BAB46" s="412"/>
      <c r="BAC46" s="412"/>
      <c r="BAD46" s="412"/>
      <c r="BAE46" s="412"/>
      <c r="BAF46" s="412"/>
      <c r="BAG46" s="412"/>
      <c r="BAH46" s="412"/>
      <c r="BAI46" s="412"/>
      <c r="BAJ46" s="412"/>
      <c r="BAK46" s="412"/>
      <c r="BAL46" s="412"/>
      <c r="BAM46" s="412"/>
      <c r="BAN46" s="412"/>
      <c r="BAO46" s="412"/>
      <c r="BAP46" s="412"/>
      <c r="BAQ46" s="412"/>
      <c r="BAR46" s="412"/>
      <c r="BAS46" s="412"/>
      <c r="BAT46" s="412"/>
      <c r="BAU46" s="412"/>
      <c r="BAV46" s="412"/>
      <c r="BAW46" s="412"/>
      <c r="BAX46" s="412"/>
      <c r="BAY46" s="412"/>
      <c r="BAZ46" s="412"/>
      <c r="BBA46" s="412"/>
      <c r="BBB46" s="412"/>
      <c r="BBC46" s="412"/>
      <c r="BBD46" s="412"/>
      <c r="BBE46" s="412"/>
      <c r="BBF46" s="412"/>
      <c r="BBG46" s="412"/>
      <c r="BBH46" s="412"/>
      <c r="BBI46" s="412"/>
      <c r="BBJ46" s="412"/>
      <c r="BBK46" s="412"/>
      <c r="BBL46" s="412"/>
      <c r="BBM46" s="412"/>
      <c r="BBN46" s="412"/>
      <c r="BBO46" s="412"/>
      <c r="BBP46" s="412"/>
      <c r="BBQ46" s="412"/>
      <c r="BBR46" s="412"/>
      <c r="BBS46" s="412"/>
      <c r="BBT46" s="412"/>
      <c r="BBU46" s="412"/>
      <c r="BBV46" s="412"/>
      <c r="BBW46" s="412"/>
      <c r="BBX46" s="412"/>
      <c r="BBY46" s="412"/>
      <c r="BBZ46" s="412"/>
      <c r="BCA46" s="412"/>
      <c r="BCB46" s="412"/>
      <c r="BCC46" s="412"/>
      <c r="BCD46" s="412"/>
      <c r="BCE46" s="412"/>
      <c r="BCF46" s="412"/>
      <c r="BCG46" s="412"/>
      <c r="BCH46" s="412"/>
      <c r="BCI46" s="412"/>
      <c r="BCJ46" s="412"/>
      <c r="BCK46" s="412"/>
      <c r="BCL46" s="412"/>
      <c r="BCM46" s="412"/>
      <c r="BCN46" s="412"/>
      <c r="BCO46" s="412"/>
      <c r="BCP46" s="412"/>
      <c r="BCQ46" s="412"/>
      <c r="BCR46" s="412"/>
      <c r="BCS46" s="412"/>
      <c r="BCT46" s="412"/>
      <c r="BCU46" s="412"/>
      <c r="BCV46" s="412"/>
      <c r="BCW46" s="412"/>
      <c r="BCX46" s="412"/>
      <c r="BCY46" s="412"/>
      <c r="BCZ46" s="412"/>
      <c r="BDA46" s="412"/>
      <c r="BDB46" s="412"/>
      <c r="BDC46" s="412"/>
      <c r="BDD46" s="412"/>
      <c r="BDE46" s="412"/>
      <c r="BDF46" s="412"/>
      <c r="BDG46" s="412"/>
      <c r="BDH46" s="412"/>
      <c r="BDI46" s="412"/>
      <c r="BDJ46" s="412"/>
      <c r="BDK46" s="412"/>
      <c r="BDL46" s="412"/>
      <c r="BDM46" s="412"/>
      <c r="BDN46" s="412"/>
      <c r="BDO46" s="412"/>
      <c r="BDP46" s="412"/>
      <c r="BDQ46" s="412"/>
      <c r="BDR46" s="412"/>
      <c r="BDS46" s="412"/>
      <c r="BDT46" s="412"/>
      <c r="BDU46" s="412"/>
      <c r="BDV46" s="412"/>
      <c r="BDW46" s="412"/>
      <c r="BDX46" s="412"/>
      <c r="BDY46" s="412"/>
      <c r="BDZ46" s="412"/>
      <c r="BEA46" s="412"/>
      <c r="BEB46" s="412"/>
      <c r="BEC46" s="412"/>
      <c r="BED46" s="412"/>
      <c r="BEE46" s="412"/>
      <c r="BEF46" s="412"/>
      <c r="BEG46" s="412"/>
      <c r="BEH46" s="412"/>
      <c r="BEI46" s="412"/>
      <c r="BEJ46" s="412"/>
      <c r="BEK46" s="412"/>
      <c r="BEL46" s="412"/>
      <c r="BEM46" s="412"/>
      <c r="BEN46" s="412"/>
      <c r="BEO46" s="412"/>
      <c r="BEP46" s="412"/>
      <c r="BEQ46" s="412"/>
      <c r="BER46" s="412"/>
      <c r="BES46" s="412"/>
      <c r="BET46" s="412"/>
      <c r="BEU46" s="412"/>
      <c r="BEV46" s="412"/>
      <c r="BEW46" s="412"/>
      <c r="BEX46" s="412"/>
      <c r="BEY46" s="412"/>
      <c r="BEZ46" s="412"/>
      <c r="BFA46" s="412"/>
      <c r="BFB46" s="412"/>
      <c r="BFC46" s="412"/>
      <c r="BFD46" s="412"/>
      <c r="BFE46" s="412"/>
      <c r="BFF46" s="412"/>
      <c r="BFG46" s="412"/>
      <c r="BFH46" s="412"/>
      <c r="BFI46" s="412"/>
      <c r="BFJ46" s="412"/>
      <c r="BFK46" s="412"/>
      <c r="BFL46" s="412"/>
      <c r="BFM46" s="412"/>
      <c r="BFN46" s="412"/>
      <c r="BFO46" s="412"/>
      <c r="BFP46" s="412"/>
      <c r="BFQ46" s="412"/>
      <c r="BFR46" s="412"/>
      <c r="BFS46" s="412"/>
      <c r="BFT46" s="412"/>
      <c r="BFU46" s="412"/>
      <c r="BFV46" s="412"/>
      <c r="BFW46" s="412"/>
      <c r="BFX46" s="412"/>
      <c r="BFY46" s="412"/>
      <c r="BFZ46" s="412"/>
      <c r="BGA46" s="412"/>
      <c r="BGB46" s="412"/>
      <c r="BGC46" s="412"/>
      <c r="BGD46" s="412"/>
      <c r="BGE46" s="412"/>
      <c r="BGF46" s="412"/>
      <c r="BGG46" s="412"/>
      <c r="BGH46" s="412"/>
      <c r="BGI46" s="412"/>
      <c r="BGJ46" s="412"/>
      <c r="BGK46" s="412"/>
      <c r="BGL46" s="412"/>
      <c r="BGM46" s="412"/>
      <c r="BGN46" s="412"/>
      <c r="BGO46" s="412"/>
      <c r="BGP46" s="412"/>
      <c r="BGQ46" s="412"/>
      <c r="BGR46" s="412"/>
      <c r="BGS46" s="412"/>
      <c r="BGT46" s="412"/>
      <c r="BGU46" s="412"/>
      <c r="BGV46" s="412"/>
      <c r="BGW46" s="412"/>
      <c r="BGX46" s="412"/>
      <c r="BGY46" s="412"/>
      <c r="BGZ46" s="412"/>
      <c r="BHA46" s="412"/>
      <c r="BHB46" s="412"/>
      <c r="BHC46" s="412"/>
      <c r="BHD46" s="412"/>
      <c r="BHE46" s="412"/>
      <c r="BHF46" s="412"/>
      <c r="BHG46" s="412"/>
      <c r="BHH46" s="412"/>
      <c r="BHI46" s="412"/>
      <c r="BHJ46" s="412"/>
      <c r="BHK46" s="412"/>
      <c r="BHL46" s="412"/>
      <c r="BHM46" s="412"/>
      <c r="BHN46" s="412"/>
      <c r="BHO46" s="412"/>
      <c r="BHP46" s="412"/>
      <c r="BHQ46" s="412"/>
      <c r="BHR46" s="412"/>
      <c r="BHS46" s="412"/>
      <c r="BHT46" s="412"/>
      <c r="BHU46" s="412"/>
      <c r="BHV46" s="412"/>
      <c r="BHW46" s="412"/>
      <c r="BHX46" s="412"/>
      <c r="BHY46" s="412"/>
      <c r="BHZ46" s="412"/>
      <c r="BIA46" s="412"/>
      <c r="BIB46" s="412"/>
      <c r="BIC46" s="412"/>
      <c r="BID46" s="412"/>
      <c r="BIE46" s="412"/>
      <c r="BIF46" s="412"/>
      <c r="BIG46" s="412"/>
      <c r="BIH46" s="412"/>
      <c r="BII46" s="412"/>
      <c r="BIJ46" s="412"/>
      <c r="BIK46" s="412"/>
      <c r="BIL46" s="412"/>
      <c r="BIM46" s="412"/>
      <c r="BIN46" s="412"/>
      <c r="BIO46" s="412"/>
      <c r="BIP46" s="412"/>
      <c r="BIQ46" s="412"/>
      <c r="BIR46" s="412"/>
      <c r="BIS46" s="412"/>
      <c r="BIT46" s="412"/>
      <c r="BIU46" s="412"/>
      <c r="BIV46" s="412"/>
      <c r="BIW46" s="412"/>
      <c r="BIX46" s="412"/>
      <c r="BIY46" s="412"/>
      <c r="BIZ46" s="412"/>
      <c r="BJA46" s="412"/>
      <c r="BJB46" s="412"/>
      <c r="BJC46" s="412"/>
      <c r="BJD46" s="412"/>
      <c r="BJE46" s="412"/>
      <c r="BJF46" s="412"/>
      <c r="BJG46" s="412"/>
      <c r="BJH46" s="412"/>
      <c r="BJI46" s="412"/>
      <c r="BJJ46" s="412"/>
      <c r="BJK46" s="412"/>
      <c r="BJL46" s="412"/>
      <c r="BJM46" s="412"/>
      <c r="BJN46" s="412"/>
      <c r="BJO46" s="412"/>
      <c r="BJP46" s="412"/>
      <c r="BJQ46" s="412"/>
      <c r="BJR46" s="412"/>
      <c r="BJS46" s="412"/>
      <c r="BJT46" s="412"/>
      <c r="BJU46" s="412"/>
      <c r="BJV46" s="412"/>
      <c r="BJW46" s="412"/>
      <c r="BJX46" s="412"/>
      <c r="BJY46" s="412"/>
      <c r="BJZ46" s="412"/>
      <c r="BKA46" s="412"/>
      <c r="BKB46" s="412"/>
      <c r="BKC46" s="412"/>
      <c r="BKD46" s="412"/>
      <c r="BKE46" s="412"/>
      <c r="BKF46" s="412"/>
      <c r="BKG46" s="412"/>
      <c r="BKH46" s="412"/>
      <c r="BKI46" s="412"/>
      <c r="BKJ46" s="412"/>
      <c r="BKK46" s="412"/>
      <c r="BKL46" s="412"/>
      <c r="BKM46" s="412"/>
      <c r="BKN46" s="412"/>
      <c r="BKO46" s="412"/>
      <c r="BKP46" s="412"/>
      <c r="BKQ46" s="412"/>
      <c r="BKR46" s="412"/>
      <c r="BKS46" s="412"/>
      <c r="BKT46" s="412"/>
      <c r="BKU46" s="412"/>
      <c r="BKV46" s="412"/>
      <c r="BKW46" s="412"/>
      <c r="BKX46" s="412"/>
      <c r="BKY46" s="412"/>
      <c r="BKZ46" s="412"/>
      <c r="BLA46" s="412"/>
      <c r="BLB46" s="412"/>
      <c r="BLC46" s="412"/>
      <c r="BLD46" s="412"/>
      <c r="BLE46" s="412"/>
      <c r="BLF46" s="412"/>
      <c r="BLG46" s="412"/>
      <c r="BLH46" s="412"/>
      <c r="BLI46" s="412"/>
      <c r="BLJ46" s="412"/>
      <c r="BLK46" s="412"/>
      <c r="BLL46" s="412"/>
      <c r="BLM46" s="412"/>
      <c r="BLN46" s="412"/>
      <c r="BLO46" s="412"/>
      <c r="BLP46" s="412"/>
      <c r="BLQ46" s="412"/>
      <c r="BLR46" s="412"/>
      <c r="BLS46" s="412"/>
      <c r="BLT46" s="412"/>
      <c r="BLU46" s="412"/>
      <c r="BLV46" s="412"/>
      <c r="BLW46" s="412"/>
      <c r="BLX46" s="412"/>
      <c r="BLY46" s="412"/>
      <c r="BLZ46" s="412"/>
      <c r="BMA46" s="412"/>
      <c r="BMB46" s="412"/>
      <c r="BMC46" s="412"/>
      <c r="BMD46" s="412"/>
      <c r="BME46" s="412"/>
      <c r="BMF46" s="412"/>
      <c r="BMG46" s="412"/>
      <c r="BMH46" s="412"/>
      <c r="BMI46" s="412"/>
      <c r="BMJ46" s="412"/>
      <c r="BMK46" s="412"/>
      <c r="BML46" s="412"/>
      <c r="BMM46" s="412"/>
      <c r="BMN46" s="412"/>
      <c r="BMO46" s="412"/>
      <c r="BMP46" s="412"/>
      <c r="BMQ46" s="412"/>
      <c r="BMR46" s="412"/>
      <c r="BMS46" s="412"/>
      <c r="BMT46" s="412"/>
      <c r="BMU46" s="412"/>
      <c r="BMV46" s="412"/>
      <c r="BMW46" s="412"/>
      <c r="BMX46" s="412"/>
      <c r="BMY46" s="412"/>
      <c r="BMZ46" s="412"/>
      <c r="BNA46" s="412"/>
      <c r="BNB46" s="412"/>
      <c r="BNC46" s="412"/>
      <c r="BND46" s="412"/>
      <c r="BNE46" s="412"/>
      <c r="BNF46" s="412"/>
      <c r="BNG46" s="412"/>
      <c r="BNH46" s="412"/>
      <c r="BNI46" s="412"/>
      <c r="BNJ46" s="412"/>
      <c r="BNK46" s="412"/>
      <c r="BNL46" s="412"/>
      <c r="BNM46" s="412"/>
      <c r="BNN46" s="412"/>
      <c r="BNO46" s="412"/>
      <c r="BNP46" s="412"/>
      <c r="BNQ46" s="412"/>
      <c r="BNR46" s="412"/>
      <c r="BNS46" s="412"/>
      <c r="BNT46" s="412"/>
      <c r="BNU46" s="412"/>
      <c r="BNV46" s="412"/>
      <c r="BNW46" s="412"/>
      <c r="BNX46" s="412"/>
      <c r="BNY46" s="412"/>
      <c r="BNZ46" s="412"/>
      <c r="BOA46" s="412"/>
      <c r="BOB46" s="412"/>
      <c r="BOC46" s="412"/>
      <c r="BOD46" s="412"/>
      <c r="BOE46" s="412"/>
      <c r="BOF46" s="412"/>
      <c r="BOG46" s="412"/>
      <c r="BOH46" s="412"/>
      <c r="BOI46" s="412"/>
      <c r="BOJ46" s="412"/>
      <c r="BOK46" s="412"/>
      <c r="BOL46" s="412"/>
      <c r="BOM46" s="412"/>
      <c r="BON46" s="412"/>
      <c r="BOO46" s="412"/>
      <c r="BOP46" s="412"/>
      <c r="BOQ46" s="412"/>
      <c r="BOR46" s="412"/>
      <c r="BOS46" s="412"/>
      <c r="BOT46" s="412"/>
      <c r="BOU46" s="412"/>
      <c r="BOV46" s="412"/>
      <c r="BOW46" s="412"/>
      <c r="BOX46" s="412"/>
      <c r="BOY46" s="412"/>
      <c r="BOZ46" s="412"/>
      <c r="BPA46" s="412"/>
      <c r="BPB46" s="412"/>
      <c r="BPC46" s="412"/>
      <c r="BPD46" s="412"/>
      <c r="BPE46" s="412"/>
      <c r="BPF46" s="412"/>
      <c r="BPG46" s="412"/>
      <c r="BPH46" s="412"/>
      <c r="BPI46" s="412"/>
      <c r="BPJ46" s="412"/>
      <c r="BPK46" s="412"/>
      <c r="BPL46" s="412"/>
      <c r="BPM46" s="412"/>
      <c r="BPN46" s="412"/>
      <c r="BPO46" s="412"/>
      <c r="BPP46" s="412"/>
      <c r="BPQ46" s="412"/>
      <c r="BPR46" s="412"/>
      <c r="BPS46" s="412"/>
      <c r="BPT46" s="412"/>
      <c r="BPU46" s="412"/>
      <c r="BPV46" s="412"/>
      <c r="BPW46" s="412"/>
      <c r="BPX46" s="412"/>
      <c r="BPY46" s="412"/>
      <c r="BPZ46" s="412"/>
      <c r="BQA46" s="412"/>
      <c r="BQB46" s="412"/>
      <c r="BQC46" s="412"/>
      <c r="BQD46" s="412"/>
      <c r="BQE46" s="412"/>
      <c r="BQF46" s="412"/>
      <c r="BQG46" s="412"/>
      <c r="BQH46" s="412"/>
      <c r="BQI46" s="412"/>
      <c r="BQJ46" s="412"/>
      <c r="BQK46" s="412"/>
      <c r="BQL46" s="412"/>
      <c r="BQM46" s="412"/>
      <c r="BQN46" s="412"/>
      <c r="BQO46" s="412"/>
      <c r="BQP46" s="412"/>
      <c r="BQQ46" s="412"/>
      <c r="BQR46" s="412"/>
      <c r="BQS46" s="412"/>
      <c r="BQT46" s="412"/>
      <c r="BQU46" s="412"/>
      <c r="BQV46" s="412"/>
      <c r="BQW46" s="412"/>
      <c r="BQX46" s="412"/>
      <c r="BQY46" s="412"/>
      <c r="BQZ46" s="412"/>
      <c r="BRA46" s="412"/>
      <c r="BRB46" s="412"/>
      <c r="BRC46" s="412"/>
      <c r="BRD46" s="412"/>
      <c r="BRE46" s="412"/>
      <c r="BRF46" s="412"/>
      <c r="BRG46" s="412"/>
      <c r="BRH46" s="412"/>
      <c r="BRI46" s="412"/>
      <c r="BRJ46" s="412"/>
      <c r="BRK46" s="412"/>
      <c r="BRL46" s="412"/>
      <c r="BRM46" s="412"/>
      <c r="BRN46" s="412"/>
      <c r="BRO46" s="412"/>
      <c r="BRP46" s="412"/>
      <c r="BRQ46" s="412"/>
      <c r="BRR46" s="412"/>
      <c r="BRS46" s="412"/>
      <c r="BRT46" s="412"/>
      <c r="BRU46" s="412"/>
      <c r="BRV46" s="412"/>
      <c r="BRW46" s="412"/>
      <c r="BRX46" s="412"/>
      <c r="BRY46" s="412"/>
      <c r="BRZ46" s="412"/>
      <c r="BSA46" s="412"/>
      <c r="BSB46" s="412"/>
      <c r="BSC46" s="412"/>
      <c r="BSD46" s="412"/>
      <c r="BSE46" s="412"/>
      <c r="BSF46" s="412"/>
      <c r="BSG46" s="412"/>
      <c r="BSH46" s="412"/>
      <c r="BSI46" s="412"/>
      <c r="BSJ46" s="412"/>
      <c r="BSK46" s="412"/>
      <c r="BSL46" s="412"/>
      <c r="BSM46" s="412"/>
      <c r="BSN46" s="412"/>
      <c r="BSO46" s="412"/>
      <c r="BSP46" s="412"/>
      <c r="BSQ46" s="412"/>
      <c r="BSR46" s="412"/>
      <c r="BSS46" s="412"/>
      <c r="BST46" s="412"/>
      <c r="BSU46" s="412"/>
      <c r="BSV46" s="412"/>
      <c r="BSW46" s="412"/>
      <c r="BSX46" s="412"/>
      <c r="BSY46" s="412"/>
      <c r="BSZ46" s="412"/>
      <c r="BTA46" s="412"/>
      <c r="BTB46" s="412"/>
      <c r="BTC46" s="412"/>
      <c r="BTD46" s="412"/>
      <c r="BTE46" s="412"/>
      <c r="BTF46" s="412"/>
      <c r="BTG46" s="412"/>
      <c r="BTH46" s="412"/>
      <c r="BTI46" s="412"/>
    </row>
    <row r="47" spans="1:1881" ht="37.5" customHeight="1" thickBot="1" x14ac:dyDescent="0.3">
      <c r="A47" s="189">
        <v>379</v>
      </c>
      <c r="B47" s="65" t="s">
        <v>67</v>
      </c>
      <c r="C47" s="134" t="s">
        <v>161</v>
      </c>
      <c r="D47" s="175" t="s">
        <v>138</v>
      </c>
      <c r="E47" s="32" t="e">
        <f>HLOOKUP($D$2,'2019 Data(H)'!$C$1:$CG$300,138,FALSE)</f>
        <v>#N/A</v>
      </c>
      <c r="F47" s="647"/>
      <c r="G47" s="413">
        <f>IF((F44+F45)&gt;F47,"Error: Please review account numbers (506+536)&gt;379",)</f>
        <v>0</v>
      </c>
      <c r="H47" s="13"/>
      <c r="I47" s="31"/>
      <c r="J47" s="368"/>
      <c r="L47" s="865" t="s">
        <v>1145</v>
      </c>
      <c r="M47" s="633"/>
      <c r="N47" s="656"/>
    </row>
    <row r="48" spans="1:1881" ht="93" customHeight="1" thickBot="1" x14ac:dyDescent="0.3">
      <c r="A48" s="189">
        <v>368</v>
      </c>
      <c r="B48" s="65" t="s">
        <v>76</v>
      </c>
      <c r="C48" s="134" t="s">
        <v>161</v>
      </c>
      <c r="D48" s="166" t="s">
        <v>613</v>
      </c>
      <c r="E48" s="32" t="e">
        <f>HLOOKUP($D$2,'2019 Data(H)'!$C$1:$CG$300,129,FALSE)</f>
        <v>#N/A</v>
      </c>
      <c r="F48" s="647"/>
      <c r="G48" s="413">
        <f t="shared" ref="G48:G54" si="1">IF(F48&lt;0,"Error: Enter as positive.",)</f>
        <v>0</v>
      </c>
      <c r="H48" s="13"/>
      <c r="I48" s="150"/>
      <c r="J48" s="368"/>
      <c r="L48" s="865" t="s">
        <v>1146</v>
      </c>
      <c r="M48" s="633"/>
      <c r="N48" s="656"/>
    </row>
    <row r="49" spans="1:1881" ht="99.75" customHeight="1" thickBot="1" x14ac:dyDescent="0.3">
      <c r="A49" s="423">
        <v>4</v>
      </c>
      <c r="B49" s="65" t="s">
        <v>62</v>
      </c>
      <c r="C49" s="134" t="s">
        <v>161</v>
      </c>
      <c r="D49" s="899" t="s">
        <v>895</v>
      </c>
      <c r="E49" s="416" t="e">
        <f>HLOOKUP($D$2,'2019 Data(H)'!$C$1:$CG$300,3,FALSE)</f>
        <v>#N/A</v>
      </c>
      <c r="F49" s="647"/>
      <c r="G49" s="413">
        <f t="shared" si="1"/>
        <v>0</v>
      </c>
      <c r="H49" s="13"/>
      <c r="I49" s="31"/>
      <c r="J49" s="368"/>
      <c r="L49" s="865" t="s">
        <v>1147</v>
      </c>
      <c r="M49" s="633"/>
      <c r="N49" s="656"/>
    </row>
    <row r="50" spans="1:1881" ht="117.75" customHeight="1" thickBot="1" x14ac:dyDescent="0.3">
      <c r="A50" s="189">
        <v>5</v>
      </c>
      <c r="B50" s="65" t="s">
        <v>62</v>
      </c>
      <c r="C50" s="134" t="s">
        <v>161</v>
      </c>
      <c r="D50" s="124" t="s">
        <v>168</v>
      </c>
      <c r="E50" s="32" t="e">
        <f>HLOOKUP($D$2,'2019 Data(H)'!$C$1:$CG$300,4,FALSE)</f>
        <v>#N/A</v>
      </c>
      <c r="F50" s="647"/>
      <c r="G50" s="413">
        <f t="shared" si="1"/>
        <v>0</v>
      </c>
      <c r="H50" s="13"/>
      <c r="I50" s="31"/>
      <c r="J50" s="368"/>
      <c r="L50" s="865" t="s">
        <v>1148</v>
      </c>
      <c r="M50" s="633"/>
      <c r="N50" s="656"/>
    </row>
    <row r="51" spans="1:1881" ht="93.75" customHeight="1" thickBot="1" x14ac:dyDescent="0.3">
      <c r="A51" s="189">
        <v>380</v>
      </c>
      <c r="B51" s="65" t="s">
        <v>67</v>
      </c>
      <c r="C51" s="134" t="s">
        <v>161</v>
      </c>
      <c r="D51" s="124" t="s">
        <v>169</v>
      </c>
      <c r="E51" s="32" t="e">
        <f>HLOOKUP($D$2,'2019 Data(H)'!$C$1:$CG$300,139,FALSE)</f>
        <v>#N/A</v>
      </c>
      <c r="F51" s="647"/>
      <c r="G51" s="413">
        <f t="shared" si="1"/>
        <v>0</v>
      </c>
      <c r="H51" s="13"/>
      <c r="I51" s="31"/>
      <c r="J51" s="368"/>
      <c r="L51" s="865" t="s">
        <v>1149</v>
      </c>
      <c r="M51" s="633"/>
      <c r="N51" s="656"/>
    </row>
    <row r="52" spans="1:1881" ht="48.75" customHeight="1" thickBot="1" x14ac:dyDescent="0.3">
      <c r="A52" s="189">
        <v>391</v>
      </c>
      <c r="B52" s="65" t="s">
        <v>76</v>
      </c>
      <c r="C52" s="134" t="s">
        <v>161</v>
      </c>
      <c r="D52" s="176" t="s">
        <v>159</v>
      </c>
      <c r="E52" s="32" t="e">
        <f>HLOOKUP($D$2,'2019 Data(H)'!$C$1:$CG$300,149,FALSE)</f>
        <v>#N/A</v>
      </c>
      <c r="F52" s="647"/>
      <c r="G52" s="413">
        <f t="shared" si="1"/>
        <v>0</v>
      </c>
      <c r="H52" s="13"/>
      <c r="I52" s="31"/>
      <c r="J52" s="368"/>
      <c r="L52" s="865" t="s">
        <v>1150</v>
      </c>
      <c r="M52" s="633"/>
      <c r="N52" s="656"/>
    </row>
    <row r="53" spans="1:1881" ht="51.75" customHeight="1" thickBot="1" x14ac:dyDescent="0.3">
      <c r="A53" s="189">
        <v>7</v>
      </c>
      <c r="B53" s="65" t="s">
        <v>76</v>
      </c>
      <c r="C53" s="134" t="s">
        <v>161</v>
      </c>
      <c r="D53" s="176" t="s">
        <v>160</v>
      </c>
      <c r="E53" s="32" t="e">
        <f>HLOOKUP($D$2,'2019 Data(H)'!$C$1:$CG$300,6,FALSE)</f>
        <v>#N/A</v>
      </c>
      <c r="F53" s="647"/>
      <c r="G53" s="413">
        <f t="shared" si="1"/>
        <v>0</v>
      </c>
      <c r="H53" s="13"/>
      <c r="I53" s="31"/>
      <c r="J53" s="368"/>
      <c r="L53" s="865" t="s">
        <v>1151</v>
      </c>
      <c r="M53" s="633"/>
      <c r="N53" s="656"/>
    </row>
    <row r="54" spans="1:1881" ht="78.75" customHeight="1" thickBot="1" x14ac:dyDescent="0.3">
      <c r="A54" s="189">
        <v>11</v>
      </c>
      <c r="B54" s="65" t="s">
        <v>76</v>
      </c>
      <c r="C54" s="134" t="s">
        <v>161</v>
      </c>
      <c r="D54" s="166" t="s">
        <v>170</v>
      </c>
      <c r="E54" s="32" t="e">
        <f>HLOOKUP($D$2,'2019 Data(H)'!$C$1:$CG$300,8,FALSE)</f>
        <v>#N/A</v>
      </c>
      <c r="F54" s="647"/>
      <c r="G54" s="413">
        <f t="shared" si="1"/>
        <v>0</v>
      </c>
      <c r="H54" s="13"/>
      <c r="I54" s="31"/>
      <c r="J54" s="368"/>
      <c r="L54" s="865" t="s">
        <v>1152</v>
      </c>
      <c r="M54" s="633"/>
      <c r="N54" s="656"/>
    </row>
    <row r="55" spans="1:1881" s="393" customFormat="1" ht="78.75" customHeight="1" thickBot="1" x14ac:dyDescent="0.3">
      <c r="A55" s="473">
        <v>645</v>
      </c>
      <c r="B55" s="474" t="s">
        <v>835</v>
      </c>
      <c r="C55" s="894" t="s">
        <v>161</v>
      </c>
      <c r="D55" s="895" t="s">
        <v>894</v>
      </c>
      <c r="E55" s="472" t="s">
        <v>837</v>
      </c>
      <c r="F55" s="647"/>
      <c r="G55" s="413">
        <f>IF(F55&lt;0,"Note: Number is normally positive.",)</f>
        <v>0</v>
      </c>
      <c r="H55" s="150"/>
      <c r="I55" s="298"/>
      <c r="J55" s="368"/>
      <c r="K55" s="412"/>
      <c r="L55" s="865" t="s">
        <v>1153</v>
      </c>
      <c r="M55" s="633"/>
      <c r="N55" s="656"/>
      <c r="O55" s="412"/>
      <c r="P55" s="412"/>
      <c r="Q55" s="412"/>
      <c r="R55" s="412"/>
      <c r="S55" s="412"/>
      <c r="T55" s="412"/>
      <c r="U55" s="412"/>
      <c r="V55" s="412"/>
      <c r="W55" s="412"/>
      <c r="X55" s="412"/>
      <c r="Y55" s="412"/>
      <c r="Z55" s="412"/>
      <c r="AA55" s="412"/>
      <c r="AB55" s="412"/>
      <c r="AC55" s="412"/>
      <c r="AD55" s="412"/>
      <c r="AE55" s="412"/>
      <c r="AF55" s="412"/>
      <c r="AG55" s="412"/>
      <c r="AH55" s="412"/>
      <c r="AI55" s="412"/>
      <c r="AJ55" s="412"/>
      <c r="AK55" s="412"/>
      <c r="AL55" s="412"/>
      <c r="AM55" s="412"/>
      <c r="AN55" s="412"/>
      <c r="AO55" s="412"/>
      <c r="AP55" s="412"/>
      <c r="AQ55" s="412"/>
      <c r="AR55" s="412"/>
      <c r="AS55" s="412"/>
      <c r="AT55" s="412"/>
      <c r="AU55" s="412"/>
      <c r="AV55" s="412"/>
      <c r="AW55" s="412"/>
      <c r="AX55" s="412"/>
      <c r="AY55" s="412"/>
      <c r="AZ55" s="412"/>
      <c r="BA55" s="412"/>
      <c r="BB55" s="412"/>
      <c r="BC55" s="412"/>
      <c r="BD55" s="412"/>
      <c r="BE55" s="412"/>
      <c r="BF55" s="412"/>
      <c r="BG55" s="412"/>
      <c r="BH55" s="412"/>
      <c r="BI55" s="412"/>
      <c r="BJ55" s="412"/>
      <c r="BK55" s="412"/>
      <c r="BL55" s="412"/>
      <c r="BM55" s="412"/>
      <c r="BN55" s="412"/>
      <c r="BO55" s="412"/>
      <c r="BP55" s="412"/>
      <c r="BQ55" s="412"/>
      <c r="BR55" s="412"/>
      <c r="BS55" s="412"/>
      <c r="BT55" s="412"/>
      <c r="BU55" s="412"/>
      <c r="BV55" s="412"/>
      <c r="BW55" s="412"/>
      <c r="BX55" s="412"/>
      <c r="BY55" s="412"/>
      <c r="BZ55" s="412"/>
      <c r="CA55" s="412"/>
      <c r="CB55" s="412"/>
      <c r="CC55" s="412"/>
      <c r="CD55" s="412"/>
      <c r="CE55" s="412"/>
      <c r="CF55" s="412"/>
      <c r="CG55" s="412"/>
      <c r="CH55" s="412"/>
      <c r="CI55" s="412"/>
      <c r="CJ55" s="412"/>
      <c r="CK55" s="412"/>
      <c r="CL55" s="412"/>
      <c r="CM55" s="412"/>
      <c r="CN55" s="412"/>
      <c r="CO55" s="412"/>
      <c r="CP55" s="412"/>
      <c r="CQ55" s="412"/>
      <c r="CR55" s="412"/>
      <c r="CS55" s="412"/>
      <c r="CT55" s="412"/>
      <c r="CU55" s="412"/>
      <c r="CV55" s="412"/>
      <c r="CW55" s="412"/>
      <c r="CX55" s="412"/>
      <c r="CY55" s="412"/>
      <c r="CZ55" s="412"/>
      <c r="DA55" s="412"/>
      <c r="DB55" s="412"/>
      <c r="DC55" s="412"/>
      <c r="DD55" s="412"/>
      <c r="DE55" s="412"/>
      <c r="DF55" s="412"/>
      <c r="DG55" s="412"/>
      <c r="DH55" s="412"/>
      <c r="DI55" s="412"/>
      <c r="DJ55" s="412"/>
      <c r="DK55" s="412"/>
      <c r="DL55" s="412"/>
      <c r="DM55" s="412"/>
      <c r="DN55" s="412"/>
      <c r="DO55" s="412"/>
      <c r="DP55" s="412"/>
      <c r="DQ55" s="412"/>
      <c r="DR55" s="412"/>
      <c r="DS55" s="412"/>
      <c r="DT55" s="412"/>
      <c r="DU55" s="412"/>
      <c r="DV55" s="412"/>
      <c r="DW55" s="412"/>
      <c r="DX55" s="412"/>
      <c r="DY55" s="412"/>
      <c r="DZ55" s="412"/>
      <c r="EA55" s="412"/>
      <c r="EB55" s="412"/>
      <c r="EC55" s="412"/>
      <c r="ED55" s="412"/>
      <c r="EE55" s="412"/>
      <c r="EF55" s="412"/>
      <c r="EG55" s="412"/>
      <c r="EH55" s="412"/>
      <c r="EI55" s="412"/>
      <c r="EJ55" s="412"/>
      <c r="EK55" s="412"/>
      <c r="EL55" s="412"/>
      <c r="EM55" s="412"/>
      <c r="EN55" s="412"/>
      <c r="EO55" s="412"/>
      <c r="EP55" s="412"/>
      <c r="EQ55" s="412"/>
      <c r="ER55" s="412"/>
      <c r="ES55" s="412"/>
      <c r="ET55" s="412"/>
      <c r="EU55" s="412"/>
      <c r="EV55" s="412"/>
      <c r="EW55" s="412"/>
      <c r="EX55" s="412"/>
      <c r="EY55" s="412"/>
      <c r="EZ55" s="412"/>
      <c r="FA55" s="412"/>
      <c r="FB55" s="412"/>
      <c r="FC55" s="412"/>
      <c r="FD55" s="412"/>
      <c r="FE55" s="412"/>
      <c r="FF55" s="412"/>
      <c r="FG55" s="412"/>
      <c r="FH55" s="412"/>
      <c r="FI55" s="412"/>
      <c r="FJ55" s="412"/>
      <c r="FK55" s="412"/>
      <c r="FL55" s="412"/>
      <c r="FM55" s="412"/>
      <c r="FN55" s="412"/>
      <c r="FO55" s="412"/>
      <c r="FP55" s="412"/>
      <c r="FQ55" s="412"/>
      <c r="FR55" s="412"/>
      <c r="FS55" s="412"/>
      <c r="FT55" s="412"/>
      <c r="FU55" s="412"/>
      <c r="FV55" s="412"/>
      <c r="FW55" s="412"/>
      <c r="FX55" s="412"/>
      <c r="FY55" s="412"/>
      <c r="FZ55" s="412"/>
      <c r="GA55" s="412"/>
      <c r="GB55" s="412"/>
      <c r="GC55" s="412"/>
      <c r="GD55" s="412"/>
      <c r="GE55" s="412"/>
      <c r="GF55" s="412"/>
      <c r="GG55" s="412"/>
      <c r="GH55" s="412"/>
      <c r="GI55" s="412"/>
      <c r="GJ55" s="412"/>
      <c r="GK55" s="412"/>
      <c r="GL55" s="412"/>
      <c r="GM55" s="412"/>
      <c r="GN55" s="412"/>
      <c r="GO55" s="412"/>
      <c r="GP55" s="412"/>
      <c r="GQ55" s="412"/>
      <c r="GR55" s="412"/>
      <c r="GS55" s="412"/>
      <c r="GT55" s="412"/>
      <c r="GU55" s="412"/>
      <c r="GV55" s="412"/>
      <c r="GW55" s="412"/>
      <c r="GX55" s="412"/>
      <c r="GY55" s="412"/>
      <c r="GZ55" s="412"/>
      <c r="HA55" s="412"/>
      <c r="HB55" s="412"/>
      <c r="HC55" s="412"/>
      <c r="HD55" s="412"/>
      <c r="HE55" s="412"/>
      <c r="HF55" s="412"/>
      <c r="HG55" s="412"/>
      <c r="HH55" s="412"/>
      <c r="HI55" s="412"/>
      <c r="HJ55" s="412"/>
      <c r="HK55" s="412"/>
      <c r="HL55" s="412"/>
      <c r="HM55" s="412"/>
      <c r="HN55" s="412"/>
      <c r="HO55" s="412"/>
      <c r="HP55" s="412"/>
      <c r="HQ55" s="412"/>
      <c r="HR55" s="412"/>
      <c r="HS55" s="412"/>
      <c r="HT55" s="412"/>
      <c r="HU55" s="412"/>
      <c r="HV55" s="412"/>
      <c r="HW55" s="412"/>
      <c r="HX55" s="412"/>
      <c r="HY55" s="412"/>
      <c r="HZ55" s="412"/>
      <c r="IA55" s="412"/>
      <c r="IB55" s="412"/>
      <c r="IC55" s="412"/>
      <c r="ID55" s="412"/>
      <c r="IE55" s="412"/>
      <c r="IF55" s="412"/>
      <c r="IG55" s="412"/>
      <c r="IH55" s="412"/>
      <c r="II55" s="412"/>
      <c r="IJ55" s="412"/>
      <c r="IK55" s="412"/>
      <c r="IL55" s="412"/>
      <c r="IM55" s="412"/>
      <c r="IN55" s="412"/>
      <c r="IO55" s="412"/>
      <c r="IP55" s="412"/>
      <c r="IQ55" s="412"/>
      <c r="IR55" s="412"/>
      <c r="IS55" s="412"/>
      <c r="IT55" s="412"/>
      <c r="IU55" s="412"/>
      <c r="IV55" s="412"/>
      <c r="IW55" s="412"/>
      <c r="IX55" s="412"/>
      <c r="IY55" s="412"/>
      <c r="IZ55" s="412"/>
      <c r="JA55" s="412"/>
      <c r="JB55" s="412"/>
      <c r="JC55" s="412"/>
      <c r="JD55" s="412"/>
      <c r="JE55" s="412"/>
      <c r="JF55" s="412"/>
      <c r="JG55" s="412"/>
      <c r="JH55" s="412"/>
      <c r="JI55" s="412"/>
      <c r="JJ55" s="412"/>
      <c r="JK55" s="412"/>
      <c r="JL55" s="412"/>
      <c r="JM55" s="412"/>
      <c r="JN55" s="412"/>
      <c r="JO55" s="412"/>
      <c r="JP55" s="412"/>
      <c r="JQ55" s="412"/>
      <c r="JR55" s="412"/>
      <c r="JS55" s="412"/>
      <c r="JT55" s="412"/>
      <c r="JU55" s="412"/>
      <c r="JV55" s="412"/>
      <c r="JW55" s="412"/>
      <c r="JX55" s="412"/>
      <c r="JY55" s="412"/>
      <c r="JZ55" s="412"/>
      <c r="KA55" s="412"/>
      <c r="KB55" s="412"/>
      <c r="KC55" s="412"/>
      <c r="KD55" s="412"/>
      <c r="KE55" s="412"/>
      <c r="KF55" s="412"/>
      <c r="KG55" s="412"/>
      <c r="KH55" s="412"/>
      <c r="KI55" s="412"/>
      <c r="KJ55" s="412"/>
      <c r="KK55" s="412"/>
      <c r="KL55" s="412"/>
      <c r="KM55" s="412"/>
      <c r="KN55" s="412"/>
      <c r="KO55" s="412"/>
      <c r="KP55" s="412"/>
      <c r="KQ55" s="412"/>
      <c r="KR55" s="412"/>
      <c r="KS55" s="412"/>
      <c r="KT55" s="412"/>
      <c r="KU55" s="412"/>
      <c r="KV55" s="412"/>
      <c r="KW55" s="412"/>
      <c r="KX55" s="412"/>
      <c r="KY55" s="412"/>
      <c r="KZ55" s="412"/>
      <c r="LA55" s="412"/>
      <c r="LB55" s="412"/>
      <c r="LC55" s="412"/>
      <c r="LD55" s="412"/>
      <c r="LE55" s="412"/>
      <c r="LF55" s="412"/>
      <c r="LG55" s="412"/>
      <c r="LH55" s="412"/>
      <c r="LI55" s="412"/>
      <c r="LJ55" s="412"/>
      <c r="LK55" s="412"/>
      <c r="LL55" s="412"/>
      <c r="LM55" s="412"/>
      <c r="LN55" s="412"/>
      <c r="LO55" s="412"/>
      <c r="LP55" s="412"/>
      <c r="LQ55" s="412"/>
      <c r="LR55" s="412"/>
      <c r="LS55" s="412"/>
      <c r="LT55" s="412"/>
      <c r="LU55" s="412"/>
      <c r="LV55" s="412"/>
      <c r="LW55" s="412"/>
      <c r="LX55" s="412"/>
      <c r="LY55" s="412"/>
      <c r="LZ55" s="412"/>
      <c r="MA55" s="412"/>
      <c r="MB55" s="412"/>
      <c r="MC55" s="412"/>
      <c r="MD55" s="412"/>
      <c r="ME55" s="412"/>
      <c r="MF55" s="412"/>
      <c r="MG55" s="412"/>
      <c r="MH55" s="412"/>
      <c r="MI55" s="412"/>
      <c r="MJ55" s="412"/>
      <c r="MK55" s="412"/>
      <c r="ML55" s="412"/>
      <c r="MM55" s="412"/>
      <c r="MN55" s="412"/>
      <c r="MO55" s="412"/>
      <c r="MP55" s="412"/>
      <c r="MQ55" s="412"/>
      <c r="MR55" s="412"/>
      <c r="MS55" s="412"/>
      <c r="MT55" s="412"/>
      <c r="MU55" s="412"/>
      <c r="MV55" s="412"/>
      <c r="MW55" s="412"/>
      <c r="MX55" s="412"/>
      <c r="MY55" s="412"/>
      <c r="MZ55" s="412"/>
      <c r="NA55" s="412"/>
      <c r="NB55" s="412"/>
      <c r="NC55" s="412"/>
      <c r="ND55" s="412"/>
      <c r="NE55" s="412"/>
      <c r="NF55" s="412"/>
      <c r="NG55" s="412"/>
      <c r="NH55" s="412"/>
      <c r="NI55" s="412"/>
      <c r="NJ55" s="412"/>
      <c r="NK55" s="412"/>
      <c r="NL55" s="412"/>
      <c r="NM55" s="412"/>
      <c r="NN55" s="412"/>
      <c r="NO55" s="412"/>
      <c r="NP55" s="412"/>
      <c r="NQ55" s="412"/>
      <c r="NR55" s="412"/>
      <c r="NS55" s="412"/>
      <c r="NT55" s="412"/>
      <c r="NU55" s="412"/>
      <c r="NV55" s="412"/>
      <c r="NW55" s="412"/>
      <c r="NX55" s="412"/>
      <c r="NY55" s="412"/>
      <c r="NZ55" s="412"/>
      <c r="OA55" s="412"/>
      <c r="OB55" s="412"/>
      <c r="OC55" s="412"/>
      <c r="OD55" s="412"/>
      <c r="OE55" s="412"/>
      <c r="OF55" s="412"/>
      <c r="OG55" s="412"/>
      <c r="OH55" s="412"/>
      <c r="OI55" s="412"/>
      <c r="OJ55" s="412"/>
      <c r="OK55" s="412"/>
      <c r="OL55" s="412"/>
      <c r="OM55" s="412"/>
      <c r="ON55" s="412"/>
      <c r="OO55" s="412"/>
      <c r="OP55" s="412"/>
      <c r="OQ55" s="412"/>
      <c r="OR55" s="412"/>
      <c r="OS55" s="412"/>
      <c r="OT55" s="412"/>
      <c r="OU55" s="412"/>
      <c r="OV55" s="412"/>
      <c r="OW55" s="412"/>
      <c r="OX55" s="412"/>
      <c r="OY55" s="412"/>
      <c r="OZ55" s="412"/>
      <c r="PA55" s="412"/>
      <c r="PB55" s="412"/>
      <c r="PC55" s="412"/>
      <c r="PD55" s="412"/>
      <c r="PE55" s="412"/>
      <c r="PF55" s="412"/>
      <c r="PG55" s="412"/>
      <c r="PH55" s="412"/>
      <c r="PI55" s="412"/>
      <c r="PJ55" s="412"/>
      <c r="PK55" s="412"/>
      <c r="PL55" s="412"/>
      <c r="PM55" s="412"/>
      <c r="PN55" s="412"/>
      <c r="PO55" s="412"/>
      <c r="PP55" s="412"/>
      <c r="PQ55" s="412"/>
      <c r="PR55" s="412"/>
      <c r="PS55" s="412"/>
      <c r="PT55" s="412"/>
      <c r="PU55" s="412"/>
      <c r="PV55" s="412"/>
      <c r="PW55" s="412"/>
      <c r="PX55" s="412"/>
      <c r="PY55" s="412"/>
      <c r="PZ55" s="412"/>
      <c r="QA55" s="412"/>
      <c r="QB55" s="412"/>
      <c r="QC55" s="412"/>
      <c r="QD55" s="412"/>
      <c r="QE55" s="412"/>
      <c r="QF55" s="412"/>
      <c r="QG55" s="412"/>
      <c r="QH55" s="412"/>
      <c r="QI55" s="412"/>
      <c r="QJ55" s="412"/>
      <c r="QK55" s="412"/>
      <c r="QL55" s="412"/>
      <c r="QM55" s="412"/>
      <c r="QN55" s="412"/>
      <c r="QO55" s="412"/>
      <c r="QP55" s="412"/>
      <c r="QQ55" s="412"/>
      <c r="QR55" s="412"/>
      <c r="QS55" s="412"/>
      <c r="QT55" s="412"/>
      <c r="QU55" s="412"/>
      <c r="QV55" s="412"/>
      <c r="QW55" s="412"/>
      <c r="QX55" s="412"/>
      <c r="QY55" s="412"/>
      <c r="QZ55" s="412"/>
      <c r="RA55" s="412"/>
      <c r="RB55" s="412"/>
      <c r="RC55" s="412"/>
      <c r="RD55" s="412"/>
      <c r="RE55" s="412"/>
      <c r="RF55" s="412"/>
      <c r="RG55" s="412"/>
      <c r="RH55" s="412"/>
      <c r="RI55" s="412"/>
      <c r="RJ55" s="412"/>
      <c r="RK55" s="412"/>
      <c r="RL55" s="412"/>
      <c r="RM55" s="412"/>
      <c r="RN55" s="412"/>
      <c r="RO55" s="412"/>
      <c r="RP55" s="412"/>
      <c r="RQ55" s="412"/>
      <c r="RR55" s="412"/>
      <c r="RS55" s="412"/>
      <c r="RT55" s="412"/>
      <c r="RU55" s="412"/>
      <c r="RV55" s="412"/>
      <c r="RW55" s="412"/>
      <c r="RX55" s="412"/>
      <c r="RY55" s="412"/>
      <c r="RZ55" s="412"/>
      <c r="SA55" s="412"/>
      <c r="SB55" s="412"/>
      <c r="SC55" s="412"/>
      <c r="SD55" s="412"/>
      <c r="SE55" s="412"/>
      <c r="SF55" s="412"/>
      <c r="SG55" s="412"/>
      <c r="SH55" s="412"/>
      <c r="SI55" s="412"/>
      <c r="SJ55" s="412"/>
      <c r="SK55" s="412"/>
      <c r="SL55" s="412"/>
      <c r="SM55" s="412"/>
      <c r="SN55" s="412"/>
      <c r="SO55" s="412"/>
      <c r="SP55" s="412"/>
      <c r="SQ55" s="412"/>
      <c r="SR55" s="412"/>
      <c r="SS55" s="412"/>
      <c r="ST55" s="412"/>
      <c r="SU55" s="412"/>
      <c r="SV55" s="412"/>
      <c r="SW55" s="412"/>
      <c r="SX55" s="412"/>
      <c r="SY55" s="412"/>
      <c r="SZ55" s="412"/>
      <c r="TA55" s="412"/>
      <c r="TB55" s="412"/>
      <c r="TC55" s="412"/>
      <c r="TD55" s="412"/>
      <c r="TE55" s="412"/>
      <c r="TF55" s="412"/>
      <c r="TG55" s="412"/>
      <c r="TH55" s="412"/>
      <c r="TI55" s="412"/>
      <c r="TJ55" s="412"/>
      <c r="TK55" s="412"/>
      <c r="TL55" s="412"/>
      <c r="TM55" s="412"/>
      <c r="TN55" s="412"/>
      <c r="TO55" s="412"/>
      <c r="TP55" s="412"/>
      <c r="TQ55" s="412"/>
      <c r="TR55" s="412"/>
      <c r="TS55" s="412"/>
      <c r="TT55" s="412"/>
      <c r="TU55" s="412"/>
      <c r="TV55" s="412"/>
      <c r="TW55" s="412"/>
      <c r="TX55" s="412"/>
      <c r="TY55" s="412"/>
      <c r="TZ55" s="412"/>
      <c r="UA55" s="412"/>
      <c r="UB55" s="412"/>
      <c r="UC55" s="412"/>
      <c r="UD55" s="412"/>
      <c r="UE55" s="412"/>
      <c r="UF55" s="412"/>
      <c r="UG55" s="412"/>
      <c r="UH55" s="412"/>
      <c r="UI55" s="412"/>
      <c r="UJ55" s="412"/>
      <c r="UK55" s="412"/>
      <c r="UL55" s="412"/>
      <c r="UM55" s="412"/>
      <c r="UN55" s="412"/>
      <c r="UO55" s="412"/>
      <c r="UP55" s="412"/>
      <c r="UQ55" s="412"/>
      <c r="UR55" s="412"/>
      <c r="US55" s="412"/>
      <c r="UT55" s="412"/>
      <c r="UU55" s="412"/>
      <c r="UV55" s="412"/>
      <c r="UW55" s="412"/>
      <c r="UX55" s="412"/>
      <c r="UY55" s="412"/>
      <c r="UZ55" s="412"/>
      <c r="VA55" s="412"/>
      <c r="VB55" s="412"/>
      <c r="VC55" s="412"/>
      <c r="VD55" s="412"/>
      <c r="VE55" s="412"/>
      <c r="VF55" s="412"/>
      <c r="VG55" s="412"/>
      <c r="VH55" s="412"/>
      <c r="VI55" s="412"/>
      <c r="VJ55" s="412"/>
      <c r="VK55" s="412"/>
      <c r="VL55" s="412"/>
      <c r="VM55" s="412"/>
      <c r="VN55" s="412"/>
      <c r="VO55" s="412"/>
      <c r="VP55" s="412"/>
      <c r="VQ55" s="412"/>
      <c r="VR55" s="412"/>
      <c r="VS55" s="412"/>
      <c r="VT55" s="412"/>
      <c r="VU55" s="412"/>
      <c r="VV55" s="412"/>
      <c r="VW55" s="412"/>
      <c r="VX55" s="412"/>
      <c r="VY55" s="412"/>
      <c r="VZ55" s="412"/>
      <c r="WA55" s="412"/>
      <c r="WB55" s="412"/>
      <c r="WC55" s="412"/>
      <c r="WD55" s="412"/>
      <c r="WE55" s="412"/>
      <c r="WF55" s="412"/>
      <c r="WG55" s="412"/>
      <c r="WH55" s="412"/>
      <c r="WI55" s="412"/>
      <c r="WJ55" s="412"/>
      <c r="WK55" s="412"/>
      <c r="WL55" s="412"/>
      <c r="WM55" s="412"/>
      <c r="WN55" s="412"/>
      <c r="WO55" s="412"/>
      <c r="WP55" s="412"/>
      <c r="WQ55" s="412"/>
      <c r="WR55" s="412"/>
      <c r="WS55" s="412"/>
      <c r="WT55" s="412"/>
      <c r="WU55" s="412"/>
      <c r="WV55" s="412"/>
      <c r="WW55" s="412"/>
      <c r="WX55" s="412"/>
      <c r="WY55" s="412"/>
      <c r="WZ55" s="412"/>
      <c r="XA55" s="412"/>
      <c r="XB55" s="412"/>
      <c r="XC55" s="412"/>
      <c r="XD55" s="412"/>
      <c r="XE55" s="412"/>
      <c r="XF55" s="412"/>
      <c r="XG55" s="412"/>
      <c r="XH55" s="412"/>
      <c r="XI55" s="412"/>
      <c r="XJ55" s="412"/>
      <c r="XK55" s="412"/>
      <c r="XL55" s="412"/>
      <c r="XM55" s="412"/>
      <c r="XN55" s="412"/>
      <c r="XO55" s="412"/>
      <c r="XP55" s="412"/>
      <c r="XQ55" s="412"/>
      <c r="XR55" s="412"/>
      <c r="XS55" s="412"/>
      <c r="XT55" s="412"/>
      <c r="XU55" s="412"/>
      <c r="XV55" s="412"/>
      <c r="XW55" s="412"/>
      <c r="XX55" s="412"/>
      <c r="XY55" s="412"/>
      <c r="XZ55" s="412"/>
      <c r="YA55" s="412"/>
      <c r="YB55" s="412"/>
      <c r="YC55" s="412"/>
      <c r="YD55" s="412"/>
      <c r="YE55" s="412"/>
      <c r="YF55" s="412"/>
      <c r="YG55" s="412"/>
      <c r="YH55" s="412"/>
      <c r="YI55" s="412"/>
      <c r="YJ55" s="412"/>
      <c r="YK55" s="412"/>
      <c r="YL55" s="412"/>
      <c r="YM55" s="412"/>
      <c r="YN55" s="412"/>
      <c r="YO55" s="412"/>
      <c r="YP55" s="412"/>
      <c r="YQ55" s="412"/>
      <c r="YR55" s="412"/>
      <c r="YS55" s="412"/>
      <c r="YT55" s="412"/>
      <c r="YU55" s="412"/>
      <c r="YV55" s="412"/>
      <c r="YW55" s="412"/>
      <c r="YX55" s="412"/>
      <c r="YY55" s="412"/>
      <c r="YZ55" s="412"/>
      <c r="ZA55" s="412"/>
      <c r="ZB55" s="412"/>
      <c r="ZC55" s="412"/>
      <c r="ZD55" s="412"/>
      <c r="ZE55" s="412"/>
      <c r="ZF55" s="412"/>
      <c r="ZG55" s="412"/>
      <c r="ZH55" s="412"/>
      <c r="ZI55" s="412"/>
      <c r="ZJ55" s="412"/>
      <c r="ZK55" s="412"/>
      <c r="ZL55" s="412"/>
      <c r="ZM55" s="412"/>
      <c r="ZN55" s="412"/>
      <c r="ZO55" s="412"/>
      <c r="ZP55" s="412"/>
      <c r="ZQ55" s="412"/>
      <c r="ZR55" s="412"/>
      <c r="ZS55" s="412"/>
      <c r="ZT55" s="412"/>
      <c r="ZU55" s="412"/>
      <c r="ZV55" s="412"/>
      <c r="ZW55" s="412"/>
      <c r="ZX55" s="412"/>
      <c r="ZY55" s="412"/>
      <c r="ZZ55" s="412"/>
      <c r="AAA55" s="412"/>
      <c r="AAB55" s="412"/>
      <c r="AAC55" s="412"/>
      <c r="AAD55" s="412"/>
      <c r="AAE55" s="412"/>
      <c r="AAF55" s="412"/>
      <c r="AAG55" s="412"/>
      <c r="AAH55" s="412"/>
      <c r="AAI55" s="412"/>
      <c r="AAJ55" s="412"/>
      <c r="AAK55" s="412"/>
      <c r="AAL55" s="412"/>
      <c r="AAM55" s="412"/>
      <c r="AAN55" s="412"/>
      <c r="AAO55" s="412"/>
      <c r="AAP55" s="412"/>
      <c r="AAQ55" s="412"/>
      <c r="AAR55" s="412"/>
      <c r="AAS55" s="412"/>
      <c r="AAT55" s="412"/>
      <c r="AAU55" s="412"/>
      <c r="AAV55" s="412"/>
      <c r="AAW55" s="412"/>
      <c r="AAX55" s="412"/>
      <c r="AAY55" s="412"/>
      <c r="AAZ55" s="412"/>
      <c r="ABA55" s="412"/>
      <c r="ABB55" s="412"/>
      <c r="ABC55" s="412"/>
      <c r="ABD55" s="412"/>
      <c r="ABE55" s="412"/>
      <c r="ABF55" s="412"/>
      <c r="ABG55" s="412"/>
      <c r="ABH55" s="412"/>
      <c r="ABI55" s="412"/>
      <c r="ABJ55" s="412"/>
      <c r="ABK55" s="412"/>
      <c r="ABL55" s="412"/>
      <c r="ABM55" s="412"/>
      <c r="ABN55" s="412"/>
      <c r="ABO55" s="412"/>
      <c r="ABP55" s="412"/>
      <c r="ABQ55" s="412"/>
      <c r="ABR55" s="412"/>
      <c r="ABS55" s="412"/>
      <c r="ABT55" s="412"/>
      <c r="ABU55" s="412"/>
      <c r="ABV55" s="412"/>
      <c r="ABW55" s="412"/>
      <c r="ABX55" s="412"/>
      <c r="ABY55" s="412"/>
      <c r="ABZ55" s="412"/>
      <c r="ACA55" s="412"/>
      <c r="ACB55" s="412"/>
      <c r="ACC55" s="412"/>
      <c r="ACD55" s="412"/>
      <c r="ACE55" s="412"/>
      <c r="ACF55" s="412"/>
      <c r="ACG55" s="412"/>
      <c r="ACH55" s="412"/>
      <c r="ACI55" s="412"/>
      <c r="ACJ55" s="412"/>
      <c r="ACK55" s="412"/>
      <c r="ACL55" s="412"/>
      <c r="ACM55" s="412"/>
      <c r="ACN55" s="412"/>
      <c r="ACO55" s="412"/>
      <c r="ACP55" s="412"/>
      <c r="ACQ55" s="412"/>
      <c r="ACR55" s="412"/>
      <c r="ACS55" s="412"/>
      <c r="ACT55" s="412"/>
      <c r="ACU55" s="412"/>
      <c r="ACV55" s="412"/>
      <c r="ACW55" s="412"/>
      <c r="ACX55" s="412"/>
      <c r="ACY55" s="412"/>
      <c r="ACZ55" s="412"/>
      <c r="ADA55" s="412"/>
      <c r="ADB55" s="412"/>
      <c r="ADC55" s="412"/>
      <c r="ADD55" s="412"/>
      <c r="ADE55" s="412"/>
      <c r="ADF55" s="412"/>
      <c r="ADG55" s="412"/>
      <c r="ADH55" s="412"/>
      <c r="ADI55" s="412"/>
      <c r="ADJ55" s="412"/>
      <c r="ADK55" s="412"/>
      <c r="ADL55" s="412"/>
      <c r="ADM55" s="412"/>
      <c r="ADN55" s="412"/>
      <c r="ADO55" s="412"/>
      <c r="ADP55" s="412"/>
      <c r="ADQ55" s="412"/>
      <c r="ADR55" s="412"/>
      <c r="ADS55" s="412"/>
      <c r="ADT55" s="412"/>
      <c r="ADU55" s="412"/>
      <c r="ADV55" s="412"/>
      <c r="ADW55" s="412"/>
      <c r="ADX55" s="412"/>
      <c r="ADY55" s="412"/>
      <c r="ADZ55" s="412"/>
      <c r="AEA55" s="412"/>
      <c r="AEB55" s="412"/>
      <c r="AEC55" s="412"/>
      <c r="AED55" s="412"/>
      <c r="AEE55" s="412"/>
      <c r="AEF55" s="412"/>
      <c r="AEG55" s="412"/>
      <c r="AEH55" s="412"/>
      <c r="AEI55" s="412"/>
      <c r="AEJ55" s="412"/>
      <c r="AEK55" s="412"/>
      <c r="AEL55" s="412"/>
      <c r="AEM55" s="412"/>
      <c r="AEN55" s="412"/>
      <c r="AEO55" s="412"/>
      <c r="AEP55" s="412"/>
      <c r="AEQ55" s="412"/>
      <c r="AER55" s="412"/>
      <c r="AES55" s="412"/>
      <c r="AET55" s="412"/>
      <c r="AEU55" s="412"/>
      <c r="AEV55" s="412"/>
      <c r="AEW55" s="412"/>
      <c r="AEX55" s="412"/>
      <c r="AEY55" s="412"/>
      <c r="AEZ55" s="412"/>
      <c r="AFA55" s="412"/>
      <c r="AFB55" s="412"/>
      <c r="AFC55" s="412"/>
      <c r="AFD55" s="412"/>
      <c r="AFE55" s="412"/>
      <c r="AFF55" s="412"/>
      <c r="AFG55" s="412"/>
      <c r="AFH55" s="412"/>
      <c r="AFI55" s="412"/>
      <c r="AFJ55" s="412"/>
      <c r="AFK55" s="412"/>
      <c r="AFL55" s="412"/>
      <c r="AFM55" s="412"/>
      <c r="AFN55" s="412"/>
      <c r="AFO55" s="412"/>
      <c r="AFP55" s="412"/>
      <c r="AFQ55" s="412"/>
      <c r="AFR55" s="412"/>
      <c r="AFS55" s="412"/>
      <c r="AFT55" s="412"/>
      <c r="AFU55" s="412"/>
      <c r="AFV55" s="412"/>
      <c r="AFW55" s="412"/>
      <c r="AFX55" s="412"/>
      <c r="AFY55" s="412"/>
      <c r="AFZ55" s="412"/>
      <c r="AGA55" s="412"/>
      <c r="AGB55" s="412"/>
      <c r="AGC55" s="412"/>
      <c r="AGD55" s="412"/>
      <c r="AGE55" s="412"/>
      <c r="AGF55" s="412"/>
      <c r="AGG55" s="412"/>
      <c r="AGH55" s="412"/>
      <c r="AGI55" s="412"/>
      <c r="AGJ55" s="412"/>
      <c r="AGK55" s="412"/>
      <c r="AGL55" s="412"/>
      <c r="AGM55" s="412"/>
      <c r="AGN55" s="412"/>
      <c r="AGO55" s="412"/>
      <c r="AGP55" s="412"/>
      <c r="AGQ55" s="412"/>
      <c r="AGR55" s="412"/>
      <c r="AGS55" s="412"/>
      <c r="AGT55" s="412"/>
      <c r="AGU55" s="412"/>
      <c r="AGV55" s="412"/>
      <c r="AGW55" s="412"/>
      <c r="AGX55" s="412"/>
      <c r="AGY55" s="412"/>
      <c r="AGZ55" s="412"/>
      <c r="AHA55" s="412"/>
      <c r="AHB55" s="412"/>
      <c r="AHC55" s="412"/>
      <c r="AHD55" s="412"/>
      <c r="AHE55" s="412"/>
      <c r="AHF55" s="412"/>
      <c r="AHG55" s="412"/>
      <c r="AHH55" s="412"/>
      <c r="AHI55" s="412"/>
      <c r="AHJ55" s="412"/>
      <c r="AHK55" s="412"/>
      <c r="AHL55" s="412"/>
      <c r="AHM55" s="412"/>
      <c r="AHN55" s="412"/>
      <c r="AHO55" s="412"/>
      <c r="AHP55" s="412"/>
      <c r="AHQ55" s="412"/>
      <c r="AHR55" s="412"/>
      <c r="AHS55" s="412"/>
      <c r="AHT55" s="412"/>
      <c r="AHU55" s="412"/>
      <c r="AHV55" s="412"/>
      <c r="AHW55" s="412"/>
      <c r="AHX55" s="412"/>
      <c r="AHY55" s="412"/>
      <c r="AHZ55" s="412"/>
      <c r="AIA55" s="412"/>
      <c r="AIB55" s="412"/>
      <c r="AIC55" s="412"/>
      <c r="AID55" s="412"/>
      <c r="AIE55" s="412"/>
      <c r="AIF55" s="412"/>
      <c r="AIG55" s="412"/>
      <c r="AIH55" s="412"/>
      <c r="AII55" s="412"/>
      <c r="AIJ55" s="412"/>
      <c r="AIK55" s="412"/>
      <c r="AIL55" s="412"/>
      <c r="AIM55" s="412"/>
      <c r="AIN55" s="412"/>
      <c r="AIO55" s="412"/>
      <c r="AIP55" s="412"/>
      <c r="AIQ55" s="412"/>
      <c r="AIR55" s="412"/>
      <c r="AIS55" s="412"/>
      <c r="AIT55" s="412"/>
      <c r="AIU55" s="412"/>
      <c r="AIV55" s="412"/>
      <c r="AIW55" s="412"/>
      <c r="AIX55" s="412"/>
      <c r="AIY55" s="412"/>
      <c r="AIZ55" s="412"/>
      <c r="AJA55" s="412"/>
      <c r="AJB55" s="412"/>
      <c r="AJC55" s="412"/>
      <c r="AJD55" s="412"/>
      <c r="AJE55" s="412"/>
      <c r="AJF55" s="412"/>
      <c r="AJG55" s="412"/>
      <c r="AJH55" s="412"/>
      <c r="AJI55" s="412"/>
      <c r="AJJ55" s="412"/>
      <c r="AJK55" s="412"/>
      <c r="AJL55" s="412"/>
      <c r="AJM55" s="412"/>
      <c r="AJN55" s="412"/>
      <c r="AJO55" s="412"/>
      <c r="AJP55" s="412"/>
      <c r="AJQ55" s="412"/>
      <c r="AJR55" s="412"/>
      <c r="AJS55" s="412"/>
      <c r="AJT55" s="412"/>
      <c r="AJU55" s="412"/>
      <c r="AJV55" s="412"/>
      <c r="AJW55" s="412"/>
      <c r="AJX55" s="412"/>
      <c r="AJY55" s="412"/>
      <c r="AJZ55" s="412"/>
      <c r="AKA55" s="412"/>
      <c r="AKB55" s="412"/>
      <c r="AKC55" s="412"/>
      <c r="AKD55" s="412"/>
      <c r="AKE55" s="412"/>
      <c r="AKF55" s="412"/>
      <c r="AKG55" s="412"/>
      <c r="AKH55" s="412"/>
      <c r="AKI55" s="412"/>
      <c r="AKJ55" s="412"/>
      <c r="AKK55" s="412"/>
      <c r="AKL55" s="412"/>
      <c r="AKM55" s="412"/>
      <c r="AKN55" s="412"/>
      <c r="AKO55" s="412"/>
      <c r="AKP55" s="412"/>
      <c r="AKQ55" s="412"/>
      <c r="AKR55" s="412"/>
      <c r="AKS55" s="412"/>
      <c r="AKT55" s="412"/>
      <c r="AKU55" s="412"/>
      <c r="AKV55" s="412"/>
      <c r="AKW55" s="412"/>
      <c r="AKX55" s="412"/>
      <c r="AKY55" s="412"/>
      <c r="AKZ55" s="412"/>
      <c r="ALA55" s="412"/>
      <c r="ALB55" s="412"/>
      <c r="ALC55" s="412"/>
      <c r="ALD55" s="412"/>
      <c r="ALE55" s="412"/>
      <c r="ALF55" s="412"/>
      <c r="ALG55" s="412"/>
      <c r="ALH55" s="412"/>
      <c r="ALI55" s="412"/>
      <c r="ALJ55" s="412"/>
      <c r="ALK55" s="412"/>
      <c r="ALL55" s="412"/>
      <c r="ALM55" s="412"/>
      <c r="ALN55" s="412"/>
      <c r="ALO55" s="412"/>
      <c r="ALP55" s="412"/>
      <c r="ALQ55" s="412"/>
      <c r="ALR55" s="412"/>
      <c r="ALS55" s="412"/>
      <c r="ALT55" s="412"/>
      <c r="ALU55" s="412"/>
      <c r="ALV55" s="412"/>
      <c r="ALW55" s="412"/>
      <c r="ALX55" s="412"/>
      <c r="ALY55" s="412"/>
      <c r="ALZ55" s="412"/>
      <c r="AMA55" s="412"/>
      <c r="AMB55" s="412"/>
      <c r="AMC55" s="412"/>
      <c r="AMD55" s="412"/>
      <c r="AME55" s="412"/>
      <c r="AMF55" s="412"/>
      <c r="AMG55" s="412"/>
      <c r="AMH55" s="412"/>
      <c r="AMI55" s="412"/>
      <c r="AMJ55" s="412"/>
      <c r="AMK55" s="412"/>
      <c r="AML55" s="412"/>
      <c r="AMM55" s="412"/>
      <c r="AMN55" s="412"/>
      <c r="AMO55" s="412"/>
      <c r="AMP55" s="412"/>
      <c r="AMQ55" s="412"/>
      <c r="AMR55" s="412"/>
      <c r="AMS55" s="412"/>
      <c r="AMT55" s="412"/>
      <c r="AMU55" s="412"/>
      <c r="AMV55" s="412"/>
      <c r="AMW55" s="412"/>
      <c r="AMX55" s="412"/>
      <c r="AMY55" s="412"/>
      <c r="AMZ55" s="412"/>
      <c r="ANA55" s="412"/>
      <c r="ANB55" s="412"/>
      <c r="ANC55" s="412"/>
      <c r="AND55" s="412"/>
      <c r="ANE55" s="412"/>
      <c r="ANF55" s="412"/>
      <c r="ANG55" s="412"/>
      <c r="ANH55" s="412"/>
      <c r="ANI55" s="412"/>
      <c r="ANJ55" s="412"/>
      <c r="ANK55" s="412"/>
      <c r="ANL55" s="412"/>
      <c r="ANM55" s="412"/>
      <c r="ANN55" s="412"/>
      <c r="ANO55" s="412"/>
      <c r="ANP55" s="412"/>
      <c r="ANQ55" s="412"/>
      <c r="ANR55" s="412"/>
      <c r="ANS55" s="412"/>
      <c r="ANT55" s="412"/>
      <c r="ANU55" s="412"/>
      <c r="ANV55" s="412"/>
      <c r="ANW55" s="412"/>
      <c r="ANX55" s="412"/>
      <c r="ANY55" s="412"/>
      <c r="ANZ55" s="412"/>
      <c r="AOA55" s="412"/>
      <c r="AOB55" s="412"/>
      <c r="AOC55" s="412"/>
      <c r="AOD55" s="412"/>
      <c r="AOE55" s="412"/>
      <c r="AOF55" s="412"/>
      <c r="AOG55" s="412"/>
      <c r="AOH55" s="412"/>
      <c r="AOI55" s="412"/>
      <c r="AOJ55" s="412"/>
      <c r="AOK55" s="412"/>
      <c r="AOL55" s="412"/>
      <c r="AOM55" s="412"/>
      <c r="AON55" s="412"/>
      <c r="AOO55" s="412"/>
      <c r="AOP55" s="412"/>
      <c r="AOQ55" s="412"/>
      <c r="AOR55" s="412"/>
      <c r="AOS55" s="412"/>
      <c r="AOT55" s="412"/>
      <c r="AOU55" s="412"/>
      <c r="AOV55" s="412"/>
      <c r="AOW55" s="412"/>
      <c r="AOX55" s="412"/>
      <c r="AOY55" s="412"/>
      <c r="AOZ55" s="412"/>
      <c r="APA55" s="412"/>
      <c r="APB55" s="412"/>
      <c r="APC55" s="412"/>
      <c r="APD55" s="412"/>
      <c r="APE55" s="412"/>
      <c r="APF55" s="412"/>
      <c r="APG55" s="412"/>
      <c r="APH55" s="412"/>
      <c r="API55" s="412"/>
      <c r="APJ55" s="412"/>
      <c r="APK55" s="412"/>
      <c r="APL55" s="412"/>
      <c r="APM55" s="412"/>
      <c r="APN55" s="412"/>
      <c r="APO55" s="412"/>
      <c r="APP55" s="412"/>
      <c r="APQ55" s="412"/>
      <c r="APR55" s="412"/>
      <c r="APS55" s="412"/>
      <c r="APT55" s="412"/>
      <c r="APU55" s="412"/>
      <c r="APV55" s="412"/>
      <c r="APW55" s="412"/>
      <c r="APX55" s="412"/>
      <c r="APY55" s="412"/>
      <c r="APZ55" s="412"/>
      <c r="AQA55" s="412"/>
      <c r="AQB55" s="412"/>
      <c r="AQC55" s="412"/>
      <c r="AQD55" s="412"/>
      <c r="AQE55" s="412"/>
      <c r="AQF55" s="412"/>
      <c r="AQG55" s="412"/>
      <c r="AQH55" s="412"/>
      <c r="AQI55" s="412"/>
      <c r="AQJ55" s="412"/>
      <c r="AQK55" s="412"/>
      <c r="AQL55" s="412"/>
      <c r="AQM55" s="412"/>
      <c r="AQN55" s="412"/>
      <c r="AQO55" s="412"/>
      <c r="AQP55" s="412"/>
      <c r="AQQ55" s="412"/>
      <c r="AQR55" s="412"/>
      <c r="AQS55" s="412"/>
      <c r="AQT55" s="412"/>
      <c r="AQU55" s="412"/>
      <c r="AQV55" s="412"/>
      <c r="AQW55" s="412"/>
      <c r="AQX55" s="412"/>
      <c r="AQY55" s="412"/>
      <c r="AQZ55" s="412"/>
      <c r="ARA55" s="412"/>
      <c r="ARB55" s="412"/>
      <c r="ARC55" s="412"/>
      <c r="ARD55" s="412"/>
      <c r="ARE55" s="412"/>
      <c r="ARF55" s="412"/>
      <c r="ARG55" s="412"/>
      <c r="ARH55" s="412"/>
      <c r="ARI55" s="412"/>
      <c r="ARJ55" s="412"/>
      <c r="ARK55" s="412"/>
      <c r="ARL55" s="412"/>
      <c r="ARM55" s="412"/>
      <c r="ARN55" s="412"/>
      <c r="ARO55" s="412"/>
      <c r="ARP55" s="412"/>
      <c r="ARQ55" s="412"/>
      <c r="ARR55" s="412"/>
      <c r="ARS55" s="412"/>
      <c r="ART55" s="412"/>
      <c r="ARU55" s="412"/>
      <c r="ARV55" s="412"/>
      <c r="ARW55" s="412"/>
      <c r="ARX55" s="412"/>
      <c r="ARY55" s="412"/>
      <c r="ARZ55" s="412"/>
      <c r="ASA55" s="412"/>
      <c r="ASB55" s="412"/>
      <c r="ASC55" s="412"/>
      <c r="ASD55" s="412"/>
      <c r="ASE55" s="412"/>
      <c r="ASF55" s="412"/>
      <c r="ASG55" s="412"/>
      <c r="ASH55" s="412"/>
      <c r="ASI55" s="412"/>
      <c r="ASJ55" s="412"/>
      <c r="ASK55" s="412"/>
      <c r="ASL55" s="412"/>
      <c r="ASM55" s="412"/>
      <c r="ASN55" s="412"/>
      <c r="ASO55" s="412"/>
      <c r="ASP55" s="412"/>
      <c r="ASQ55" s="412"/>
      <c r="ASR55" s="412"/>
      <c r="ASS55" s="412"/>
      <c r="AST55" s="412"/>
      <c r="ASU55" s="412"/>
      <c r="ASV55" s="412"/>
      <c r="ASW55" s="412"/>
      <c r="ASX55" s="412"/>
      <c r="ASY55" s="412"/>
      <c r="ASZ55" s="412"/>
      <c r="ATA55" s="412"/>
      <c r="ATB55" s="412"/>
      <c r="ATC55" s="412"/>
      <c r="ATD55" s="412"/>
      <c r="ATE55" s="412"/>
      <c r="ATF55" s="412"/>
      <c r="ATG55" s="412"/>
      <c r="ATH55" s="412"/>
      <c r="ATI55" s="412"/>
      <c r="ATJ55" s="412"/>
      <c r="ATK55" s="412"/>
      <c r="ATL55" s="412"/>
      <c r="ATM55" s="412"/>
      <c r="ATN55" s="412"/>
      <c r="ATO55" s="412"/>
      <c r="ATP55" s="412"/>
      <c r="ATQ55" s="412"/>
      <c r="ATR55" s="412"/>
      <c r="ATS55" s="412"/>
      <c r="ATT55" s="412"/>
      <c r="ATU55" s="412"/>
      <c r="ATV55" s="412"/>
      <c r="ATW55" s="412"/>
      <c r="ATX55" s="412"/>
      <c r="ATY55" s="412"/>
      <c r="ATZ55" s="412"/>
      <c r="AUA55" s="412"/>
      <c r="AUB55" s="412"/>
      <c r="AUC55" s="412"/>
      <c r="AUD55" s="412"/>
      <c r="AUE55" s="412"/>
      <c r="AUF55" s="412"/>
      <c r="AUG55" s="412"/>
      <c r="AUH55" s="412"/>
      <c r="AUI55" s="412"/>
      <c r="AUJ55" s="412"/>
      <c r="AUK55" s="412"/>
      <c r="AUL55" s="412"/>
      <c r="AUM55" s="412"/>
      <c r="AUN55" s="412"/>
      <c r="AUO55" s="412"/>
      <c r="AUP55" s="412"/>
      <c r="AUQ55" s="412"/>
      <c r="AUR55" s="412"/>
      <c r="AUS55" s="412"/>
      <c r="AUT55" s="412"/>
      <c r="AUU55" s="412"/>
      <c r="AUV55" s="412"/>
      <c r="AUW55" s="412"/>
      <c r="AUX55" s="412"/>
      <c r="AUY55" s="412"/>
      <c r="AUZ55" s="412"/>
      <c r="AVA55" s="412"/>
      <c r="AVB55" s="412"/>
      <c r="AVC55" s="412"/>
      <c r="AVD55" s="412"/>
      <c r="AVE55" s="412"/>
      <c r="AVF55" s="412"/>
      <c r="AVG55" s="412"/>
      <c r="AVH55" s="412"/>
      <c r="AVI55" s="412"/>
      <c r="AVJ55" s="412"/>
      <c r="AVK55" s="412"/>
      <c r="AVL55" s="412"/>
      <c r="AVM55" s="412"/>
      <c r="AVN55" s="412"/>
      <c r="AVO55" s="412"/>
      <c r="AVP55" s="412"/>
      <c r="AVQ55" s="412"/>
      <c r="AVR55" s="412"/>
      <c r="AVS55" s="412"/>
      <c r="AVT55" s="412"/>
      <c r="AVU55" s="412"/>
      <c r="AVV55" s="412"/>
      <c r="AVW55" s="412"/>
      <c r="AVX55" s="412"/>
      <c r="AVY55" s="412"/>
      <c r="AVZ55" s="412"/>
      <c r="AWA55" s="412"/>
      <c r="AWB55" s="412"/>
      <c r="AWC55" s="412"/>
      <c r="AWD55" s="412"/>
      <c r="AWE55" s="412"/>
      <c r="AWF55" s="412"/>
      <c r="AWG55" s="412"/>
      <c r="AWH55" s="412"/>
      <c r="AWI55" s="412"/>
      <c r="AWJ55" s="412"/>
      <c r="AWK55" s="412"/>
      <c r="AWL55" s="412"/>
      <c r="AWM55" s="412"/>
      <c r="AWN55" s="412"/>
      <c r="AWO55" s="412"/>
      <c r="AWP55" s="412"/>
      <c r="AWQ55" s="412"/>
      <c r="AWR55" s="412"/>
      <c r="AWS55" s="412"/>
      <c r="AWT55" s="412"/>
      <c r="AWU55" s="412"/>
      <c r="AWV55" s="412"/>
      <c r="AWW55" s="412"/>
      <c r="AWX55" s="412"/>
      <c r="AWY55" s="412"/>
      <c r="AWZ55" s="412"/>
      <c r="AXA55" s="412"/>
      <c r="AXB55" s="412"/>
      <c r="AXC55" s="412"/>
      <c r="AXD55" s="412"/>
      <c r="AXE55" s="412"/>
      <c r="AXF55" s="412"/>
      <c r="AXG55" s="412"/>
      <c r="AXH55" s="412"/>
      <c r="AXI55" s="412"/>
      <c r="AXJ55" s="412"/>
      <c r="AXK55" s="412"/>
      <c r="AXL55" s="412"/>
      <c r="AXM55" s="412"/>
      <c r="AXN55" s="412"/>
      <c r="AXO55" s="412"/>
      <c r="AXP55" s="412"/>
      <c r="AXQ55" s="412"/>
      <c r="AXR55" s="412"/>
      <c r="AXS55" s="412"/>
      <c r="AXT55" s="412"/>
      <c r="AXU55" s="412"/>
      <c r="AXV55" s="412"/>
      <c r="AXW55" s="412"/>
      <c r="AXX55" s="412"/>
      <c r="AXY55" s="412"/>
      <c r="AXZ55" s="412"/>
      <c r="AYA55" s="412"/>
      <c r="AYB55" s="412"/>
      <c r="AYC55" s="412"/>
      <c r="AYD55" s="412"/>
      <c r="AYE55" s="412"/>
      <c r="AYF55" s="412"/>
      <c r="AYG55" s="412"/>
      <c r="AYH55" s="412"/>
      <c r="AYI55" s="412"/>
      <c r="AYJ55" s="412"/>
      <c r="AYK55" s="412"/>
      <c r="AYL55" s="412"/>
      <c r="AYM55" s="412"/>
      <c r="AYN55" s="412"/>
      <c r="AYO55" s="412"/>
      <c r="AYP55" s="412"/>
      <c r="AYQ55" s="412"/>
      <c r="AYR55" s="412"/>
      <c r="AYS55" s="412"/>
      <c r="AYT55" s="412"/>
      <c r="AYU55" s="412"/>
      <c r="AYV55" s="412"/>
      <c r="AYW55" s="412"/>
      <c r="AYX55" s="412"/>
      <c r="AYY55" s="412"/>
      <c r="AYZ55" s="412"/>
      <c r="AZA55" s="412"/>
      <c r="AZB55" s="412"/>
      <c r="AZC55" s="412"/>
      <c r="AZD55" s="412"/>
      <c r="AZE55" s="412"/>
      <c r="AZF55" s="412"/>
      <c r="AZG55" s="412"/>
      <c r="AZH55" s="412"/>
      <c r="AZI55" s="412"/>
      <c r="AZJ55" s="412"/>
      <c r="AZK55" s="412"/>
      <c r="AZL55" s="412"/>
      <c r="AZM55" s="412"/>
      <c r="AZN55" s="412"/>
      <c r="AZO55" s="412"/>
      <c r="AZP55" s="412"/>
      <c r="AZQ55" s="412"/>
      <c r="AZR55" s="412"/>
      <c r="AZS55" s="412"/>
      <c r="AZT55" s="412"/>
      <c r="AZU55" s="412"/>
      <c r="AZV55" s="412"/>
      <c r="AZW55" s="412"/>
      <c r="AZX55" s="412"/>
      <c r="AZY55" s="412"/>
      <c r="AZZ55" s="412"/>
      <c r="BAA55" s="412"/>
      <c r="BAB55" s="412"/>
      <c r="BAC55" s="412"/>
      <c r="BAD55" s="412"/>
      <c r="BAE55" s="412"/>
      <c r="BAF55" s="412"/>
      <c r="BAG55" s="412"/>
      <c r="BAH55" s="412"/>
      <c r="BAI55" s="412"/>
      <c r="BAJ55" s="412"/>
      <c r="BAK55" s="412"/>
      <c r="BAL55" s="412"/>
      <c r="BAM55" s="412"/>
      <c r="BAN55" s="412"/>
      <c r="BAO55" s="412"/>
      <c r="BAP55" s="412"/>
      <c r="BAQ55" s="412"/>
      <c r="BAR55" s="412"/>
      <c r="BAS55" s="412"/>
      <c r="BAT55" s="412"/>
      <c r="BAU55" s="412"/>
      <c r="BAV55" s="412"/>
      <c r="BAW55" s="412"/>
      <c r="BAX55" s="412"/>
      <c r="BAY55" s="412"/>
      <c r="BAZ55" s="412"/>
      <c r="BBA55" s="412"/>
      <c r="BBB55" s="412"/>
      <c r="BBC55" s="412"/>
      <c r="BBD55" s="412"/>
      <c r="BBE55" s="412"/>
      <c r="BBF55" s="412"/>
      <c r="BBG55" s="412"/>
      <c r="BBH55" s="412"/>
      <c r="BBI55" s="412"/>
      <c r="BBJ55" s="412"/>
      <c r="BBK55" s="412"/>
      <c r="BBL55" s="412"/>
      <c r="BBM55" s="412"/>
      <c r="BBN55" s="412"/>
      <c r="BBO55" s="412"/>
      <c r="BBP55" s="412"/>
      <c r="BBQ55" s="412"/>
      <c r="BBR55" s="412"/>
      <c r="BBS55" s="412"/>
      <c r="BBT55" s="412"/>
      <c r="BBU55" s="412"/>
      <c r="BBV55" s="412"/>
      <c r="BBW55" s="412"/>
      <c r="BBX55" s="412"/>
      <c r="BBY55" s="412"/>
      <c r="BBZ55" s="412"/>
      <c r="BCA55" s="412"/>
      <c r="BCB55" s="412"/>
      <c r="BCC55" s="412"/>
      <c r="BCD55" s="412"/>
      <c r="BCE55" s="412"/>
      <c r="BCF55" s="412"/>
      <c r="BCG55" s="412"/>
      <c r="BCH55" s="412"/>
      <c r="BCI55" s="412"/>
      <c r="BCJ55" s="412"/>
      <c r="BCK55" s="412"/>
      <c r="BCL55" s="412"/>
      <c r="BCM55" s="412"/>
      <c r="BCN55" s="412"/>
      <c r="BCO55" s="412"/>
      <c r="BCP55" s="412"/>
      <c r="BCQ55" s="412"/>
      <c r="BCR55" s="412"/>
      <c r="BCS55" s="412"/>
      <c r="BCT55" s="412"/>
      <c r="BCU55" s="412"/>
      <c r="BCV55" s="412"/>
      <c r="BCW55" s="412"/>
      <c r="BCX55" s="412"/>
      <c r="BCY55" s="412"/>
      <c r="BCZ55" s="412"/>
      <c r="BDA55" s="412"/>
      <c r="BDB55" s="412"/>
      <c r="BDC55" s="412"/>
      <c r="BDD55" s="412"/>
      <c r="BDE55" s="412"/>
      <c r="BDF55" s="412"/>
      <c r="BDG55" s="412"/>
      <c r="BDH55" s="412"/>
      <c r="BDI55" s="412"/>
      <c r="BDJ55" s="412"/>
      <c r="BDK55" s="412"/>
      <c r="BDL55" s="412"/>
      <c r="BDM55" s="412"/>
      <c r="BDN55" s="412"/>
      <c r="BDO55" s="412"/>
      <c r="BDP55" s="412"/>
      <c r="BDQ55" s="412"/>
      <c r="BDR55" s="412"/>
      <c r="BDS55" s="412"/>
      <c r="BDT55" s="412"/>
      <c r="BDU55" s="412"/>
      <c r="BDV55" s="412"/>
      <c r="BDW55" s="412"/>
      <c r="BDX55" s="412"/>
      <c r="BDY55" s="412"/>
      <c r="BDZ55" s="412"/>
      <c r="BEA55" s="412"/>
      <c r="BEB55" s="412"/>
      <c r="BEC55" s="412"/>
      <c r="BED55" s="412"/>
      <c r="BEE55" s="412"/>
      <c r="BEF55" s="412"/>
      <c r="BEG55" s="412"/>
      <c r="BEH55" s="412"/>
      <c r="BEI55" s="412"/>
      <c r="BEJ55" s="412"/>
      <c r="BEK55" s="412"/>
      <c r="BEL55" s="412"/>
      <c r="BEM55" s="412"/>
      <c r="BEN55" s="412"/>
      <c r="BEO55" s="412"/>
      <c r="BEP55" s="412"/>
      <c r="BEQ55" s="412"/>
      <c r="BER55" s="412"/>
      <c r="BES55" s="412"/>
      <c r="BET55" s="412"/>
      <c r="BEU55" s="412"/>
      <c r="BEV55" s="412"/>
      <c r="BEW55" s="412"/>
      <c r="BEX55" s="412"/>
      <c r="BEY55" s="412"/>
      <c r="BEZ55" s="412"/>
      <c r="BFA55" s="412"/>
      <c r="BFB55" s="412"/>
      <c r="BFC55" s="412"/>
      <c r="BFD55" s="412"/>
      <c r="BFE55" s="412"/>
      <c r="BFF55" s="412"/>
      <c r="BFG55" s="412"/>
      <c r="BFH55" s="412"/>
      <c r="BFI55" s="412"/>
      <c r="BFJ55" s="412"/>
      <c r="BFK55" s="412"/>
      <c r="BFL55" s="412"/>
      <c r="BFM55" s="412"/>
      <c r="BFN55" s="412"/>
      <c r="BFO55" s="412"/>
      <c r="BFP55" s="412"/>
      <c r="BFQ55" s="412"/>
      <c r="BFR55" s="412"/>
      <c r="BFS55" s="412"/>
      <c r="BFT55" s="412"/>
      <c r="BFU55" s="412"/>
      <c r="BFV55" s="412"/>
      <c r="BFW55" s="412"/>
      <c r="BFX55" s="412"/>
      <c r="BFY55" s="412"/>
      <c r="BFZ55" s="412"/>
      <c r="BGA55" s="412"/>
      <c r="BGB55" s="412"/>
      <c r="BGC55" s="412"/>
      <c r="BGD55" s="412"/>
      <c r="BGE55" s="412"/>
      <c r="BGF55" s="412"/>
      <c r="BGG55" s="412"/>
      <c r="BGH55" s="412"/>
      <c r="BGI55" s="412"/>
      <c r="BGJ55" s="412"/>
      <c r="BGK55" s="412"/>
      <c r="BGL55" s="412"/>
      <c r="BGM55" s="412"/>
      <c r="BGN55" s="412"/>
      <c r="BGO55" s="412"/>
      <c r="BGP55" s="412"/>
      <c r="BGQ55" s="412"/>
      <c r="BGR55" s="412"/>
      <c r="BGS55" s="412"/>
      <c r="BGT55" s="412"/>
      <c r="BGU55" s="412"/>
      <c r="BGV55" s="412"/>
      <c r="BGW55" s="412"/>
      <c r="BGX55" s="412"/>
      <c r="BGY55" s="412"/>
      <c r="BGZ55" s="412"/>
      <c r="BHA55" s="412"/>
      <c r="BHB55" s="412"/>
      <c r="BHC55" s="412"/>
      <c r="BHD55" s="412"/>
      <c r="BHE55" s="412"/>
      <c r="BHF55" s="412"/>
      <c r="BHG55" s="412"/>
      <c r="BHH55" s="412"/>
      <c r="BHI55" s="412"/>
      <c r="BHJ55" s="412"/>
      <c r="BHK55" s="412"/>
      <c r="BHL55" s="412"/>
      <c r="BHM55" s="412"/>
      <c r="BHN55" s="412"/>
      <c r="BHO55" s="412"/>
      <c r="BHP55" s="412"/>
      <c r="BHQ55" s="412"/>
      <c r="BHR55" s="412"/>
      <c r="BHS55" s="412"/>
      <c r="BHT55" s="412"/>
      <c r="BHU55" s="412"/>
      <c r="BHV55" s="412"/>
      <c r="BHW55" s="412"/>
      <c r="BHX55" s="412"/>
      <c r="BHY55" s="412"/>
      <c r="BHZ55" s="412"/>
      <c r="BIA55" s="412"/>
      <c r="BIB55" s="412"/>
      <c r="BIC55" s="412"/>
      <c r="BID55" s="412"/>
      <c r="BIE55" s="412"/>
      <c r="BIF55" s="412"/>
      <c r="BIG55" s="412"/>
      <c r="BIH55" s="412"/>
      <c r="BII55" s="412"/>
      <c r="BIJ55" s="412"/>
      <c r="BIK55" s="412"/>
      <c r="BIL55" s="412"/>
      <c r="BIM55" s="412"/>
      <c r="BIN55" s="412"/>
      <c r="BIO55" s="412"/>
      <c r="BIP55" s="412"/>
      <c r="BIQ55" s="412"/>
      <c r="BIR55" s="412"/>
      <c r="BIS55" s="412"/>
      <c r="BIT55" s="412"/>
      <c r="BIU55" s="412"/>
      <c r="BIV55" s="412"/>
      <c r="BIW55" s="412"/>
      <c r="BIX55" s="412"/>
      <c r="BIY55" s="412"/>
      <c r="BIZ55" s="412"/>
      <c r="BJA55" s="412"/>
      <c r="BJB55" s="412"/>
      <c r="BJC55" s="412"/>
      <c r="BJD55" s="412"/>
      <c r="BJE55" s="412"/>
      <c r="BJF55" s="412"/>
      <c r="BJG55" s="412"/>
      <c r="BJH55" s="412"/>
      <c r="BJI55" s="412"/>
      <c r="BJJ55" s="412"/>
      <c r="BJK55" s="412"/>
      <c r="BJL55" s="412"/>
      <c r="BJM55" s="412"/>
      <c r="BJN55" s="412"/>
      <c r="BJO55" s="412"/>
      <c r="BJP55" s="412"/>
      <c r="BJQ55" s="412"/>
      <c r="BJR55" s="412"/>
      <c r="BJS55" s="412"/>
      <c r="BJT55" s="412"/>
      <c r="BJU55" s="412"/>
      <c r="BJV55" s="412"/>
      <c r="BJW55" s="412"/>
      <c r="BJX55" s="412"/>
      <c r="BJY55" s="412"/>
      <c r="BJZ55" s="412"/>
      <c r="BKA55" s="412"/>
      <c r="BKB55" s="412"/>
      <c r="BKC55" s="412"/>
      <c r="BKD55" s="412"/>
      <c r="BKE55" s="412"/>
      <c r="BKF55" s="412"/>
      <c r="BKG55" s="412"/>
      <c r="BKH55" s="412"/>
      <c r="BKI55" s="412"/>
      <c r="BKJ55" s="412"/>
      <c r="BKK55" s="412"/>
      <c r="BKL55" s="412"/>
      <c r="BKM55" s="412"/>
      <c r="BKN55" s="412"/>
      <c r="BKO55" s="412"/>
      <c r="BKP55" s="412"/>
      <c r="BKQ55" s="412"/>
      <c r="BKR55" s="412"/>
      <c r="BKS55" s="412"/>
      <c r="BKT55" s="412"/>
      <c r="BKU55" s="412"/>
      <c r="BKV55" s="412"/>
      <c r="BKW55" s="412"/>
      <c r="BKX55" s="412"/>
      <c r="BKY55" s="412"/>
      <c r="BKZ55" s="412"/>
      <c r="BLA55" s="412"/>
      <c r="BLB55" s="412"/>
      <c r="BLC55" s="412"/>
      <c r="BLD55" s="412"/>
      <c r="BLE55" s="412"/>
      <c r="BLF55" s="412"/>
      <c r="BLG55" s="412"/>
      <c r="BLH55" s="412"/>
      <c r="BLI55" s="412"/>
      <c r="BLJ55" s="412"/>
      <c r="BLK55" s="412"/>
      <c r="BLL55" s="412"/>
      <c r="BLM55" s="412"/>
      <c r="BLN55" s="412"/>
      <c r="BLO55" s="412"/>
      <c r="BLP55" s="412"/>
      <c r="BLQ55" s="412"/>
      <c r="BLR55" s="412"/>
      <c r="BLS55" s="412"/>
      <c r="BLT55" s="412"/>
      <c r="BLU55" s="412"/>
      <c r="BLV55" s="412"/>
      <c r="BLW55" s="412"/>
      <c r="BLX55" s="412"/>
      <c r="BLY55" s="412"/>
      <c r="BLZ55" s="412"/>
      <c r="BMA55" s="412"/>
      <c r="BMB55" s="412"/>
      <c r="BMC55" s="412"/>
      <c r="BMD55" s="412"/>
      <c r="BME55" s="412"/>
      <c r="BMF55" s="412"/>
      <c r="BMG55" s="412"/>
      <c r="BMH55" s="412"/>
      <c r="BMI55" s="412"/>
      <c r="BMJ55" s="412"/>
      <c r="BMK55" s="412"/>
      <c r="BML55" s="412"/>
      <c r="BMM55" s="412"/>
      <c r="BMN55" s="412"/>
      <c r="BMO55" s="412"/>
      <c r="BMP55" s="412"/>
      <c r="BMQ55" s="412"/>
      <c r="BMR55" s="412"/>
      <c r="BMS55" s="412"/>
      <c r="BMT55" s="412"/>
      <c r="BMU55" s="412"/>
      <c r="BMV55" s="412"/>
      <c r="BMW55" s="412"/>
      <c r="BMX55" s="412"/>
      <c r="BMY55" s="412"/>
      <c r="BMZ55" s="412"/>
      <c r="BNA55" s="412"/>
      <c r="BNB55" s="412"/>
      <c r="BNC55" s="412"/>
      <c r="BND55" s="412"/>
      <c r="BNE55" s="412"/>
      <c r="BNF55" s="412"/>
      <c r="BNG55" s="412"/>
      <c r="BNH55" s="412"/>
      <c r="BNI55" s="412"/>
      <c r="BNJ55" s="412"/>
      <c r="BNK55" s="412"/>
      <c r="BNL55" s="412"/>
      <c r="BNM55" s="412"/>
      <c r="BNN55" s="412"/>
      <c r="BNO55" s="412"/>
      <c r="BNP55" s="412"/>
      <c r="BNQ55" s="412"/>
      <c r="BNR55" s="412"/>
      <c r="BNS55" s="412"/>
      <c r="BNT55" s="412"/>
      <c r="BNU55" s="412"/>
      <c r="BNV55" s="412"/>
      <c r="BNW55" s="412"/>
      <c r="BNX55" s="412"/>
      <c r="BNY55" s="412"/>
      <c r="BNZ55" s="412"/>
      <c r="BOA55" s="412"/>
      <c r="BOB55" s="412"/>
      <c r="BOC55" s="412"/>
      <c r="BOD55" s="412"/>
      <c r="BOE55" s="412"/>
      <c r="BOF55" s="412"/>
      <c r="BOG55" s="412"/>
      <c r="BOH55" s="412"/>
      <c r="BOI55" s="412"/>
      <c r="BOJ55" s="412"/>
      <c r="BOK55" s="412"/>
      <c r="BOL55" s="412"/>
      <c r="BOM55" s="412"/>
      <c r="BON55" s="412"/>
      <c r="BOO55" s="412"/>
      <c r="BOP55" s="412"/>
      <c r="BOQ55" s="412"/>
      <c r="BOR55" s="412"/>
      <c r="BOS55" s="412"/>
      <c r="BOT55" s="412"/>
      <c r="BOU55" s="412"/>
      <c r="BOV55" s="412"/>
      <c r="BOW55" s="412"/>
      <c r="BOX55" s="412"/>
      <c r="BOY55" s="412"/>
      <c r="BOZ55" s="412"/>
      <c r="BPA55" s="412"/>
      <c r="BPB55" s="412"/>
      <c r="BPC55" s="412"/>
      <c r="BPD55" s="412"/>
      <c r="BPE55" s="412"/>
      <c r="BPF55" s="412"/>
      <c r="BPG55" s="412"/>
      <c r="BPH55" s="412"/>
      <c r="BPI55" s="412"/>
      <c r="BPJ55" s="412"/>
      <c r="BPK55" s="412"/>
      <c r="BPL55" s="412"/>
      <c r="BPM55" s="412"/>
      <c r="BPN55" s="412"/>
      <c r="BPO55" s="412"/>
      <c r="BPP55" s="412"/>
      <c r="BPQ55" s="412"/>
      <c r="BPR55" s="412"/>
      <c r="BPS55" s="412"/>
      <c r="BPT55" s="412"/>
      <c r="BPU55" s="412"/>
      <c r="BPV55" s="412"/>
      <c r="BPW55" s="412"/>
      <c r="BPX55" s="412"/>
      <c r="BPY55" s="412"/>
      <c r="BPZ55" s="412"/>
      <c r="BQA55" s="412"/>
      <c r="BQB55" s="412"/>
      <c r="BQC55" s="412"/>
      <c r="BQD55" s="412"/>
      <c r="BQE55" s="412"/>
      <c r="BQF55" s="412"/>
      <c r="BQG55" s="412"/>
      <c r="BQH55" s="412"/>
      <c r="BQI55" s="412"/>
      <c r="BQJ55" s="412"/>
      <c r="BQK55" s="412"/>
      <c r="BQL55" s="412"/>
      <c r="BQM55" s="412"/>
      <c r="BQN55" s="412"/>
      <c r="BQO55" s="412"/>
      <c r="BQP55" s="412"/>
      <c r="BQQ55" s="412"/>
      <c r="BQR55" s="412"/>
      <c r="BQS55" s="412"/>
      <c r="BQT55" s="412"/>
      <c r="BQU55" s="412"/>
      <c r="BQV55" s="412"/>
      <c r="BQW55" s="412"/>
      <c r="BQX55" s="412"/>
      <c r="BQY55" s="412"/>
      <c r="BQZ55" s="412"/>
      <c r="BRA55" s="412"/>
      <c r="BRB55" s="412"/>
      <c r="BRC55" s="412"/>
      <c r="BRD55" s="412"/>
      <c r="BRE55" s="412"/>
      <c r="BRF55" s="412"/>
      <c r="BRG55" s="412"/>
      <c r="BRH55" s="412"/>
      <c r="BRI55" s="412"/>
      <c r="BRJ55" s="412"/>
      <c r="BRK55" s="412"/>
      <c r="BRL55" s="412"/>
      <c r="BRM55" s="412"/>
      <c r="BRN55" s="412"/>
      <c r="BRO55" s="412"/>
      <c r="BRP55" s="412"/>
      <c r="BRQ55" s="412"/>
      <c r="BRR55" s="412"/>
      <c r="BRS55" s="412"/>
      <c r="BRT55" s="412"/>
      <c r="BRU55" s="412"/>
      <c r="BRV55" s="412"/>
      <c r="BRW55" s="412"/>
      <c r="BRX55" s="412"/>
      <c r="BRY55" s="412"/>
      <c r="BRZ55" s="412"/>
      <c r="BSA55" s="412"/>
      <c r="BSB55" s="412"/>
      <c r="BSC55" s="412"/>
      <c r="BSD55" s="412"/>
      <c r="BSE55" s="412"/>
      <c r="BSF55" s="412"/>
      <c r="BSG55" s="412"/>
      <c r="BSH55" s="412"/>
      <c r="BSI55" s="412"/>
      <c r="BSJ55" s="412"/>
      <c r="BSK55" s="412"/>
      <c r="BSL55" s="412"/>
      <c r="BSM55" s="412"/>
      <c r="BSN55" s="412"/>
      <c r="BSO55" s="412"/>
      <c r="BSP55" s="412"/>
      <c r="BSQ55" s="412"/>
      <c r="BSR55" s="412"/>
      <c r="BSS55" s="412"/>
      <c r="BST55" s="412"/>
      <c r="BSU55" s="412"/>
      <c r="BSV55" s="412"/>
      <c r="BSW55" s="412"/>
      <c r="BSX55" s="412"/>
      <c r="BSY55" s="412"/>
      <c r="BSZ55" s="412"/>
      <c r="BTA55" s="412"/>
      <c r="BTB55" s="412"/>
      <c r="BTC55" s="412"/>
      <c r="BTD55" s="412"/>
      <c r="BTE55" s="412"/>
      <c r="BTF55" s="412"/>
      <c r="BTG55" s="412"/>
      <c r="BTH55" s="412"/>
      <c r="BTI55" s="412"/>
    </row>
    <row r="56" spans="1:1881" s="393" customFormat="1" ht="78.75" customHeight="1" thickBot="1" x14ac:dyDescent="0.3">
      <c r="A56" s="473">
        <v>646</v>
      </c>
      <c r="B56" s="474" t="s">
        <v>835</v>
      </c>
      <c r="C56" s="894" t="s">
        <v>161</v>
      </c>
      <c r="D56" s="476" t="s">
        <v>836</v>
      </c>
      <c r="E56" s="472" t="s">
        <v>837</v>
      </c>
      <c r="F56" s="647"/>
      <c r="G56" s="413">
        <f>IF(F56&lt;0,"Note: Number is normally positive.",)</f>
        <v>0</v>
      </c>
      <c r="H56" s="150"/>
      <c r="I56" s="298"/>
      <c r="J56" s="368"/>
      <c r="K56" s="412"/>
      <c r="L56" s="865" t="s">
        <v>1154</v>
      </c>
      <c r="M56" s="633"/>
      <c r="N56" s="656"/>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412"/>
      <c r="AL56" s="412"/>
      <c r="AM56" s="412"/>
      <c r="AN56" s="412"/>
      <c r="AO56" s="412"/>
      <c r="AP56" s="412"/>
      <c r="AQ56" s="412"/>
      <c r="AR56" s="412"/>
      <c r="AS56" s="412"/>
      <c r="AT56" s="412"/>
      <c r="AU56" s="412"/>
      <c r="AV56" s="412"/>
      <c r="AW56" s="412"/>
      <c r="AX56" s="412"/>
      <c r="AY56" s="412"/>
      <c r="AZ56" s="412"/>
      <c r="BA56" s="412"/>
      <c r="BB56" s="412"/>
      <c r="BC56" s="412"/>
      <c r="BD56" s="412"/>
      <c r="BE56" s="412"/>
      <c r="BF56" s="412"/>
      <c r="BG56" s="412"/>
      <c r="BH56" s="412"/>
      <c r="BI56" s="412"/>
      <c r="BJ56" s="412"/>
      <c r="BK56" s="412"/>
      <c r="BL56" s="412"/>
      <c r="BM56" s="412"/>
      <c r="BN56" s="412"/>
      <c r="BO56" s="412"/>
      <c r="BP56" s="412"/>
      <c r="BQ56" s="412"/>
      <c r="BR56" s="412"/>
      <c r="BS56" s="412"/>
      <c r="BT56" s="412"/>
      <c r="BU56" s="412"/>
      <c r="BV56" s="412"/>
      <c r="BW56" s="412"/>
      <c r="BX56" s="412"/>
      <c r="BY56" s="412"/>
      <c r="BZ56" s="412"/>
      <c r="CA56" s="412"/>
      <c r="CB56" s="412"/>
      <c r="CC56" s="412"/>
      <c r="CD56" s="412"/>
      <c r="CE56" s="412"/>
      <c r="CF56" s="412"/>
      <c r="CG56" s="412"/>
      <c r="CH56" s="412"/>
      <c r="CI56" s="412"/>
      <c r="CJ56" s="412"/>
      <c r="CK56" s="412"/>
      <c r="CL56" s="412"/>
      <c r="CM56" s="412"/>
      <c r="CN56" s="412"/>
      <c r="CO56" s="412"/>
      <c r="CP56" s="412"/>
      <c r="CQ56" s="412"/>
      <c r="CR56" s="412"/>
      <c r="CS56" s="412"/>
      <c r="CT56" s="412"/>
      <c r="CU56" s="412"/>
      <c r="CV56" s="412"/>
      <c r="CW56" s="412"/>
      <c r="CX56" s="412"/>
      <c r="CY56" s="412"/>
      <c r="CZ56" s="412"/>
      <c r="DA56" s="412"/>
      <c r="DB56" s="412"/>
      <c r="DC56" s="412"/>
      <c r="DD56" s="412"/>
      <c r="DE56" s="412"/>
      <c r="DF56" s="412"/>
      <c r="DG56" s="412"/>
      <c r="DH56" s="412"/>
      <c r="DI56" s="412"/>
      <c r="DJ56" s="412"/>
      <c r="DK56" s="412"/>
      <c r="DL56" s="412"/>
      <c r="DM56" s="412"/>
      <c r="DN56" s="412"/>
      <c r="DO56" s="412"/>
      <c r="DP56" s="412"/>
      <c r="DQ56" s="412"/>
      <c r="DR56" s="412"/>
      <c r="DS56" s="412"/>
      <c r="DT56" s="412"/>
      <c r="DU56" s="412"/>
      <c r="DV56" s="412"/>
      <c r="DW56" s="412"/>
      <c r="DX56" s="412"/>
      <c r="DY56" s="412"/>
      <c r="DZ56" s="412"/>
      <c r="EA56" s="412"/>
      <c r="EB56" s="412"/>
      <c r="EC56" s="412"/>
      <c r="ED56" s="412"/>
      <c r="EE56" s="412"/>
      <c r="EF56" s="412"/>
      <c r="EG56" s="412"/>
      <c r="EH56" s="412"/>
      <c r="EI56" s="412"/>
      <c r="EJ56" s="412"/>
      <c r="EK56" s="412"/>
      <c r="EL56" s="412"/>
      <c r="EM56" s="412"/>
      <c r="EN56" s="412"/>
      <c r="EO56" s="412"/>
      <c r="EP56" s="412"/>
      <c r="EQ56" s="412"/>
      <c r="ER56" s="412"/>
      <c r="ES56" s="412"/>
      <c r="ET56" s="412"/>
      <c r="EU56" s="412"/>
      <c r="EV56" s="412"/>
      <c r="EW56" s="412"/>
      <c r="EX56" s="412"/>
      <c r="EY56" s="412"/>
      <c r="EZ56" s="412"/>
      <c r="FA56" s="412"/>
      <c r="FB56" s="412"/>
      <c r="FC56" s="412"/>
      <c r="FD56" s="412"/>
      <c r="FE56" s="412"/>
      <c r="FF56" s="412"/>
      <c r="FG56" s="412"/>
      <c r="FH56" s="412"/>
      <c r="FI56" s="412"/>
      <c r="FJ56" s="412"/>
      <c r="FK56" s="412"/>
      <c r="FL56" s="412"/>
      <c r="FM56" s="412"/>
      <c r="FN56" s="412"/>
      <c r="FO56" s="412"/>
      <c r="FP56" s="412"/>
      <c r="FQ56" s="412"/>
      <c r="FR56" s="412"/>
      <c r="FS56" s="412"/>
      <c r="FT56" s="412"/>
      <c r="FU56" s="412"/>
      <c r="FV56" s="412"/>
      <c r="FW56" s="412"/>
      <c r="FX56" s="412"/>
      <c r="FY56" s="412"/>
      <c r="FZ56" s="412"/>
      <c r="GA56" s="412"/>
      <c r="GB56" s="412"/>
      <c r="GC56" s="412"/>
      <c r="GD56" s="412"/>
      <c r="GE56" s="412"/>
      <c r="GF56" s="412"/>
      <c r="GG56" s="412"/>
      <c r="GH56" s="412"/>
      <c r="GI56" s="412"/>
      <c r="GJ56" s="412"/>
      <c r="GK56" s="412"/>
      <c r="GL56" s="412"/>
      <c r="GM56" s="412"/>
      <c r="GN56" s="412"/>
      <c r="GO56" s="412"/>
      <c r="GP56" s="412"/>
      <c r="GQ56" s="412"/>
      <c r="GR56" s="412"/>
      <c r="GS56" s="412"/>
      <c r="GT56" s="412"/>
      <c r="GU56" s="412"/>
      <c r="GV56" s="412"/>
      <c r="GW56" s="412"/>
      <c r="GX56" s="412"/>
      <c r="GY56" s="412"/>
      <c r="GZ56" s="412"/>
      <c r="HA56" s="412"/>
      <c r="HB56" s="412"/>
      <c r="HC56" s="412"/>
      <c r="HD56" s="412"/>
      <c r="HE56" s="412"/>
      <c r="HF56" s="412"/>
      <c r="HG56" s="412"/>
      <c r="HH56" s="412"/>
      <c r="HI56" s="412"/>
      <c r="HJ56" s="412"/>
      <c r="HK56" s="412"/>
      <c r="HL56" s="412"/>
      <c r="HM56" s="412"/>
      <c r="HN56" s="412"/>
      <c r="HO56" s="412"/>
      <c r="HP56" s="412"/>
      <c r="HQ56" s="412"/>
      <c r="HR56" s="412"/>
      <c r="HS56" s="412"/>
      <c r="HT56" s="412"/>
      <c r="HU56" s="412"/>
      <c r="HV56" s="412"/>
      <c r="HW56" s="412"/>
      <c r="HX56" s="412"/>
      <c r="HY56" s="412"/>
      <c r="HZ56" s="412"/>
      <c r="IA56" s="412"/>
      <c r="IB56" s="412"/>
      <c r="IC56" s="412"/>
      <c r="ID56" s="412"/>
      <c r="IE56" s="412"/>
      <c r="IF56" s="412"/>
      <c r="IG56" s="412"/>
      <c r="IH56" s="412"/>
      <c r="II56" s="412"/>
      <c r="IJ56" s="412"/>
      <c r="IK56" s="412"/>
      <c r="IL56" s="412"/>
      <c r="IM56" s="412"/>
      <c r="IN56" s="412"/>
      <c r="IO56" s="412"/>
      <c r="IP56" s="412"/>
      <c r="IQ56" s="412"/>
      <c r="IR56" s="412"/>
      <c r="IS56" s="412"/>
      <c r="IT56" s="412"/>
      <c r="IU56" s="412"/>
      <c r="IV56" s="412"/>
      <c r="IW56" s="412"/>
      <c r="IX56" s="412"/>
      <c r="IY56" s="412"/>
      <c r="IZ56" s="412"/>
      <c r="JA56" s="412"/>
      <c r="JB56" s="412"/>
      <c r="JC56" s="412"/>
      <c r="JD56" s="412"/>
      <c r="JE56" s="412"/>
      <c r="JF56" s="412"/>
      <c r="JG56" s="412"/>
      <c r="JH56" s="412"/>
      <c r="JI56" s="412"/>
      <c r="JJ56" s="412"/>
      <c r="JK56" s="412"/>
      <c r="JL56" s="412"/>
      <c r="JM56" s="412"/>
      <c r="JN56" s="412"/>
      <c r="JO56" s="412"/>
      <c r="JP56" s="412"/>
      <c r="JQ56" s="412"/>
      <c r="JR56" s="412"/>
      <c r="JS56" s="412"/>
      <c r="JT56" s="412"/>
      <c r="JU56" s="412"/>
      <c r="JV56" s="412"/>
      <c r="JW56" s="412"/>
      <c r="JX56" s="412"/>
      <c r="JY56" s="412"/>
      <c r="JZ56" s="412"/>
      <c r="KA56" s="412"/>
      <c r="KB56" s="412"/>
      <c r="KC56" s="412"/>
      <c r="KD56" s="412"/>
      <c r="KE56" s="412"/>
      <c r="KF56" s="412"/>
      <c r="KG56" s="412"/>
      <c r="KH56" s="412"/>
      <c r="KI56" s="412"/>
      <c r="KJ56" s="412"/>
      <c r="KK56" s="412"/>
      <c r="KL56" s="412"/>
      <c r="KM56" s="412"/>
      <c r="KN56" s="412"/>
      <c r="KO56" s="412"/>
      <c r="KP56" s="412"/>
      <c r="KQ56" s="412"/>
      <c r="KR56" s="412"/>
      <c r="KS56" s="412"/>
      <c r="KT56" s="412"/>
      <c r="KU56" s="412"/>
      <c r="KV56" s="412"/>
      <c r="KW56" s="412"/>
      <c r="KX56" s="412"/>
      <c r="KY56" s="412"/>
      <c r="KZ56" s="412"/>
      <c r="LA56" s="412"/>
      <c r="LB56" s="412"/>
      <c r="LC56" s="412"/>
      <c r="LD56" s="412"/>
      <c r="LE56" s="412"/>
      <c r="LF56" s="412"/>
      <c r="LG56" s="412"/>
      <c r="LH56" s="412"/>
      <c r="LI56" s="412"/>
      <c r="LJ56" s="412"/>
      <c r="LK56" s="412"/>
      <c r="LL56" s="412"/>
      <c r="LM56" s="412"/>
      <c r="LN56" s="412"/>
      <c r="LO56" s="412"/>
      <c r="LP56" s="412"/>
      <c r="LQ56" s="412"/>
      <c r="LR56" s="412"/>
      <c r="LS56" s="412"/>
      <c r="LT56" s="412"/>
      <c r="LU56" s="412"/>
      <c r="LV56" s="412"/>
      <c r="LW56" s="412"/>
      <c r="LX56" s="412"/>
      <c r="LY56" s="412"/>
      <c r="LZ56" s="412"/>
      <c r="MA56" s="412"/>
      <c r="MB56" s="412"/>
      <c r="MC56" s="412"/>
      <c r="MD56" s="412"/>
      <c r="ME56" s="412"/>
      <c r="MF56" s="412"/>
      <c r="MG56" s="412"/>
      <c r="MH56" s="412"/>
      <c r="MI56" s="412"/>
      <c r="MJ56" s="412"/>
      <c r="MK56" s="412"/>
      <c r="ML56" s="412"/>
      <c r="MM56" s="412"/>
      <c r="MN56" s="412"/>
      <c r="MO56" s="412"/>
      <c r="MP56" s="412"/>
      <c r="MQ56" s="412"/>
      <c r="MR56" s="412"/>
      <c r="MS56" s="412"/>
      <c r="MT56" s="412"/>
      <c r="MU56" s="412"/>
      <c r="MV56" s="412"/>
      <c r="MW56" s="412"/>
      <c r="MX56" s="412"/>
      <c r="MY56" s="412"/>
      <c r="MZ56" s="412"/>
      <c r="NA56" s="412"/>
      <c r="NB56" s="412"/>
      <c r="NC56" s="412"/>
      <c r="ND56" s="412"/>
      <c r="NE56" s="412"/>
      <c r="NF56" s="412"/>
      <c r="NG56" s="412"/>
      <c r="NH56" s="412"/>
      <c r="NI56" s="412"/>
      <c r="NJ56" s="412"/>
      <c r="NK56" s="412"/>
      <c r="NL56" s="412"/>
      <c r="NM56" s="412"/>
      <c r="NN56" s="412"/>
      <c r="NO56" s="412"/>
      <c r="NP56" s="412"/>
      <c r="NQ56" s="412"/>
      <c r="NR56" s="412"/>
      <c r="NS56" s="412"/>
      <c r="NT56" s="412"/>
      <c r="NU56" s="412"/>
      <c r="NV56" s="412"/>
      <c r="NW56" s="412"/>
      <c r="NX56" s="412"/>
      <c r="NY56" s="412"/>
      <c r="NZ56" s="412"/>
      <c r="OA56" s="412"/>
      <c r="OB56" s="412"/>
      <c r="OC56" s="412"/>
      <c r="OD56" s="412"/>
      <c r="OE56" s="412"/>
      <c r="OF56" s="412"/>
      <c r="OG56" s="412"/>
      <c r="OH56" s="412"/>
      <c r="OI56" s="412"/>
      <c r="OJ56" s="412"/>
      <c r="OK56" s="412"/>
      <c r="OL56" s="412"/>
      <c r="OM56" s="412"/>
      <c r="ON56" s="412"/>
      <c r="OO56" s="412"/>
      <c r="OP56" s="412"/>
      <c r="OQ56" s="412"/>
      <c r="OR56" s="412"/>
      <c r="OS56" s="412"/>
      <c r="OT56" s="412"/>
      <c r="OU56" s="412"/>
      <c r="OV56" s="412"/>
      <c r="OW56" s="412"/>
      <c r="OX56" s="412"/>
      <c r="OY56" s="412"/>
      <c r="OZ56" s="412"/>
      <c r="PA56" s="412"/>
      <c r="PB56" s="412"/>
      <c r="PC56" s="412"/>
      <c r="PD56" s="412"/>
      <c r="PE56" s="412"/>
      <c r="PF56" s="412"/>
      <c r="PG56" s="412"/>
      <c r="PH56" s="412"/>
      <c r="PI56" s="412"/>
      <c r="PJ56" s="412"/>
      <c r="PK56" s="412"/>
      <c r="PL56" s="412"/>
      <c r="PM56" s="412"/>
      <c r="PN56" s="412"/>
      <c r="PO56" s="412"/>
      <c r="PP56" s="412"/>
      <c r="PQ56" s="412"/>
      <c r="PR56" s="412"/>
      <c r="PS56" s="412"/>
      <c r="PT56" s="412"/>
      <c r="PU56" s="412"/>
      <c r="PV56" s="412"/>
      <c r="PW56" s="412"/>
      <c r="PX56" s="412"/>
      <c r="PY56" s="412"/>
      <c r="PZ56" s="412"/>
      <c r="QA56" s="412"/>
      <c r="QB56" s="412"/>
      <c r="QC56" s="412"/>
      <c r="QD56" s="412"/>
      <c r="QE56" s="412"/>
      <c r="QF56" s="412"/>
      <c r="QG56" s="412"/>
      <c r="QH56" s="412"/>
      <c r="QI56" s="412"/>
      <c r="QJ56" s="412"/>
      <c r="QK56" s="412"/>
      <c r="QL56" s="412"/>
      <c r="QM56" s="412"/>
      <c r="QN56" s="412"/>
      <c r="QO56" s="412"/>
      <c r="QP56" s="412"/>
      <c r="QQ56" s="412"/>
      <c r="QR56" s="412"/>
      <c r="QS56" s="412"/>
      <c r="QT56" s="412"/>
      <c r="QU56" s="412"/>
      <c r="QV56" s="412"/>
      <c r="QW56" s="412"/>
      <c r="QX56" s="412"/>
      <c r="QY56" s="412"/>
      <c r="QZ56" s="412"/>
      <c r="RA56" s="412"/>
      <c r="RB56" s="412"/>
      <c r="RC56" s="412"/>
      <c r="RD56" s="412"/>
      <c r="RE56" s="412"/>
      <c r="RF56" s="412"/>
      <c r="RG56" s="412"/>
      <c r="RH56" s="412"/>
      <c r="RI56" s="412"/>
      <c r="RJ56" s="412"/>
      <c r="RK56" s="412"/>
      <c r="RL56" s="412"/>
      <c r="RM56" s="412"/>
      <c r="RN56" s="412"/>
      <c r="RO56" s="412"/>
      <c r="RP56" s="412"/>
      <c r="RQ56" s="412"/>
      <c r="RR56" s="412"/>
      <c r="RS56" s="412"/>
      <c r="RT56" s="412"/>
      <c r="RU56" s="412"/>
      <c r="RV56" s="412"/>
      <c r="RW56" s="412"/>
      <c r="RX56" s="412"/>
      <c r="RY56" s="412"/>
      <c r="RZ56" s="412"/>
      <c r="SA56" s="412"/>
      <c r="SB56" s="412"/>
      <c r="SC56" s="412"/>
      <c r="SD56" s="412"/>
      <c r="SE56" s="412"/>
      <c r="SF56" s="412"/>
      <c r="SG56" s="412"/>
      <c r="SH56" s="412"/>
      <c r="SI56" s="412"/>
      <c r="SJ56" s="412"/>
      <c r="SK56" s="412"/>
      <c r="SL56" s="412"/>
      <c r="SM56" s="412"/>
      <c r="SN56" s="412"/>
      <c r="SO56" s="412"/>
      <c r="SP56" s="412"/>
      <c r="SQ56" s="412"/>
      <c r="SR56" s="412"/>
      <c r="SS56" s="412"/>
      <c r="ST56" s="412"/>
      <c r="SU56" s="412"/>
      <c r="SV56" s="412"/>
      <c r="SW56" s="412"/>
      <c r="SX56" s="412"/>
      <c r="SY56" s="412"/>
      <c r="SZ56" s="412"/>
      <c r="TA56" s="412"/>
      <c r="TB56" s="412"/>
      <c r="TC56" s="412"/>
      <c r="TD56" s="412"/>
      <c r="TE56" s="412"/>
      <c r="TF56" s="412"/>
      <c r="TG56" s="412"/>
      <c r="TH56" s="412"/>
      <c r="TI56" s="412"/>
      <c r="TJ56" s="412"/>
      <c r="TK56" s="412"/>
      <c r="TL56" s="412"/>
      <c r="TM56" s="412"/>
      <c r="TN56" s="412"/>
      <c r="TO56" s="412"/>
      <c r="TP56" s="412"/>
      <c r="TQ56" s="412"/>
      <c r="TR56" s="412"/>
      <c r="TS56" s="412"/>
      <c r="TT56" s="412"/>
      <c r="TU56" s="412"/>
      <c r="TV56" s="412"/>
      <c r="TW56" s="412"/>
      <c r="TX56" s="412"/>
      <c r="TY56" s="412"/>
      <c r="TZ56" s="412"/>
      <c r="UA56" s="412"/>
      <c r="UB56" s="412"/>
      <c r="UC56" s="412"/>
      <c r="UD56" s="412"/>
      <c r="UE56" s="412"/>
      <c r="UF56" s="412"/>
      <c r="UG56" s="412"/>
      <c r="UH56" s="412"/>
      <c r="UI56" s="412"/>
      <c r="UJ56" s="412"/>
      <c r="UK56" s="412"/>
      <c r="UL56" s="412"/>
      <c r="UM56" s="412"/>
      <c r="UN56" s="412"/>
      <c r="UO56" s="412"/>
      <c r="UP56" s="412"/>
      <c r="UQ56" s="412"/>
      <c r="UR56" s="412"/>
      <c r="US56" s="412"/>
      <c r="UT56" s="412"/>
      <c r="UU56" s="412"/>
      <c r="UV56" s="412"/>
      <c r="UW56" s="412"/>
      <c r="UX56" s="412"/>
      <c r="UY56" s="412"/>
      <c r="UZ56" s="412"/>
      <c r="VA56" s="412"/>
      <c r="VB56" s="412"/>
      <c r="VC56" s="412"/>
      <c r="VD56" s="412"/>
      <c r="VE56" s="412"/>
      <c r="VF56" s="412"/>
      <c r="VG56" s="412"/>
      <c r="VH56" s="412"/>
      <c r="VI56" s="412"/>
      <c r="VJ56" s="412"/>
      <c r="VK56" s="412"/>
      <c r="VL56" s="412"/>
      <c r="VM56" s="412"/>
      <c r="VN56" s="412"/>
      <c r="VO56" s="412"/>
      <c r="VP56" s="412"/>
      <c r="VQ56" s="412"/>
      <c r="VR56" s="412"/>
      <c r="VS56" s="412"/>
      <c r="VT56" s="412"/>
      <c r="VU56" s="412"/>
      <c r="VV56" s="412"/>
      <c r="VW56" s="412"/>
      <c r="VX56" s="412"/>
      <c r="VY56" s="412"/>
      <c r="VZ56" s="412"/>
      <c r="WA56" s="412"/>
      <c r="WB56" s="412"/>
      <c r="WC56" s="412"/>
      <c r="WD56" s="412"/>
      <c r="WE56" s="412"/>
      <c r="WF56" s="412"/>
      <c r="WG56" s="412"/>
      <c r="WH56" s="412"/>
      <c r="WI56" s="412"/>
      <c r="WJ56" s="412"/>
      <c r="WK56" s="412"/>
      <c r="WL56" s="412"/>
      <c r="WM56" s="412"/>
      <c r="WN56" s="412"/>
      <c r="WO56" s="412"/>
      <c r="WP56" s="412"/>
      <c r="WQ56" s="412"/>
      <c r="WR56" s="412"/>
      <c r="WS56" s="412"/>
      <c r="WT56" s="412"/>
      <c r="WU56" s="412"/>
      <c r="WV56" s="412"/>
      <c r="WW56" s="412"/>
      <c r="WX56" s="412"/>
      <c r="WY56" s="412"/>
      <c r="WZ56" s="412"/>
      <c r="XA56" s="412"/>
      <c r="XB56" s="412"/>
      <c r="XC56" s="412"/>
      <c r="XD56" s="412"/>
      <c r="XE56" s="412"/>
      <c r="XF56" s="412"/>
      <c r="XG56" s="412"/>
      <c r="XH56" s="412"/>
      <c r="XI56" s="412"/>
      <c r="XJ56" s="412"/>
      <c r="XK56" s="412"/>
      <c r="XL56" s="412"/>
      <c r="XM56" s="412"/>
      <c r="XN56" s="412"/>
      <c r="XO56" s="412"/>
      <c r="XP56" s="412"/>
      <c r="XQ56" s="412"/>
      <c r="XR56" s="412"/>
      <c r="XS56" s="412"/>
      <c r="XT56" s="412"/>
      <c r="XU56" s="412"/>
      <c r="XV56" s="412"/>
      <c r="XW56" s="412"/>
      <c r="XX56" s="412"/>
      <c r="XY56" s="412"/>
      <c r="XZ56" s="412"/>
      <c r="YA56" s="412"/>
      <c r="YB56" s="412"/>
      <c r="YC56" s="412"/>
      <c r="YD56" s="412"/>
      <c r="YE56" s="412"/>
      <c r="YF56" s="412"/>
      <c r="YG56" s="412"/>
      <c r="YH56" s="412"/>
      <c r="YI56" s="412"/>
      <c r="YJ56" s="412"/>
      <c r="YK56" s="412"/>
      <c r="YL56" s="412"/>
      <c r="YM56" s="412"/>
      <c r="YN56" s="412"/>
      <c r="YO56" s="412"/>
      <c r="YP56" s="412"/>
      <c r="YQ56" s="412"/>
      <c r="YR56" s="412"/>
      <c r="YS56" s="412"/>
      <c r="YT56" s="412"/>
      <c r="YU56" s="412"/>
      <c r="YV56" s="412"/>
      <c r="YW56" s="412"/>
      <c r="YX56" s="412"/>
      <c r="YY56" s="412"/>
      <c r="YZ56" s="412"/>
      <c r="ZA56" s="412"/>
      <c r="ZB56" s="412"/>
      <c r="ZC56" s="412"/>
      <c r="ZD56" s="412"/>
      <c r="ZE56" s="412"/>
      <c r="ZF56" s="412"/>
      <c r="ZG56" s="412"/>
      <c r="ZH56" s="412"/>
      <c r="ZI56" s="412"/>
      <c r="ZJ56" s="412"/>
      <c r="ZK56" s="412"/>
      <c r="ZL56" s="412"/>
      <c r="ZM56" s="412"/>
      <c r="ZN56" s="412"/>
      <c r="ZO56" s="412"/>
      <c r="ZP56" s="412"/>
      <c r="ZQ56" s="412"/>
      <c r="ZR56" s="412"/>
      <c r="ZS56" s="412"/>
      <c r="ZT56" s="412"/>
      <c r="ZU56" s="412"/>
      <c r="ZV56" s="412"/>
      <c r="ZW56" s="412"/>
      <c r="ZX56" s="412"/>
      <c r="ZY56" s="412"/>
      <c r="ZZ56" s="412"/>
      <c r="AAA56" s="412"/>
      <c r="AAB56" s="412"/>
      <c r="AAC56" s="412"/>
      <c r="AAD56" s="412"/>
      <c r="AAE56" s="412"/>
      <c r="AAF56" s="412"/>
      <c r="AAG56" s="412"/>
      <c r="AAH56" s="412"/>
      <c r="AAI56" s="412"/>
      <c r="AAJ56" s="412"/>
      <c r="AAK56" s="412"/>
      <c r="AAL56" s="412"/>
      <c r="AAM56" s="412"/>
      <c r="AAN56" s="412"/>
      <c r="AAO56" s="412"/>
      <c r="AAP56" s="412"/>
      <c r="AAQ56" s="412"/>
      <c r="AAR56" s="412"/>
      <c r="AAS56" s="412"/>
      <c r="AAT56" s="412"/>
      <c r="AAU56" s="412"/>
      <c r="AAV56" s="412"/>
      <c r="AAW56" s="412"/>
      <c r="AAX56" s="412"/>
      <c r="AAY56" s="412"/>
      <c r="AAZ56" s="412"/>
      <c r="ABA56" s="412"/>
      <c r="ABB56" s="412"/>
      <c r="ABC56" s="412"/>
      <c r="ABD56" s="412"/>
      <c r="ABE56" s="412"/>
      <c r="ABF56" s="412"/>
      <c r="ABG56" s="412"/>
      <c r="ABH56" s="412"/>
      <c r="ABI56" s="412"/>
      <c r="ABJ56" s="412"/>
      <c r="ABK56" s="412"/>
      <c r="ABL56" s="412"/>
      <c r="ABM56" s="412"/>
      <c r="ABN56" s="412"/>
      <c r="ABO56" s="412"/>
      <c r="ABP56" s="412"/>
      <c r="ABQ56" s="412"/>
      <c r="ABR56" s="412"/>
      <c r="ABS56" s="412"/>
      <c r="ABT56" s="412"/>
      <c r="ABU56" s="412"/>
      <c r="ABV56" s="412"/>
      <c r="ABW56" s="412"/>
      <c r="ABX56" s="412"/>
      <c r="ABY56" s="412"/>
      <c r="ABZ56" s="412"/>
      <c r="ACA56" s="412"/>
      <c r="ACB56" s="412"/>
      <c r="ACC56" s="412"/>
      <c r="ACD56" s="412"/>
      <c r="ACE56" s="412"/>
      <c r="ACF56" s="412"/>
      <c r="ACG56" s="412"/>
      <c r="ACH56" s="412"/>
      <c r="ACI56" s="412"/>
      <c r="ACJ56" s="412"/>
      <c r="ACK56" s="412"/>
      <c r="ACL56" s="412"/>
      <c r="ACM56" s="412"/>
      <c r="ACN56" s="412"/>
      <c r="ACO56" s="412"/>
      <c r="ACP56" s="412"/>
      <c r="ACQ56" s="412"/>
      <c r="ACR56" s="412"/>
      <c r="ACS56" s="412"/>
      <c r="ACT56" s="412"/>
      <c r="ACU56" s="412"/>
      <c r="ACV56" s="412"/>
      <c r="ACW56" s="412"/>
      <c r="ACX56" s="412"/>
      <c r="ACY56" s="412"/>
      <c r="ACZ56" s="412"/>
      <c r="ADA56" s="412"/>
      <c r="ADB56" s="412"/>
      <c r="ADC56" s="412"/>
      <c r="ADD56" s="412"/>
      <c r="ADE56" s="412"/>
      <c r="ADF56" s="412"/>
      <c r="ADG56" s="412"/>
      <c r="ADH56" s="412"/>
      <c r="ADI56" s="412"/>
      <c r="ADJ56" s="412"/>
      <c r="ADK56" s="412"/>
      <c r="ADL56" s="412"/>
      <c r="ADM56" s="412"/>
      <c r="ADN56" s="412"/>
      <c r="ADO56" s="412"/>
      <c r="ADP56" s="412"/>
      <c r="ADQ56" s="412"/>
      <c r="ADR56" s="412"/>
      <c r="ADS56" s="412"/>
      <c r="ADT56" s="412"/>
      <c r="ADU56" s="412"/>
      <c r="ADV56" s="412"/>
      <c r="ADW56" s="412"/>
      <c r="ADX56" s="412"/>
      <c r="ADY56" s="412"/>
      <c r="ADZ56" s="412"/>
      <c r="AEA56" s="412"/>
      <c r="AEB56" s="412"/>
      <c r="AEC56" s="412"/>
      <c r="AED56" s="412"/>
      <c r="AEE56" s="412"/>
      <c r="AEF56" s="412"/>
      <c r="AEG56" s="412"/>
      <c r="AEH56" s="412"/>
      <c r="AEI56" s="412"/>
      <c r="AEJ56" s="412"/>
      <c r="AEK56" s="412"/>
      <c r="AEL56" s="412"/>
      <c r="AEM56" s="412"/>
      <c r="AEN56" s="412"/>
      <c r="AEO56" s="412"/>
      <c r="AEP56" s="412"/>
      <c r="AEQ56" s="412"/>
      <c r="AER56" s="412"/>
      <c r="AES56" s="412"/>
      <c r="AET56" s="412"/>
      <c r="AEU56" s="412"/>
      <c r="AEV56" s="412"/>
      <c r="AEW56" s="412"/>
      <c r="AEX56" s="412"/>
      <c r="AEY56" s="412"/>
      <c r="AEZ56" s="412"/>
      <c r="AFA56" s="412"/>
      <c r="AFB56" s="412"/>
      <c r="AFC56" s="412"/>
      <c r="AFD56" s="412"/>
      <c r="AFE56" s="412"/>
      <c r="AFF56" s="412"/>
      <c r="AFG56" s="412"/>
      <c r="AFH56" s="412"/>
      <c r="AFI56" s="412"/>
      <c r="AFJ56" s="412"/>
      <c r="AFK56" s="412"/>
      <c r="AFL56" s="412"/>
      <c r="AFM56" s="412"/>
      <c r="AFN56" s="412"/>
      <c r="AFO56" s="412"/>
      <c r="AFP56" s="412"/>
      <c r="AFQ56" s="412"/>
      <c r="AFR56" s="412"/>
      <c r="AFS56" s="412"/>
      <c r="AFT56" s="412"/>
      <c r="AFU56" s="412"/>
      <c r="AFV56" s="412"/>
      <c r="AFW56" s="412"/>
      <c r="AFX56" s="412"/>
      <c r="AFY56" s="412"/>
      <c r="AFZ56" s="412"/>
      <c r="AGA56" s="412"/>
      <c r="AGB56" s="412"/>
      <c r="AGC56" s="412"/>
      <c r="AGD56" s="412"/>
      <c r="AGE56" s="412"/>
      <c r="AGF56" s="412"/>
      <c r="AGG56" s="412"/>
      <c r="AGH56" s="412"/>
      <c r="AGI56" s="412"/>
      <c r="AGJ56" s="412"/>
      <c r="AGK56" s="412"/>
      <c r="AGL56" s="412"/>
      <c r="AGM56" s="412"/>
      <c r="AGN56" s="412"/>
      <c r="AGO56" s="412"/>
      <c r="AGP56" s="412"/>
      <c r="AGQ56" s="412"/>
      <c r="AGR56" s="412"/>
      <c r="AGS56" s="412"/>
      <c r="AGT56" s="412"/>
      <c r="AGU56" s="412"/>
      <c r="AGV56" s="412"/>
      <c r="AGW56" s="412"/>
      <c r="AGX56" s="412"/>
      <c r="AGY56" s="412"/>
      <c r="AGZ56" s="412"/>
      <c r="AHA56" s="412"/>
      <c r="AHB56" s="412"/>
      <c r="AHC56" s="412"/>
      <c r="AHD56" s="412"/>
      <c r="AHE56" s="412"/>
      <c r="AHF56" s="412"/>
      <c r="AHG56" s="412"/>
      <c r="AHH56" s="412"/>
      <c r="AHI56" s="412"/>
      <c r="AHJ56" s="412"/>
      <c r="AHK56" s="412"/>
      <c r="AHL56" s="412"/>
      <c r="AHM56" s="412"/>
      <c r="AHN56" s="412"/>
      <c r="AHO56" s="412"/>
      <c r="AHP56" s="412"/>
      <c r="AHQ56" s="412"/>
      <c r="AHR56" s="412"/>
      <c r="AHS56" s="412"/>
      <c r="AHT56" s="412"/>
      <c r="AHU56" s="412"/>
      <c r="AHV56" s="412"/>
      <c r="AHW56" s="412"/>
      <c r="AHX56" s="412"/>
      <c r="AHY56" s="412"/>
      <c r="AHZ56" s="412"/>
      <c r="AIA56" s="412"/>
      <c r="AIB56" s="412"/>
      <c r="AIC56" s="412"/>
      <c r="AID56" s="412"/>
      <c r="AIE56" s="412"/>
      <c r="AIF56" s="412"/>
      <c r="AIG56" s="412"/>
      <c r="AIH56" s="412"/>
      <c r="AII56" s="412"/>
      <c r="AIJ56" s="412"/>
      <c r="AIK56" s="412"/>
      <c r="AIL56" s="412"/>
      <c r="AIM56" s="412"/>
      <c r="AIN56" s="412"/>
      <c r="AIO56" s="412"/>
      <c r="AIP56" s="412"/>
      <c r="AIQ56" s="412"/>
      <c r="AIR56" s="412"/>
      <c r="AIS56" s="412"/>
      <c r="AIT56" s="412"/>
      <c r="AIU56" s="412"/>
      <c r="AIV56" s="412"/>
      <c r="AIW56" s="412"/>
      <c r="AIX56" s="412"/>
      <c r="AIY56" s="412"/>
      <c r="AIZ56" s="412"/>
      <c r="AJA56" s="412"/>
      <c r="AJB56" s="412"/>
      <c r="AJC56" s="412"/>
      <c r="AJD56" s="412"/>
      <c r="AJE56" s="412"/>
      <c r="AJF56" s="412"/>
      <c r="AJG56" s="412"/>
      <c r="AJH56" s="412"/>
      <c r="AJI56" s="412"/>
      <c r="AJJ56" s="412"/>
      <c r="AJK56" s="412"/>
      <c r="AJL56" s="412"/>
      <c r="AJM56" s="412"/>
      <c r="AJN56" s="412"/>
      <c r="AJO56" s="412"/>
      <c r="AJP56" s="412"/>
      <c r="AJQ56" s="412"/>
      <c r="AJR56" s="412"/>
      <c r="AJS56" s="412"/>
      <c r="AJT56" s="412"/>
      <c r="AJU56" s="412"/>
      <c r="AJV56" s="412"/>
      <c r="AJW56" s="412"/>
      <c r="AJX56" s="412"/>
      <c r="AJY56" s="412"/>
      <c r="AJZ56" s="412"/>
      <c r="AKA56" s="412"/>
      <c r="AKB56" s="412"/>
      <c r="AKC56" s="412"/>
      <c r="AKD56" s="412"/>
      <c r="AKE56" s="412"/>
      <c r="AKF56" s="412"/>
      <c r="AKG56" s="412"/>
      <c r="AKH56" s="412"/>
      <c r="AKI56" s="412"/>
      <c r="AKJ56" s="412"/>
      <c r="AKK56" s="412"/>
      <c r="AKL56" s="412"/>
      <c r="AKM56" s="412"/>
      <c r="AKN56" s="412"/>
      <c r="AKO56" s="412"/>
      <c r="AKP56" s="412"/>
      <c r="AKQ56" s="412"/>
      <c r="AKR56" s="412"/>
      <c r="AKS56" s="412"/>
      <c r="AKT56" s="412"/>
      <c r="AKU56" s="412"/>
      <c r="AKV56" s="412"/>
      <c r="AKW56" s="412"/>
      <c r="AKX56" s="412"/>
      <c r="AKY56" s="412"/>
      <c r="AKZ56" s="412"/>
      <c r="ALA56" s="412"/>
      <c r="ALB56" s="412"/>
      <c r="ALC56" s="412"/>
      <c r="ALD56" s="412"/>
      <c r="ALE56" s="412"/>
      <c r="ALF56" s="412"/>
      <c r="ALG56" s="412"/>
      <c r="ALH56" s="412"/>
      <c r="ALI56" s="412"/>
      <c r="ALJ56" s="412"/>
      <c r="ALK56" s="412"/>
      <c r="ALL56" s="412"/>
      <c r="ALM56" s="412"/>
      <c r="ALN56" s="412"/>
      <c r="ALO56" s="412"/>
      <c r="ALP56" s="412"/>
      <c r="ALQ56" s="412"/>
      <c r="ALR56" s="412"/>
      <c r="ALS56" s="412"/>
      <c r="ALT56" s="412"/>
      <c r="ALU56" s="412"/>
      <c r="ALV56" s="412"/>
      <c r="ALW56" s="412"/>
      <c r="ALX56" s="412"/>
      <c r="ALY56" s="412"/>
      <c r="ALZ56" s="412"/>
      <c r="AMA56" s="412"/>
      <c r="AMB56" s="412"/>
      <c r="AMC56" s="412"/>
      <c r="AMD56" s="412"/>
      <c r="AME56" s="412"/>
      <c r="AMF56" s="412"/>
      <c r="AMG56" s="412"/>
      <c r="AMH56" s="412"/>
      <c r="AMI56" s="412"/>
      <c r="AMJ56" s="412"/>
      <c r="AMK56" s="412"/>
      <c r="AML56" s="412"/>
      <c r="AMM56" s="412"/>
      <c r="AMN56" s="412"/>
      <c r="AMO56" s="412"/>
      <c r="AMP56" s="412"/>
      <c r="AMQ56" s="412"/>
      <c r="AMR56" s="412"/>
      <c r="AMS56" s="412"/>
      <c r="AMT56" s="412"/>
      <c r="AMU56" s="412"/>
      <c r="AMV56" s="412"/>
      <c r="AMW56" s="412"/>
      <c r="AMX56" s="412"/>
      <c r="AMY56" s="412"/>
      <c r="AMZ56" s="412"/>
      <c r="ANA56" s="412"/>
      <c r="ANB56" s="412"/>
      <c r="ANC56" s="412"/>
      <c r="AND56" s="412"/>
      <c r="ANE56" s="412"/>
      <c r="ANF56" s="412"/>
      <c r="ANG56" s="412"/>
      <c r="ANH56" s="412"/>
      <c r="ANI56" s="412"/>
      <c r="ANJ56" s="412"/>
      <c r="ANK56" s="412"/>
      <c r="ANL56" s="412"/>
      <c r="ANM56" s="412"/>
      <c r="ANN56" s="412"/>
      <c r="ANO56" s="412"/>
      <c r="ANP56" s="412"/>
      <c r="ANQ56" s="412"/>
      <c r="ANR56" s="412"/>
      <c r="ANS56" s="412"/>
      <c r="ANT56" s="412"/>
      <c r="ANU56" s="412"/>
      <c r="ANV56" s="412"/>
      <c r="ANW56" s="412"/>
      <c r="ANX56" s="412"/>
      <c r="ANY56" s="412"/>
      <c r="ANZ56" s="412"/>
      <c r="AOA56" s="412"/>
      <c r="AOB56" s="412"/>
      <c r="AOC56" s="412"/>
      <c r="AOD56" s="412"/>
      <c r="AOE56" s="412"/>
      <c r="AOF56" s="412"/>
      <c r="AOG56" s="412"/>
      <c r="AOH56" s="412"/>
      <c r="AOI56" s="412"/>
      <c r="AOJ56" s="412"/>
      <c r="AOK56" s="412"/>
      <c r="AOL56" s="412"/>
      <c r="AOM56" s="412"/>
      <c r="AON56" s="412"/>
      <c r="AOO56" s="412"/>
      <c r="AOP56" s="412"/>
      <c r="AOQ56" s="412"/>
      <c r="AOR56" s="412"/>
      <c r="AOS56" s="412"/>
      <c r="AOT56" s="412"/>
      <c r="AOU56" s="412"/>
      <c r="AOV56" s="412"/>
      <c r="AOW56" s="412"/>
      <c r="AOX56" s="412"/>
      <c r="AOY56" s="412"/>
      <c r="AOZ56" s="412"/>
      <c r="APA56" s="412"/>
      <c r="APB56" s="412"/>
      <c r="APC56" s="412"/>
      <c r="APD56" s="412"/>
      <c r="APE56" s="412"/>
      <c r="APF56" s="412"/>
      <c r="APG56" s="412"/>
      <c r="APH56" s="412"/>
      <c r="API56" s="412"/>
      <c r="APJ56" s="412"/>
      <c r="APK56" s="412"/>
      <c r="APL56" s="412"/>
      <c r="APM56" s="412"/>
      <c r="APN56" s="412"/>
      <c r="APO56" s="412"/>
      <c r="APP56" s="412"/>
      <c r="APQ56" s="412"/>
      <c r="APR56" s="412"/>
      <c r="APS56" s="412"/>
      <c r="APT56" s="412"/>
      <c r="APU56" s="412"/>
      <c r="APV56" s="412"/>
      <c r="APW56" s="412"/>
      <c r="APX56" s="412"/>
      <c r="APY56" s="412"/>
      <c r="APZ56" s="412"/>
      <c r="AQA56" s="412"/>
      <c r="AQB56" s="412"/>
      <c r="AQC56" s="412"/>
      <c r="AQD56" s="412"/>
      <c r="AQE56" s="412"/>
      <c r="AQF56" s="412"/>
      <c r="AQG56" s="412"/>
      <c r="AQH56" s="412"/>
      <c r="AQI56" s="412"/>
      <c r="AQJ56" s="412"/>
      <c r="AQK56" s="412"/>
      <c r="AQL56" s="412"/>
      <c r="AQM56" s="412"/>
      <c r="AQN56" s="412"/>
      <c r="AQO56" s="412"/>
      <c r="AQP56" s="412"/>
      <c r="AQQ56" s="412"/>
      <c r="AQR56" s="412"/>
      <c r="AQS56" s="412"/>
      <c r="AQT56" s="412"/>
      <c r="AQU56" s="412"/>
      <c r="AQV56" s="412"/>
      <c r="AQW56" s="412"/>
      <c r="AQX56" s="412"/>
      <c r="AQY56" s="412"/>
      <c r="AQZ56" s="412"/>
      <c r="ARA56" s="412"/>
      <c r="ARB56" s="412"/>
      <c r="ARC56" s="412"/>
      <c r="ARD56" s="412"/>
      <c r="ARE56" s="412"/>
      <c r="ARF56" s="412"/>
      <c r="ARG56" s="412"/>
      <c r="ARH56" s="412"/>
      <c r="ARI56" s="412"/>
      <c r="ARJ56" s="412"/>
      <c r="ARK56" s="412"/>
      <c r="ARL56" s="412"/>
      <c r="ARM56" s="412"/>
      <c r="ARN56" s="412"/>
      <c r="ARO56" s="412"/>
      <c r="ARP56" s="412"/>
      <c r="ARQ56" s="412"/>
      <c r="ARR56" s="412"/>
      <c r="ARS56" s="412"/>
      <c r="ART56" s="412"/>
      <c r="ARU56" s="412"/>
      <c r="ARV56" s="412"/>
      <c r="ARW56" s="412"/>
      <c r="ARX56" s="412"/>
      <c r="ARY56" s="412"/>
      <c r="ARZ56" s="412"/>
      <c r="ASA56" s="412"/>
      <c r="ASB56" s="412"/>
      <c r="ASC56" s="412"/>
      <c r="ASD56" s="412"/>
      <c r="ASE56" s="412"/>
      <c r="ASF56" s="412"/>
      <c r="ASG56" s="412"/>
      <c r="ASH56" s="412"/>
      <c r="ASI56" s="412"/>
      <c r="ASJ56" s="412"/>
      <c r="ASK56" s="412"/>
      <c r="ASL56" s="412"/>
      <c r="ASM56" s="412"/>
      <c r="ASN56" s="412"/>
      <c r="ASO56" s="412"/>
      <c r="ASP56" s="412"/>
      <c r="ASQ56" s="412"/>
      <c r="ASR56" s="412"/>
      <c r="ASS56" s="412"/>
      <c r="AST56" s="412"/>
      <c r="ASU56" s="412"/>
      <c r="ASV56" s="412"/>
      <c r="ASW56" s="412"/>
      <c r="ASX56" s="412"/>
      <c r="ASY56" s="412"/>
      <c r="ASZ56" s="412"/>
      <c r="ATA56" s="412"/>
      <c r="ATB56" s="412"/>
      <c r="ATC56" s="412"/>
      <c r="ATD56" s="412"/>
      <c r="ATE56" s="412"/>
      <c r="ATF56" s="412"/>
      <c r="ATG56" s="412"/>
      <c r="ATH56" s="412"/>
      <c r="ATI56" s="412"/>
      <c r="ATJ56" s="412"/>
      <c r="ATK56" s="412"/>
      <c r="ATL56" s="412"/>
      <c r="ATM56" s="412"/>
      <c r="ATN56" s="412"/>
      <c r="ATO56" s="412"/>
      <c r="ATP56" s="412"/>
      <c r="ATQ56" s="412"/>
      <c r="ATR56" s="412"/>
      <c r="ATS56" s="412"/>
      <c r="ATT56" s="412"/>
      <c r="ATU56" s="412"/>
      <c r="ATV56" s="412"/>
      <c r="ATW56" s="412"/>
      <c r="ATX56" s="412"/>
      <c r="ATY56" s="412"/>
      <c r="ATZ56" s="412"/>
      <c r="AUA56" s="412"/>
      <c r="AUB56" s="412"/>
      <c r="AUC56" s="412"/>
      <c r="AUD56" s="412"/>
      <c r="AUE56" s="412"/>
      <c r="AUF56" s="412"/>
      <c r="AUG56" s="412"/>
      <c r="AUH56" s="412"/>
      <c r="AUI56" s="412"/>
      <c r="AUJ56" s="412"/>
      <c r="AUK56" s="412"/>
      <c r="AUL56" s="412"/>
      <c r="AUM56" s="412"/>
      <c r="AUN56" s="412"/>
      <c r="AUO56" s="412"/>
      <c r="AUP56" s="412"/>
      <c r="AUQ56" s="412"/>
      <c r="AUR56" s="412"/>
      <c r="AUS56" s="412"/>
      <c r="AUT56" s="412"/>
      <c r="AUU56" s="412"/>
      <c r="AUV56" s="412"/>
      <c r="AUW56" s="412"/>
      <c r="AUX56" s="412"/>
      <c r="AUY56" s="412"/>
      <c r="AUZ56" s="412"/>
      <c r="AVA56" s="412"/>
      <c r="AVB56" s="412"/>
      <c r="AVC56" s="412"/>
      <c r="AVD56" s="412"/>
      <c r="AVE56" s="412"/>
      <c r="AVF56" s="412"/>
      <c r="AVG56" s="412"/>
      <c r="AVH56" s="412"/>
      <c r="AVI56" s="412"/>
      <c r="AVJ56" s="412"/>
      <c r="AVK56" s="412"/>
      <c r="AVL56" s="412"/>
      <c r="AVM56" s="412"/>
      <c r="AVN56" s="412"/>
      <c r="AVO56" s="412"/>
      <c r="AVP56" s="412"/>
      <c r="AVQ56" s="412"/>
      <c r="AVR56" s="412"/>
      <c r="AVS56" s="412"/>
      <c r="AVT56" s="412"/>
      <c r="AVU56" s="412"/>
      <c r="AVV56" s="412"/>
      <c r="AVW56" s="412"/>
      <c r="AVX56" s="412"/>
      <c r="AVY56" s="412"/>
      <c r="AVZ56" s="412"/>
      <c r="AWA56" s="412"/>
      <c r="AWB56" s="412"/>
      <c r="AWC56" s="412"/>
      <c r="AWD56" s="412"/>
      <c r="AWE56" s="412"/>
      <c r="AWF56" s="412"/>
      <c r="AWG56" s="412"/>
      <c r="AWH56" s="412"/>
      <c r="AWI56" s="412"/>
      <c r="AWJ56" s="412"/>
      <c r="AWK56" s="412"/>
      <c r="AWL56" s="412"/>
      <c r="AWM56" s="412"/>
      <c r="AWN56" s="412"/>
      <c r="AWO56" s="412"/>
      <c r="AWP56" s="412"/>
      <c r="AWQ56" s="412"/>
      <c r="AWR56" s="412"/>
      <c r="AWS56" s="412"/>
      <c r="AWT56" s="412"/>
      <c r="AWU56" s="412"/>
      <c r="AWV56" s="412"/>
      <c r="AWW56" s="412"/>
      <c r="AWX56" s="412"/>
      <c r="AWY56" s="412"/>
      <c r="AWZ56" s="412"/>
      <c r="AXA56" s="412"/>
      <c r="AXB56" s="412"/>
      <c r="AXC56" s="412"/>
      <c r="AXD56" s="412"/>
      <c r="AXE56" s="412"/>
      <c r="AXF56" s="412"/>
      <c r="AXG56" s="412"/>
      <c r="AXH56" s="412"/>
      <c r="AXI56" s="412"/>
      <c r="AXJ56" s="412"/>
      <c r="AXK56" s="412"/>
      <c r="AXL56" s="412"/>
      <c r="AXM56" s="412"/>
      <c r="AXN56" s="412"/>
      <c r="AXO56" s="412"/>
      <c r="AXP56" s="412"/>
      <c r="AXQ56" s="412"/>
      <c r="AXR56" s="412"/>
      <c r="AXS56" s="412"/>
      <c r="AXT56" s="412"/>
      <c r="AXU56" s="412"/>
      <c r="AXV56" s="412"/>
      <c r="AXW56" s="412"/>
      <c r="AXX56" s="412"/>
      <c r="AXY56" s="412"/>
      <c r="AXZ56" s="412"/>
      <c r="AYA56" s="412"/>
      <c r="AYB56" s="412"/>
      <c r="AYC56" s="412"/>
      <c r="AYD56" s="412"/>
      <c r="AYE56" s="412"/>
      <c r="AYF56" s="412"/>
      <c r="AYG56" s="412"/>
      <c r="AYH56" s="412"/>
      <c r="AYI56" s="412"/>
      <c r="AYJ56" s="412"/>
      <c r="AYK56" s="412"/>
      <c r="AYL56" s="412"/>
      <c r="AYM56" s="412"/>
      <c r="AYN56" s="412"/>
      <c r="AYO56" s="412"/>
      <c r="AYP56" s="412"/>
      <c r="AYQ56" s="412"/>
      <c r="AYR56" s="412"/>
      <c r="AYS56" s="412"/>
      <c r="AYT56" s="412"/>
      <c r="AYU56" s="412"/>
      <c r="AYV56" s="412"/>
      <c r="AYW56" s="412"/>
      <c r="AYX56" s="412"/>
      <c r="AYY56" s="412"/>
      <c r="AYZ56" s="412"/>
      <c r="AZA56" s="412"/>
      <c r="AZB56" s="412"/>
      <c r="AZC56" s="412"/>
      <c r="AZD56" s="412"/>
      <c r="AZE56" s="412"/>
      <c r="AZF56" s="412"/>
      <c r="AZG56" s="412"/>
      <c r="AZH56" s="412"/>
      <c r="AZI56" s="412"/>
      <c r="AZJ56" s="412"/>
      <c r="AZK56" s="412"/>
      <c r="AZL56" s="412"/>
      <c r="AZM56" s="412"/>
      <c r="AZN56" s="412"/>
      <c r="AZO56" s="412"/>
      <c r="AZP56" s="412"/>
      <c r="AZQ56" s="412"/>
      <c r="AZR56" s="412"/>
      <c r="AZS56" s="412"/>
      <c r="AZT56" s="412"/>
      <c r="AZU56" s="412"/>
      <c r="AZV56" s="412"/>
      <c r="AZW56" s="412"/>
      <c r="AZX56" s="412"/>
      <c r="AZY56" s="412"/>
      <c r="AZZ56" s="412"/>
      <c r="BAA56" s="412"/>
      <c r="BAB56" s="412"/>
      <c r="BAC56" s="412"/>
      <c r="BAD56" s="412"/>
      <c r="BAE56" s="412"/>
      <c r="BAF56" s="412"/>
      <c r="BAG56" s="412"/>
      <c r="BAH56" s="412"/>
      <c r="BAI56" s="412"/>
      <c r="BAJ56" s="412"/>
      <c r="BAK56" s="412"/>
      <c r="BAL56" s="412"/>
      <c r="BAM56" s="412"/>
      <c r="BAN56" s="412"/>
      <c r="BAO56" s="412"/>
      <c r="BAP56" s="412"/>
      <c r="BAQ56" s="412"/>
      <c r="BAR56" s="412"/>
      <c r="BAS56" s="412"/>
      <c r="BAT56" s="412"/>
      <c r="BAU56" s="412"/>
      <c r="BAV56" s="412"/>
      <c r="BAW56" s="412"/>
      <c r="BAX56" s="412"/>
      <c r="BAY56" s="412"/>
      <c r="BAZ56" s="412"/>
      <c r="BBA56" s="412"/>
      <c r="BBB56" s="412"/>
      <c r="BBC56" s="412"/>
      <c r="BBD56" s="412"/>
      <c r="BBE56" s="412"/>
      <c r="BBF56" s="412"/>
      <c r="BBG56" s="412"/>
      <c r="BBH56" s="412"/>
      <c r="BBI56" s="412"/>
      <c r="BBJ56" s="412"/>
      <c r="BBK56" s="412"/>
      <c r="BBL56" s="412"/>
      <c r="BBM56" s="412"/>
      <c r="BBN56" s="412"/>
      <c r="BBO56" s="412"/>
      <c r="BBP56" s="412"/>
      <c r="BBQ56" s="412"/>
      <c r="BBR56" s="412"/>
      <c r="BBS56" s="412"/>
      <c r="BBT56" s="412"/>
      <c r="BBU56" s="412"/>
      <c r="BBV56" s="412"/>
      <c r="BBW56" s="412"/>
      <c r="BBX56" s="412"/>
      <c r="BBY56" s="412"/>
      <c r="BBZ56" s="412"/>
      <c r="BCA56" s="412"/>
      <c r="BCB56" s="412"/>
      <c r="BCC56" s="412"/>
      <c r="BCD56" s="412"/>
      <c r="BCE56" s="412"/>
      <c r="BCF56" s="412"/>
      <c r="BCG56" s="412"/>
      <c r="BCH56" s="412"/>
      <c r="BCI56" s="412"/>
      <c r="BCJ56" s="412"/>
      <c r="BCK56" s="412"/>
      <c r="BCL56" s="412"/>
      <c r="BCM56" s="412"/>
      <c r="BCN56" s="412"/>
      <c r="BCO56" s="412"/>
      <c r="BCP56" s="412"/>
      <c r="BCQ56" s="412"/>
      <c r="BCR56" s="412"/>
      <c r="BCS56" s="412"/>
      <c r="BCT56" s="412"/>
      <c r="BCU56" s="412"/>
      <c r="BCV56" s="412"/>
      <c r="BCW56" s="412"/>
      <c r="BCX56" s="412"/>
      <c r="BCY56" s="412"/>
      <c r="BCZ56" s="412"/>
      <c r="BDA56" s="412"/>
      <c r="BDB56" s="412"/>
      <c r="BDC56" s="412"/>
      <c r="BDD56" s="412"/>
      <c r="BDE56" s="412"/>
      <c r="BDF56" s="412"/>
      <c r="BDG56" s="412"/>
      <c r="BDH56" s="412"/>
      <c r="BDI56" s="412"/>
      <c r="BDJ56" s="412"/>
      <c r="BDK56" s="412"/>
      <c r="BDL56" s="412"/>
      <c r="BDM56" s="412"/>
      <c r="BDN56" s="412"/>
      <c r="BDO56" s="412"/>
      <c r="BDP56" s="412"/>
      <c r="BDQ56" s="412"/>
      <c r="BDR56" s="412"/>
      <c r="BDS56" s="412"/>
      <c r="BDT56" s="412"/>
      <c r="BDU56" s="412"/>
      <c r="BDV56" s="412"/>
      <c r="BDW56" s="412"/>
      <c r="BDX56" s="412"/>
      <c r="BDY56" s="412"/>
      <c r="BDZ56" s="412"/>
      <c r="BEA56" s="412"/>
      <c r="BEB56" s="412"/>
      <c r="BEC56" s="412"/>
      <c r="BED56" s="412"/>
      <c r="BEE56" s="412"/>
      <c r="BEF56" s="412"/>
      <c r="BEG56" s="412"/>
      <c r="BEH56" s="412"/>
      <c r="BEI56" s="412"/>
      <c r="BEJ56" s="412"/>
      <c r="BEK56" s="412"/>
      <c r="BEL56" s="412"/>
      <c r="BEM56" s="412"/>
      <c r="BEN56" s="412"/>
      <c r="BEO56" s="412"/>
      <c r="BEP56" s="412"/>
      <c r="BEQ56" s="412"/>
      <c r="BER56" s="412"/>
      <c r="BES56" s="412"/>
      <c r="BET56" s="412"/>
      <c r="BEU56" s="412"/>
      <c r="BEV56" s="412"/>
      <c r="BEW56" s="412"/>
      <c r="BEX56" s="412"/>
      <c r="BEY56" s="412"/>
      <c r="BEZ56" s="412"/>
      <c r="BFA56" s="412"/>
      <c r="BFB56" s="412"/>
      <c r="BFC56" s="412"/>
      <c r="BFD56" s="412"/>
      <c r="BFE56" s="412"/>
      <c r="BFF56" s="412"/>
      <c r="BFG56" s="412"/>
      <c r="BFH56" s="412"/>
      <c r="BFI56" s="412"/>
      <c r="BFJ56" s="412"/>
      <c r="BFK56" s="412"/>
      <c r="BFL56" s="412"/>
      <c r="BFM56" s="412"/>
      <c r="BFN56" s="412"/>
      <c r="BFO56" s="412"/>
      <c r="BFP56" s="412"/>
      <c r="BFQ56" s="412"/>
      <c r="BFR56" s="412"/>
      <c r="BFS56" s="412"/>
      <c r="BFT56" s="412"/>
      <c r="BFU56" s="412"/>
      <c r="BFV56" s="412"/>
      <c r="BFW56" s="412"/>
      <c r="BFX56" s="412"/>
      <c r="BFY56" s="412"/>
      <c r="BFZ56" s="412"/>
      <c r="BGA56" s="412"/>
      <c r="BGB56" s="412"/>
      <c r="BGC56" s="412"/>
      <c r="BGD56" s="412"/>
      <c r="BGE56" s="412"/>
      <c r="BGF56" s="412"/>
      <c r="BGG56" s="412"/>
      <c r="BGH56" s="412"/>
      <c r="BGI56" s="412"/>
      <c r="BGJ56" s="412"/>
      <c r="BGK56" s="412"/>
      <c r="BGL56" s="412"/>
      <c r="BGM56" s="412"/>
      <c r="BGN56" s="412"/>
      <c r="BGO56" s="412"/>
      <c r="BGP56" s="412"/>
      <c r="BGQ56" s="412"/>
      <c r="BGR56" s="412"/>
      <c r="BGS56" s="412"/>
      <c r="BGT56" s="412"/>
      <c r="BGU56" s="412"/>
      <c r="BGV56" s="412"/>
      <c r="BGW56" s="412"/>
      <c r="BGX56" s="412"/>
      <c r="BGY56" s="412"/>
      <c r="BGZ56" s="412"/>
      <c r="BHA56" s="412"/>
      <c r="BHB56" s="412"/>
      <c r="BHC56" s="412"/>
      <c r="BHD56" s="412"/>
      <c r="BHE56" s="412"/>
      <c r="BHF56" s="412"/>
      <c r="BHG56" s="412"/>
      <c r="BHH56" s="412"/>
      <c r="BHI56" s="412"/>
      <c r="BHJ56" s="412"/>
      <c r="BHK56" s="412"/>
      <c r="BHL56" s="412"/>
      <c r="BHM56" s="412"/>
      <c r="BHN56" s="412"/>
      <c r="BHO56" s="412"/>
      <c r="BHP56" s="412"/>
      <c r="BHQ56" s="412"/>
      <c r="BHR56" s="412"/>
      <c r="BHS56" s="412"/>
      <c r="BHT56" s="412"/>
      <c r="BHU56" s="412"/>
      <c r="BHV56" s="412"/>
      <c r="BHW56" s="412"/>
      <c r="BHX56" s="412"/>
      <c r="BHY56" s="412"/>
      <c r="BHZ56" s="412"/>
      <c r="BIA56" s="412"/>
      <c r="BIB56" s="412"/>
      <c r="BIC56" s="412"/>
      <c r="BID56" s="412"/>
      <c r="BIE56" s="412"/>
      <c r="BIF56" s="412"/>
      <c r="BIG56" s="412"/>
      <c r="BIH56" s="412"/>
      <c r="BII56" s="412"/>
      <c r="BIJ56" s="412"/>
      <c r="BIK56" s="412"/>
      <c r="BIL56" s="412"/>
      <c r="BIM56" s="412"/>
      <c r="BIN56" s="412"/>
      <c r="BIO56" s="412"/>
      <c r="BIP56" s="412"/>
      <c r="BIQ56" s="412"/>
      <c r="BIR56" s="412"/>
      <c r="BIS56" s="412"/>
      <c r="BIT56" s="412"/>
      <c r="BIU56" s="412"/>
      <c r="BIV56" s="412"/>
      <c r="BIW56" s="412"/>
      <c r="BIX56" s="412"/>
      <c r="BIY56" s="412"/>
      <c r="BIZ56" s="412"/>
      <c r="BJA56" s="412"/>
      <c r="BJB56" s="412"/>
      <c r="BJC56" s="412"/>
      <c r="BJD56" s="412"/>
      <c r="BJE56" s="412"/>
      <c r="BJF56" s="412"/>
      <c r="BJG56" s="412"/>
      <c r="BJH56" s="412"/>
      <c r="BJI56" s="412"/>
      <c r="BJJ56" s="412"/>
      <c r="BJK56" s="412"/>
      <c r="BJL56" s="412"/>
      <c r="BJM56" s="412"/>
      <c r="BJN56" s="412"/>
      <c r="BJO56" s="412"/>
      <c r="BJP56" s="412"/>
      <c r="BJQ56" s="412"/>
      <c r="BJR56" s="412"/>
      <c r="BJS56" s="412"/>
      <c r="BJT56" s="412"/>
      <c r="BJU56" s="412"/>
      <c r="BJV56" s="412"/>
      <c r="BJW56" s="412"/>
      <c r="BJX56" s="412"/>
      <c r="BJY56" s="412"/>
      <c r="BJZ56" s="412"/>
      <c r="BKA56" s="412"/>
      <c r="BKB56" s="412"/>
      <c r="BKC56" s="412"/>
      <c r="BKD56" s="412"/>
      <c r="BKE56" s="412"/>
      <c r="BKF56" s="412"/>
      <c r="BKG56" s="412"/>
      <c r="BKH56" s="412"/>
      <c r="BKI56" s="412"/>
      <c r="BKJ56" s="412"/>
      <c r="BKK56" s="412"/>
      <c r="BKL56" s="412"/>
      <c r="BKM56" s="412"/>
      <c r="BKN56" s="412"/>
      <c r="BKO56" s="412"/>
      <c r="BKP56" s="412"/>
      <c r="BKQ56" s="412"/>
      <c r="BKR56" s="412"/>
      <c r="BKS56" s="412"/>
      <c r="BKT56" s="412"/>
      <c r="BKU56" s="412"/>
      <c r="BKV56" s="412"/>
      <c r="BKW56" s="412"/>
      <c r="BKX56" s="412"/>
      <c r="BKY56" s="412"/>
      <c r="BKZ56" s="412"/>
      <c r="BLA56" s="412"/>
      <c r="BLB56" s="412"/>
      <c r="BLC56" s="412"/>
      <c r="BLD56" s="412"/>
      <c r="BLE56" s="412"/>
      <c r="BLF56" s="412"/>
      <c r="BLG56" s="412"/>
      <c r="BLH56" s="412"/>
      <c r="BLI56" s="412"/>
      <c r="BLJ56" s="412"/>
      <c r="BLK56" s="412"/>
      <c r="BLL56" s="412"/>
      <c r="BLM56" s="412"/>
      <c r="BLN56" s="412"/>
      <c r="BLO56" s="412"/>
      <c r="BLP56" s="412"/>
      <c r="BLQ56" s="412"/>
      <c r="BLR56" s="412"/>
      <c r="BLS56" s="412"/>
      <c r="BLT56" s="412"/>
      <c r="BLU56" s="412"/>
      <c r="BLV56" s="412"/>
      <c r="BLW56" s="412"/>
      <c r="BLX56" s="412"/>
      <c r="BLY56" s="412"/>
      <c r="BLZ56" s="412"/>
      <c r="BMA56" s="412"/>
      <c r="BMB56" s="412"/>
      <c r="BMC56" s="412"/>
      <c r="BMD56" s="412"/>
      <c r="BME56" s="412"/>
      <c r="BMF56" s="412"/>
      <c r="BMG56" s="412"/>
      <c r="BMH56" s="412"/>
      <c r="BMI56" s="412"/>
      <c r="BMJ56" s="412"/>
      <c r="BMK56" s="412"/>
      <c r="BML56" s="412"/>
      <c r="BMM56" s="412"/>
      <c r="BMN56" s="412"/>
      <c r="BMO56" s="412"/>
      <c r="BMP56" s="412"/>
      <c r="BMQ56" s="412"/>
      <c r="BMR56" s="412"/>
      <c r="BMS56" s="412"/>
      <c r="BMT56" s="412"/>
      <c r="BMU56" s="412"/>
      <c r="BMV56" s="412"/>
      <c r="BMW56" s="412"/>
      <c r="BMX56" s="412"/>
      <c r="BMY56" s="412"/>
      <c r="BMZ56" s="412"/>
      <c r="BNA56" s="412"/>
      <c r="BNB56" s="412"/>
      <c r="BNC56" s="412"/>
      <c r="BND56" s="412"/>
      <c r="BNE56" s="412"/>
      <c r="BNF56" s="412"/>
      <c r="BNG56" s="412"/>
      <c r="BNH56" s="412"/>
      <c r="BNI56" s="412"/>
      <c r="BNJ56" s="412"/>
      <c r="BNK56" s="412"/>
      <c r="BNL56" s="412"/>
      <c r="BNM56" s="412"/>
      <c r="BNN56" s="412"/>
      <c r="BNO56" s="412"/>
      <c r="BNP56" s="412"/>
      <c r="BNQ56" s="412"/>
      <c r="BNR56" s="412"/>
      <c r="BNS56" s="412"/>
      <c r="BNT56" s="412"/>
      <c r="BNU56" s="412"/>
      <c r="BNV56" s="412"/>
      <c r="BNW56" s="412"/>
      <c r="BNX56" s="412"/>
      <c r="BNY56" s="412"/>
      <c r="BNZ56" s="412"/>
      <c r="BOA56" s="412"/>
      <c r="BOB56" s="412"/>
      <c r="BOC56" s="412"/>
      <c r="BOD56" s="412"/>
      <c r="BOE56" s="412"/>
      <c r="BOF56" s="412"/>
      <c r="BOG56" s="412"/>
      <c r="BOH56" s="412"/>
      <c r="BOI56" s="412"/>
      <c r="BOJ56" s="412"/>
      <c r="BOK56" s="412"/>
      <c r="BOL56" s="412"/>
      <c r="BOM56" s="412"/>
      <c r="BON56" s="412"/>
      <c r="BOO56" s="412"/>
      <c r="BOP56" s="412"/>
      <c r="BOQ56" s="412"/>
      <c r="BOR56" s="412"/>
      <c r="BOS56" s="412"/>
      <c r="BOT56" s="412"/>
      <c r="BOU56" s="412"/>
      <c r="BOV56" s="412"/>
      <c r="BOW56" s="412"/>
      <c r="BOX56" s="412"/>
      <c r="BOY56" s="412"/>
      <c r="BOZ56" s="412"/>
      <c r="BPA56" s="412"/>
      <c r="BPB56" s="412"/>
      <c r="BPC56" s="412"/>
      <c r="BPD56" s="412"/>
      <c r="BPE56" s="412"/>
      <c r="BPF56" s="412"/>
      <c r="BPG56" s="412"/>
      <c r="BPH56" s="412"/>
      <c r="BPI56" s="412"/>
      <c r="BPJ56" s="412"/>
      <c r="BPK56" s="412"/>
      <c r="BPL56" s="412"/>
      <c r="BPM56" s="412"/>
      <c r="BPN56" s="412"/>
      <c r="BPO56" s="412"/>
      <c r="BPP56" s="412"/>
      <c r="BPQ56" s="412"/>
      <c r="BPR56" s="412"/>
      <c r="BPS56" s="412"/>
      <c r="BPT56" s="412"/>
      <c r="BPU56" s="412"/>
      <c r="BPV56" s="412"/>
      <c r="BPW56" s="412"/>
      <c r="BPX56" s="412"/>
      <c r="BPY56" s="412"/>
      <c r="BPZ56" s="412"/>
      <c r="BQA56" s="412"/>
      <c r="BQB56" s="412"/>
      <c r="BQC56" s="412"/>
      <c r="BQD56" s="412"/>
      <c r="BQE56" s="412"/>
      <c r="BQF56" s="412"/>
      <c r="BQG56" s="412"/>
      <c r="BQH56" s="412"/>
      <c r="BQI56" s="412"/>
      <c r="BQJ56" s="412"/>
      <c r="BQK56" s="412"/>
      <c r="BQL56" s="412"/>
      <c r="BQM56" s="412"/>
      <c r="BQN56" s="412"/>
      <c r="BQO56" s="412"/>
      <c r="BQP56" s="412"/>
      <c r="BQQ56" s="412"/>
      <c r="BQR56" s="412"/>
      <c r="BQS56" s="412"/>
      <c r="BQT56" s="412"/>
      <c r="BQU56" s="412"/>
      <c r="BQV56" s="412"/>
      <c r="BQW56" s="412"/>
      <c r="BQX56" s="412"/>
      <c r="BQY56" s="412"/>
      <c r="BQZ56" s="412"/>
      <c r="BRA56" s="412"/>
      <c r="BRB56" s="412"/>
      <c r="BRC56" s="412"/>
      <c r="BRD56" s="412"/>
      <c r="BRE56" s="412"/>
      <c r="BRF56" s="412"/>
      <c r="BRG56" s="412"/>
      <c r="BRH56" s="412"/>
      <c r="BRI56" s="412"/>
      <c r="BRJ56" s="412"/>
      <c r="BRK56" s="412"/>
      <c r="BRL56" s="412"/>
      <c r="BRM56" s="412"/>
      <c r="BRN56" s="412"/>
      <c r="BRO56" s="412"/>
      <c r="BRP56" s="412"/>
      <c r="BRQ56" s="412"/>
      <c r="BRR56" s="412"/>
      <c r="BRS56" s="412"/>
      <c r="BRT56" s="412"/>
      <c r="BRU56" s="412"/>
      <c r="BRV56" s="412"/>
      <c r="BRW56" s="412"/>
      <c r="BRX56" s="412"/>
      <c r="BRY56" s="412"/>
      <c r="BRZ56" s="412"/>
      <c r="BSA56" s="412"/>
      <c r="BSB56" s="412"/>
      <c r="BSC56" s="412"/>
      <c r="BSD56" s="412"/>
      <c r="BSE56" s="412"/>
      <c r="BSF56" s="412"/>
      <c r="BSG56" s="412"/>
      <c r="BSH56" s="412"/>
      <c r="BSI56" s="412"/>
      <c r="BSJ56" s="412"/>
      <c r="BSK56" s="412"/>
      <c r="BSL56" s="412"/>
      <c r="BSM56" s="412"/>
      <c r="BSN56" s="412"/>
      <c r="BSO56" s="412"/>
      <c r="BSP56" s="412"/>
      <c r="BSQ56" s="412"/>
      <c r="BSR56" s="412"/>
      <c r="BSS56" s="412"/>
      <c r="BST56" s="412"/>
      <c r="BSU56" s="412"/>
      <c r="BSV56" s="412"/>
      <c r="BSW56" s="412"/>
      <c r="BSX56" s="412"/>
      <c r="BSY56" s="412"/>
      <c r="BSZ56" s="412"/>
      <c r="BTA56" s="412"/>
      <c r="BTB56" s="412"/>
      <c r="BTC56" s="412"/>
      <c r="BTD56" s="412"/>
      <c r="BTE56" s="412"/>
      <c r="BTF56" s="412"/>
      <c r="BTG56" s="412"/>
      <c r="BTH56" s="412"/>
      <c r="BTI56" s="412"/>
    </row>
    <row r="57" spans="1:1881" ht="57.75" customHeight="1" thickBot="1" x14ac:dyDescent="0.3">
      <c r="A57" s="189">
        <v>9</v>
      </c>
      <c r="B57" s="65" t="s">
        <v>67</v>
      </c>
      <c r="C57" s="134" t="s">
        <v>161</v>
      </c>
      <c r="D57" s="166" t="s">
        <v>614</v>
      </c>
      <c r="E57" s="32" t="e">
        <f>HLOOKUP($D$2,'2019 Data(H)'!$C$1:$CG$300,7,FALSE)</f>
        <v>#N/A</v>
      </c>
      <c r="F57" s="647"/>
      <c r="G57" s="413">
        <f>IF(F47-F49-F50-F51-F57=0,,"Error: Total assets less total liabilities do not equal total fund balance. Account numbers 379-4-5-380-9= 0  The amount of the formula is in the cell to the right")</f>
        <v>0</v>
      </c>
      <c r="H57" s="193">
        <f>F47-F49-F50-F51-F57</f>
        <v>0</v>
      </c>
      <c r="I57" s="31"/>
      <c r="J57" s="368"/>
      <c r="L57" s="865" t="s">
        <v>1155</v>
      </c>
      <c r="M57" s="633"/>
      <c r="N57" s="656"/>
    </row>
    <row r="58" spans="1:1881" s="4" customFormat="1" ht="63.75" customHeight="1" thickBot="1" x14ac:dyDescent="0.35">
      <c r="A58" s="189">
        <v>540</v>
      </c>
      <c r="B58" s="151" t="s">
        <v>66</v>
      </c>
      <c r="C58" s="183" t="s">
        <v>223</v>
      </c>
      <c r="D58" s="176" t="s">
        <v>897</v>
      </c>
      <c r="E58" s="32" t="e">
        <f>HLOOKUP($D$2,'2019 Data(H)'!$C$1:$CG$300,190,FALSE)</f>
        <v>#N/A</v>
      </c>
      <c r="F58" s="647"/>
      <c r="G58" s="413"/>
      <c r="H58" s="17"/>
      <c r="I58" s="298"/>
      <c r="J58" s="368"/>
      <c r="K58" s="461"/>
      <c r="L58" s="865" t="s">
        <v>1156</v>
      </c>
      <c r="M58" s="461"/>
      <c r="N58" s="656"/>
      <c r="O58" s="461"/>
      <c r="P58" s="461"/>
      <c r="Q58" s="461"/>
      <c r="R58" s="461"/>
      <c r="S58" s="461"/>
      <c r="T58" s="461"/>
      <c r="U58" s="412"/>
      <c r="V58" s="412"/>
      <c r="W58" s="412"/>
      <c r="X58" s="412"/>
      <c r="Y58" s="412"/>
      <c r="Z58" s="412"/>
      <c r="AA58" s="412"/>
      <c r="AB58" s="412"/>
      <c r="AC58" s="412"/>
      <c r="AD58" s="412"/>
      <c r="AE58" s="412"/>
      <c r="AF58" s="412"/>
      <c r="AG58" s="412"/>
      <c r="AH58" s="412"/>
      <c r="AI58" s="412"/>
      <c r="AJ58" s="412"/>
      <c r="AK58" s="412"/>
      <c r="AL58" s="412"/>
      <c r="AM58" s="412"/>
      <c r="AN58" s="412"/>
      <c r="AO58" s="412"/>
      <c r="AP58" s="412"/>
      <c r="AQ58" s="412"/>
      <c r="AR58" s="412"/>
      <c r="AS58" s="412"/>
      <c r="AT58" s="412"/>
      <c r="AU58" s="412"/>
      <c r="AV58" s="412"/>
      <c r="AW58" s="412"/>
      <c r="AX58" s="412"/>
      <c r="AY58" s="412"/>
      <c r="AZ58" s="412"/>
      <c r="BA58" s="412"/>
      <c r="BB58" s="412"/>
      <c r="BC58" s="412"/>
      <c r="BD58" s="412"/>
      <c r="BE58" s="412"/>
      <c r="BF58" s="412"/>
      <c r="BG58" s="412"/>
      <c r="BH58" s="412"/>
      <c r="BI58" s="412"/>
      <c r="BJ58" s="412"/>
      <c r="BK58" s="412"/>
      <c r="BL58" s="412"/>
      <c r="BM58" s="412"/>
      <c r="BN58" s="412"/>
      <c r="BO58" s="412"/>
      <c r="BP58" s="412"/>
      <c r="BQ58" s="412"/>
      <c r="BR58" s="412"/>
      <c r="BS58" s="412"/>
      <c r="BT58" s="412"/>
      <c r="BU58" s="412"/>
      <c r="BV58" s="412"/>
      <c r="BW58" s="412"/>
      <c r="BX58" s="412"/>
      <c r="BY58" s="412"/>
      <c r="BZ58" s="412"/>
      <c r="CA58" s="412"/>
      <c r="CB58" s="412"/>
      <c r="CC58" s="412"/>
      <c r="CD58" s="412"/>
      <c r="CE58" s="412"/>
      <c r="CF58" s="412"/>
      <c r="CG58" s="412"/>
      <c r="CH58" s="412"/>
      <c r="CI58" s="412"/>
      <c r="CJ58" s="412"/>
      <c r="CK58" s="412"/>
      <c r="CL58" s="412"/>
      <c r="CM58" s="412"/>
      <c r="CN58" s="412"/>
      <c r="CO58" s="412"/>
      <c r="CP58" s="412"/>
      <c r="CQ58" s="412"/>
      <c r="CR58" s="412"/>
      <c r="CS58" s="412"/>
      <c r="CT58" s="412"/>
      <c r="CU58" s="412"/>
      <c r="CV58" s="412"/>
      <c r="CW58" s="412"/>
      <c r="CX58" s="412"/>
      <c r="CY58" s="412"/>
      <c r="CZ58" s="412"/>
      <c r="DA58" s="412"/>
      <c r="DB58" s="412"/>
      <c r="DC58" s="412"/>
      <c r="DD58" s="412"/>
      <c r="DE58" s="412"/>
      <c r="DF58" s="412"/>
      <c r="DG58" s="412"/>
      <c r="DH58" s="412"/>
      <c r="DI58" s="412"/>
      <c r="DJ58" s="412"/>
      <c r="DK58" s="412"/>
      <c r="DL58" s="412"/>
      <c r="DM58" s="412"/>
      <c r="DN58" s="412"/>
      <c r="DO58" s="412"/>
      <c r="DP58" s="412"/>
      <c r="DQ58" s="412"/>
      <c r="DR58" s="412"/>
      <c r="DS58" s="412"/>
      <c r="DT58" s="412"/>
      <c r="DU58" s="412"/>
      <c r="DV58" s="412"/>
      <c r="DW58" s="412"/>
      <c r="DX58" s="412"/>
      <c r="DY58" s="412"/>
      <c r="DZ58" s="412"/>
      <c r="EA58" s="412"/>
      <c r="EB58" s="412"/>
      <c r="EC58" s="412"/>
      <c r="ED58" s="412"/>
      <c r="EE58" s="412"/>
      <c r="EF58" s="412"/>
      <c r="EG58" s="412"/>
      <c r="EH58" s="412"/>
      <c r="EI58" s="412"/>
      <c r="EJ58" s="412"/>
      <c r="EK58" s="412"/>
      <c r="EL58" s="412"/>
      <c r="EM58" s="412"/>
      <c r="EN58" s="412"/>
      <c r="EO58" s="412"/>
      <c r="EP58" s="412"/>
      <c r="EQ58" s="412"/>
      <c r="ER58" s="412"/>
      <c r="ES58" s="412"/>
      <c r="ET58" s="412"/>
      <c r="EU58" s="412"/>
      <c r="EV58" s="412"/>
      <c r="EW58" s="412"/>
      <c r="EX58" s="412"/>
      <c r="EY58" s="412"/>
      <c r="EZ58" s="412"/>
      <c r="FA58" s="412"/>
      <c r="FB58" s="412"/>
      <c r="FC58" s="412"/>
      <c r="FD58" s="412"/>
      <c r="FE58" s="412"/>
      <c r="FF58" s="412"/>
      <c r="FG58" s="412"/>
      <c r="FH58" s="412"/>
      <c r="FI58" s="412"/>
      <c r="FJ58" s="412"/>
      <c r="FK58" s="412"/>
      <c r="FL58" s="412"/>
      <c r="FM58" s="412"/>
      <c r="FN58" s="412"/>
      <c r="FO58" s="412"/>
      <c r="FP58" s="412"/>
      <c r="FQ58" s="412"/>
      <c r="FR58" s="412"/>
      <c r="FS58" s="412"/>
      <c r="FT58" s="412"/>
      <c r="FU58" s="412"/>
      <c r="FV58" s="412"/>
      <c r="FW58" s="412"/>
      <c r="FX58" s="412"/>
      <c r="FY58" s="412"/>
      <c r="FZ58" s="412"/>
      <c r="GA58" s="412"/>
      <c r="GB58" s="412"/>
      <c r="GC58" s="412"/>
      <c r="GD58" s="412"/>
      <c r="GE58" s="412"/>
      <c r="GF58" s="412"/>
      <c r="GG58" s="412"/>
      <c r="GH58" s="412"/>
      <c r="GI58" s="412"/>
      <c r="GJ58" s="412"/>
      <c r="GK58" s="412"/>
      <c r="GL58" s="412"/>
      <c r="GM58" s="412"/>
      <c r="GN58" s="412"/>
      <c r="GO58" s="412"/>
      <c r="GP58" s="412"/>
      <c r="GQ58" s="412"/>
      <c r="GR58" s="412"/>
      <c r="GS58" s="412"/>
      <c r="GT58" s="412"/>
      <c r="GU58" s="412"/>
      <c r="GV58" s="412"/>
      <c r="GW58" s="412"/>
      <c r="GX58" s="412"/>
      <c r="GY58" s="412"/>
      <c r="GZ58" s="412"/>
      <c r="HA58" s="412"/>
      <c r="HB58" s="412"/>
      <c r="HC58" s="412"/>
      <c r="HD58" s="412"/>
      <c r="HE58" s="412"/>
      <c r="HF58" s="412"/>
      <c r="HG58" s="412"/>
      <c r="HH58" s="412"/>
      <c r="HI58" s="412"/>
      <c r="HJ58" s="412"/>
      <c r="HK58" s="412"/>
      <c r="HL58" s="412"/>
      <c r="HM58" s="412"/>
      <c r="HN58" s="412"/>
      <c r="HO58" s="412"/>
      <c r="HP58" s="412"/>
      <c r="HQ58" s="412"/>
      <c r="HR58" s="412"/>
      <c r="HS58" s="412"/>
      <c r="HT58" s="412"/>
      <c r="HU58" s="412"/>
      <c r="HV58" s="412"/>
      <c r="HW58" s="412"/>
      <c r="HX58" s="412"/>
      <c r="HY58" s="412"/>
      <c r="HZ58" s="412"/>
      <c r="IA58" s="412"/>
      <c r="IB58" s="412"/>
      <c r="IC58" s="412"/>
      <c r="ID58" s="412"/>
      <c r="IE58" s="412"/>
      <c r="IF58" s="412"/>
      <c r="IG58" s="412"/>
      <c r="IH58" s="412"/>
      <c r="II58" s="412"/>
      <c r="IJ58" s="412"/>
      <c r="IK58" s="412"/>
      <c r="IL58" s="412"/>
      <c r="IM58" s="412"/>
      <c r="IN58" s="412"/>
      <c r="IO58" s="412"/>
      <c r="IP58" s="412"/>
      <c r="IQ58" s="412"/>
      <c r="IR58" s="412"/>
      <c r="IS58" s="412"/>
      <c r="IT58" s="412"/>
      <c r="IU58" s="412"/>
      <c r="IV58" s="412"/>
      <c r="IW58" s="412"/>
      <c r="IX58" s="412"/>
      <c r="IY58" s="412"/>
      <c r="IZ58" s="412"/>
      <c r="JA58" s="412"/>
      <c r="JB58" s="412"/>
      <c r="JC58" s="412"/>
      <c r="JD58" s="412"/>
      <c r="JE58" s="412"/>
      <c r="JF58" s="412"/>
      <c r="JG58" s="412"/>
      <c r="JH58" s="412"/>
      <c r="JI58" s="412"/>
      <c r="JJ58" s="412"/>
      <c r="JK58" s="412"/>
      <c r="JL58" s="412"/>
      <c r="JM58" s="412"/>
      <c r="JN58" s="412"/>
      <c r="JO58" s="412"/>
      <c r="JP58" s="412"/>
      <c r="JQ58" s="412"/>
      <c r="JR58" s="412"/>
      <c r="JS58" s="412"/>
      <c r="JT58" s="412"/>
      <c r="JU58" s="412"/>
      <c r="JV58" s="412"/>
      <c r="JW58" s="412"/>
      <c r="JX58" s="412"/>
      <c r="JY58" s="412"/>
      <c r="JZ58" s="412"/>
      <c r="KA58" s="412"/>
      <c r="KB58" s="412"/>
      <c r="KC58" s="412"/>
      <c r="KD58" s="412"/>
      <c r="KE58" s="412"/>
      <c r="KF58" s="412"/>
      <c r="KG58" s="412"/>
      <c r="KH58" s="412"/>
      <c r="KI58" s="412"/>
      <c r="KJ58" s="412"/>
      <c r="KK58" s="412"/>
      <c r="KL58" s="412"/>
      <c r="KM58" s="412"/>
      <c r="KN58" s="412"/>
      <c r="KO58" s="412"/>
      <c r="KP58" s="412"/>
      <c r="KQ58" s="412"/>
      <c r="KR58" s="412"/>
      <c r="KS58" s="412"/>
      <c r="KT58" s="412"/>
      <c r="KU58" s="412"/>
      <c r="KV58" s="412"/>
      <c r="KW58" s="412"/>
      <c r="KX58" s="412"/>
      <c r="KY58" s="412"/>
      <c r="KZ58" s="412"/>
      <c r="LA58" s="412"/>
      <c r="LB58" s="412"/>
      <c r="LC58" s="412"/>
      <c r="LD58" s="412"/>
      <c r="LE58" s="412"/>
      <c r="LF58" s="412"/>
      <c r="LG58" s="412"/>
      <c r="LH58" s="412"/>
      <c r="LI58" s="412"/>
      <c r="LJ58" s="412"/>
      <c r="LK58" s="412"/>
      <c r="LL58" s="412"/>
      <c r="LM58" s="412"/>
      <c r="LN58" s="412"/>
      <c r="LO58" s="412"/>
      <c r="LP58" s="412"/>
      <c r="LQ58" s="412"/>
      <c r="LR58" s="412"/>
      <c r="LS58" s="412"/>
      <c r="LT58" s="412"/>
      <c r="LU58" s="412"/>
      <c r="LV58" s="412"/>
      <c r="LW58" s="412"/>
      <c r="LX58" s="412"/>
      <c r="LY58" s="412"/>
      <c r="LZ58" s="412"/>
      <c r="MA58" s="412"/>
      <c r="MB58" s="412"/>
      <c r="MC58" s="412"/>
      <c r="MD58" s="412"/>
      <c r="ME58" s="412"/>
      <c r="MF58" s="412"/>
      <c r="MG58" s="412"/>
      <c r="MH58" s="412"/>
      <c r="MI58" s="412"/>
      <c r="MJ58" s="412"/>
      <c r="MK58" s="412"/>
      <c r="ML58" s="412"/>
      <c r="MM58" s="412"/>
      <c r="MN58" s="412"/>
      <c r="MO58" s="412"/>
      <c r="MP58" s="412"/>
      <c r="MQ58" s="412"/>
      <c r="MR58" s="412"/>
      <c r="MS58" s="412"/>
      <c r="MT58" s="412"/>
      <c r="MU58" s="412"/>
      <c r="MV58" s="412"/>
      <c r="MW58" s="412"/>
      <c r="MX58" s="412"/>
      <c r="MY58" s="412"/>
      <c r="MZ58" s="412"/>
      <c r="NA58" s="412"/>
      <c r="NB58" s="412"/>
      <c r="NC58" s="412"/>
      <c r="ND58" s="412"/>
      <c r="NE58" s="412"/>
      <c r="NF58" s="412"/>
      <c r="NG58" s="412"/>
      <c r="NH58" s="412"/>
      <c r="NI58" s="412"/>
      <c r="NJ58" s="412"/>
      <c r="NK58" s="412"/>
      <c r="NL58" s="412"/>
      <c r="NM58" s="412"/>
      <c r="NN58" s="412"/>
      <c r="NO58" s="412"/>
      <c r="NP58" s="412"/>
      <c r="NQ58" s="412"/>
      <c r="NR58" s="412"/>
      <c r="NS58" s="412"/>
      <c r="NT58" s="412"/>
      <c r="NU58" s="412"/>
      <c r="NV58" s="412"/>
      <c r="NW58" s="412"/>
      <c r="NX58" s="412"/>
      <c r="NY58" s="412"/>
      <c r="NZ58" s="412"/>
      <c r="OA58" s="412"/>
      <c r="OB58" s="412"/>
      <c r="OC58" s="412"/>
      <c r="OD58" s="412"/>
      <c r="OE58" s="412"/>
      <c r="OF58" s="412"/>
      <c r="OG58" s="412"/>
      <c r="OH58" s="412"/>
      <c r="OI58" s="412"/>
      <c r="OJ58" s="412"/>
      <c r="OK58" s="412"/>
      <c r="OL58" s="412"/>
      <c r="OM58" s="412"/>
      <c r="ON58" s="412"/>
      <c r="OO58" s="412"/>
      <c r="OP58" s="412"/>
      <c r="OQ58" s="412"/>
      <c r="OR58" s="412"/>
      <c r="OS58" s="412"/>
      <c r="OT58" s="412"/>
      <c r="OU58" s="412"/>
      <c r="OV58" s="412"/>
      <c r="OW58" s="412"/>
      <c r="OX58" s="412"/>
      <c r="OY58" s="412"/>
      <c r="OZ58" s="412"/>
      <c r="PA58" s="412"/>
      <c r="PB58" s="412"/>
      <c r="PC58" s="412"/>
      <c r="PD58" s="412"/>
      <c r="PE58" s="412"/>
      <c r="PF58" s="412"/>
      <c r="PG58" s="412"/>
      <c r="PH58" s="412"/>
      <c r="PI58" s="412"/>
      <c r="PJ58" s="412"/>
      <c r="PK58" s="412"/>
      <c r="PL58" s="412"/>
      <c r="PM58" s="412"/>
      <c r="PN58" s="412"/>
      <c r="PO58" s="412"/>
      <c r="PP58" s="412"/>
      <c r="PQ58" s="412"/>
      <c r="PR58" s="412"/>
      <c r="PS58" s="412"/>
      <c r="PT58" s="412"/>
      <c r="PU58" s="412"/>
      <c r="PV58" s="412"/>
      <c r="PW58" s="412"/>
      <c r="PX58" s="412"/>
      <c r="PY58" s="412"/>
      <c r="PZ58" s="412"/>
      <c r="QA58" s="412"/>
      <c r="QB58" s="412"/>
      <c r="QC58" s="412"/>
      <c r="QD58" s="412"/>
      <c r="QE58" s="412"/>
      <c r="QF58" s="412"/>
      <c r="QG58" s="412"/>
      <c r="QH58" s="412"/>
      <c r="QI58" s="412"/>
      <c r="QJ58" s="412"/>
      <c r="QK58" s="412"/>
      <c r="QL58" s="412"/>
      <c r="QM58" s="412"/>
      <c r="QN58" s="412"/>
      <c r="QO58" s="412"/>
      <c r="QP58" s="412"/>
      <c r="QQ58" s="412"/>
      <c r="QR58" s="412"/>
      <c r="QS58" s="412"/>
      <c r="QT58" s="412"/>
      <c r="QU58" s="412"/>
      <c r="QV58" s="412"/>
      <c r="QW58" s="412"/>
      <c r="QX58" s="412"/>
      <c r="QY58" s="412"/>
      <c r="QZ58" s="412"/>
      <c r="RA58" s="412"/>
      <c r="RB58" s="412"/>
      <c r="RC58" s="412"/>
      <c r="RD58" s="412"/>
      <c r="RE58" s="412"/>
      <c r="RF58" s="412"/>
      <c r="RG58" s="412"/>
      <c r="RH58" s="412"/>
      <c r="RI58" s="412"/>
      <c r="RJ58" s="412"/>
      <c r="RK58" s="412"/>
      <c r="RL58" s="412"/>
      <c r="RM58" s="412"/>
      <c r="RN58" s="412"/>
      <c r="RO58" s="412"/>
      <c r="RP58" s="412"/>
      <c r="RQ58" s="412"/>
      <c r="RR58" s="412"/>
      <c r="RS58" s="412"/>
      <c r="RT58" s="412"/>
      <c r="RU58" s="412"/>
      <c r="RV58" s="412"/>
      <c r="RW58" s="412"/>
      <c r="RX58" s="412"/>
      <c r="RY58" s="412"/>
      <c r="RZ58" s="412"/>
      <c r="SA58" s="412"/>
      <c r="SB58" s="412"/>
      <c r="SC58" s="412"/>
      <c r="SD58" s="412"/>
      <c r="SE58" s="412"/>
      <c r="SF58" s="412"/>
      <c r="SG58" s="412"/>
      <c r="SH58" s="412"/>
      <c r="SI58" s="412"/>
      <c r="SJ58" s="412"/>
      <c r="SK58" s="412"/>
      <c r="SL58" s="412"/>
      <c r="SM58" s="412"/>
      <c r="SN58" s="412"/>
      <c r="SO58" s="412"/>
      <c r="SP58" s="412"/>
      <c r="SQ58" s="412"/>
      <c r="SR58" s="412"/>
      <c r="SS58" s="412"/>
      <c r="ST58" s="412"/>
      <c r="SU58" s="412"/>
      <c r="SV58" s="412"/>
      <c r="SW58" s="412"/>
      <c r="SX58" s="412"/>
      <c r="SY58" s="412"/>
      <c r="SZ58" s="412"/>
      <c r="TA58" s="412"/>
      <c r="TB58" s="412"/>
      <c r="TC58" s="412"/>
      <c r="TD58" s="412"/>
      <c r="TE58" s="412"/>
      <c r="TF58" s="412"/>
      <c r="TG58" s="412"/>
      <c r="TH58" s="412"/>
      <c r="TI58" s="412"/>
      <c r="TJ58" s="412"/>
      <c r="TK58" s="412"/>
      <c r="TL58" s="412"/>
      <c r="TM58" s="412"/>
      <c r="TN58" s="412"/>
      <c r="TO58" s="412"/>
      <c r="TP58" s="412"/>
      <c r="TQ58" s="412"/>
      <c r="TR58" s="412"/>
      <c r="TS58" s="412"/>
      <c r="TT58" s="412"/>
      <c r="TU58" s="412"/>
      <c r="TV58" s="412"/>
      <c r="TW58" s="412"/>
      <c r="TX58" s="412"/>
      <c r="TY58" s="412"/>
      <c r="TZ58" s="412"/>
      <c r="UA58" s="412"/>
      <c r="UB58" s="412"/>
      <c r="UC58" s="412"/>
      <c r="UD58" s="412"/>
      <c r="UE58" s="412"/>
      <c r="UF58" s="412"/>
      <c r="UG58" s="412"/>
      <c r="UH58" s="412"/>
      <c r="UI58" s="412"/>
      <c r="UJ58" s="412"/>
      <c r="UK58" s="412"/>
      <c r="UL58" s="412"/>
      <c r="UM58" s="412"/>
      <c r="UN58" s="412"/>
      <c r="UO58" s="412"/>
      <c r="UP58" s="412"/>
      <c r="UQ58" s="412"/>
      <c r="UR58" s="412"/>
      <c r="US58" s="412"/>
      <c r="UT58" s="412"/>
      <c r="UU58" s="412"/>
      <c r="UV58" s="412"/>
      <c r="UW58" s="412"/>
      <c r="UX58" s="412"/>
      <c r="UY58" s="412"/>
      <c r="UZ58" s="412"/>
      <c r="VA58" s="412"/>
      <c r="VB58" s="412"/>
      <c r="VC58" s="412"/>
      <c r="VD58" s="412"/>
      <c r="VE58" s="412"/>
      <c r="VF58" s="412"/>
      <c r="VG58" s="412"/>
      <c r="VH58" s="412"/>
      <c r="VI58" s="412"/>
      <c r="VJ58" s="412"/>
      <c r="VK58" s="412"/>
      <c r="VL58" s="412"/>
      <c r="VM58" s="412"/>
      <c r="VN58" s="412"/>
      <c r="VO58" s="412"/>
      <c r="VP58" s="412"/>
      <c r="VQ58" s="412"/>
      <c r="VR58" s="412"/>
      <c r="VS58" s="412"/>
      <c r="VT58" s="412"/>
      <c r="VU58" s="412"/>
      <c r="VV58" s="412"/>
      <c r="VW58" s="412"/>
      <c r="VX58" s="412"/>
      <c r="VY58" s="412"/>
      <c r="VZ58" s="412"/>
      <c r="WA58" s="412"/>
      <c r="WB58" s="412"/>
      <c r="WC58" s="412"/>
      <c r="WD58" s="412"/>
      <c r="WE58" s="412"/>
      <c r="WF58" s="412"/>
      <c r="WG58" s="412"/>
      <c r="WH58" s="412"/>
      <c r="WI58" s="412"/>
      <c r="WJ58" s="412"/>
      <c r="WK58" s="412"/>
      <c r="WL58" s="412"/>
      <c r="WM58" s="412"/>
      <c r="WN58" s="412"/>
      <c r="WO58" s="412"/>
      <c r="WP58" s="412"/>
      <c r="WQ58" s="412"/>
      <c r="WR58" s="412"/>
      <c r="WS58" s="412"/>
      <c r="WT58" s="412"/>
      <c r="WU58" s="412"/>
      <c r="WV58" s="412"/>
      <c r="WW58" s="412"/>
      <c r="WX58" s="412"/>
      <c r="WY58" s="412"/>
      <c r="WZ58" s="412"/>
      <c r="XA58" s="412"/>
      <c r="XB58" s="412"/>
      <c r="XC58" s="412"/>
      <c r="XD58" s="412"/>
      <c r="XE58" s="412"/>
      <c r="XF58" s="412"/>
      <c r="XG58" s="412"/>
      <c r="XH58" s="412"/>
      <c r="XI58" s="412"/>
      <c r="XJ58" s="412"/>
      <c r="XK58" s="412"/>
      <c r="XL58" s="412"/>
      <c r="XM58" s="412"/>
      <c r="XN58" s="412"/>
      <c r="XO58" s="412"/>
      <c r="XP58" s="412"/>
      <c r="XQ58" s="412"/>
      <c r="XR58" s="412"/>
      <c r="XS58" s="412"/>
      <c r="XT58" s="412"/>
      <c r="XU58" s="412"/>
      <c r="XV58" s="412"/>
      <c r="XW58" s="412"/>
      <c r="XX58" s="412"/>
      <c r="XY58" s="412"/>
      <c r="XZ58" s="412"/>
      <c r="YA58" s="412"/>
      <c r="YB58" s="412"/>
      <c r="YC58" s="412"/>
      <c r="YD58" s="412"/>
      <c r="YE58" s="412"/>
      <c r="YF58" s="412"/>
      <c r="YG58" s="412"/>
      <c r="YH58" s="412"/>
      <c r="YI58" s="412"/>
      <c r="YJ58" s="412"/>
      <c r="YK58" s="412"/>
      <c r="YL58" s="412"/>
      <c r="YM58" s="412"/>
      <c r="YN58" s="412"/>
      <c r="YO58" s="412"/>
      <c r="YP58" s="412"/>
      <c r="YQ58" s="412"/>
      <c r="YR58" s="412"/>
      <c r="YS58" s="412"/>
      <c r="YT58" s="412"/>
      <c r="YU58" s="412"/>
      <c r="YV58" s="412"/>
      <c r="YW58" s="412"/>
      <c r="YX58" s="412"/>
      <c r="YY58" s="412"/>
      <c r="YZ58" s="412"/>
      <c r="ZA58" s="412"/>
      <c r="ZB58" s="412"/>
      <c r="ZC58" s="412"/>
      <c r="ZD58" s="412"/>
      <c r="ZE58" s="412"/>
      <c r="ZF58" s="412"/>
      <c r="ZG58" s="412"/>
      <c r="ZH58" s="412"/>
      <c r="ZI58" s="412"/>
      <c r="ZJ58" s="412"/>
      <c r="ZK58" s="412"/>
      <c r="ZL58" s="412"/>
      <c r="ZM58" s="412"/>
      <c r="ZN58" s="412"/>
      <c r="ZO58" s="412"/>
      <c r="ZP58" s="412"/>
      <c r="ZQ58" s="412"/>
      <c r="ZR58" s="412"/>
      <c r="ZS58" s="412"/>
      <c r="ZT58" s="412"/>
      <c r="ZU58" s="412"/>
      <c r="ZV58" s="412"/>
      <c r="ZW58" s="412"/>
      <c r="ZX58" s="412"/>
      <c r="ZY58" s="412"/>
      <c r="ZZ58" s="412"/>
      <c r="AAA58" s="412"/>
      <c r="AAB58" s="412"/>
      <c r="AAC58" s="412"/>
      <c r="AAD58" s="412"/>
      <c r="AAE58" s="412"/>
      <c r="AAF58" s="412"/>
      <c r="AAG58" s="412"/>
      <c r="AAH58" s="412"/>
      <c r="AAI58" s="412"/>
      <c r="AAJ58" s="412"/>
      <c r="AAK58" s="412"/>
      <c r="AAL58" s="412"/>
      <c r="AAM58" s="412"/>
      <c r="AAN58" s="412"/>
      <c r="AAO58" s="412"/>
      <c r="AAP58" s="412"/>
      <c r="AAQ58" s="412"/>
      <c r="AAR58" s="412"/>
      <c r="AAS58" s="412"/>
      <c r="AAT58" s="412"/>
      <c r="AAU58" s="412"/>
      <c r="AAV58" s="412"/>
      <c r="AAW58" s="412"/>
      <c r="AAX58" s="412"/>
      <c r="AAY58" s="412"/>
      <c r="AAZ58" s="412"/>
      <c r="ABA58" s="412"/>
      <c r="ABB58" s="412"/>
      <c r="ABC58" s="412"/>
      <c r="ABD58" s="412"/>
      <c r="ABE58" s="412"/>
      <c r="ABF58" s="412"/>
      <c r="ABG58" s="412"/>
      <c r="ABH58" s="412"/>
      <c r="ABI58" s="412"/>
      <c r="ABJ58" s="412"/>
      <c r="ABK58" s="412"/>
      <c r="ABL58" s="412"/>
      <c r="ABM58" s="412"/>
      <c r="ABN58" s="412"/>
      <c r="ABO58" s="412"/>
      <c r="ABP58" s="412"/>
      <c r="ABQ58" s="412"/>
      <c r="ABR58" s="412"/>
      <c r="ABS58" s="412"/>
      <c r="ABT58" s="412"/>
      <c r="ABU58" s="412"/>
      <c r="ABV58" s="412"/>
      <c r="ABW58" s="412"/>
      <c r="ABX58" s="412"/>
      <c r="ABY58" s="412"/>
      <c r="ABZ58" s="412"/>
      <c r="ACA58" s="412"/>
      <c r="ACB58" s="412"/>
      <c r="ACC58" s="412"/>
      <c r="ACD58" s="412"/>
      <c r="ACE58" s="412"/>
      <c r="ACF58" s="412"/>
      <c r="ACG58" s="412"/>
      <c r="ACH58" s="412"/>
      <c r="ACI58" s="412"/>
      <c r="ACJ58" s="412"/>
      <c r="ACK58" s="412"/>
      <c r="ACL58" s="412"/>
      <c r="ACM58" s="412"/>
      <c r="ACN58" s="412"/>
      <c r="ACO58" s="412"/>
      <c r="ACP58" s="412"/>
      <c r="ACQ58" s="412"/>
      <c r="ACR58" s="412"/>
      <c r="ACS58" s="412"/>
      <c r="ACT58" s="412"/>
      <c r="ACU58" s="412"/>
      <c r="ACV58" s="412"/>
      <c r="ACW58" s="412"/>
      <c r="ACX58" s="412"/>
      <c r="ACY58" s="412"/>
      <c r="ACZ58" s="412"/>
      <c r="ADA58" s="412"/>
      <c r="ADB58" s="412"/>
      <c r="ADC58" s="412"/>
      <c r="ADD58" s="412"/>
      <c r="ADE58" s="412"/>
      <c r="ADF58" s="412"/>
      <c r="ADG58" s="412"/>
      <c r="ADH58" s="412"/>
      <c r="ADI58" s="412"/>
      <c r="ADJ58" s="412"/>
      <c r="ADK58" s="412"/>
      <c r="ADL58" s="412"/>
      <c r="ADM58" s="412"/>
      <c r="ADN58" s="412"/>
      <c r="ADO58" s="412"/>
      <c r="ADP58" s="412"/>
      <c r="ADQ58" s="412"/>
      <c r="ADR58" s="412"/>
      <c r="ADS58" s="412"/>
      <c r="ADT58" s="412"/>
      <c r="ADU58" s="412"/>
      <c r="ADV58" s="412"/>
      <c r="ADW58" s="412"/>
      <c r="ADX58" s="412"/>
      <c r="ADY58" s="412"/>
      <c r="ADZ58" s="412"/>
      <c r="AEA58" s="412"/>
      <c r="AEB58" s="412"/>
      <c r="AEC58" s="412"/>
      <c r="AED58" s="412"/>
      <c r="AEE58" s="412"/>
      <c r="AEF58" s="412"/>
      <c r="AEG58" s="412"/>
      <c r="AEH58" s="412"/>
      <c r="AEI58" s="412"/>
      <c r="AEJ58" s="412"/>
      <c r="AEK58" s="412"/>
      <c r="AEL58" s="412"/>
      <c r="AEM58" s="412"/>
      <c r="AEN58" s="412"/>
      <c r="AEO58" s="412"/>
      <c r="AEP58" s="412"/>
      <c r="AEQ58" s="412"/>
      <c r="AER58" s="412"/>
      <c r="AES58" s="412"/>
      <c r="AET58" s="412"/>
      <c r="AEU58" s="412"/>
      <c r="AEV58" s="412"/>
      <c r="AEW58" s="412"/>
      <c r="AEX58" s="412"/>
      <c r="AEY58" s="412"/>
      <c r="AEZ58" s="412"/>
      <c r="AFA58" s="412"/>
      <c r="AFB58" s="412"/>
      <c r="AFC58" s="412"/>
      <c r="AFD58" s="412"/>
      <c r="AFE58" s="412"/>
      <c r="AFF58" s="412"/>
      <c r="AFG58" s="412"/>
      <c r="AFH58" s="412"/>
      <c r="AFI58" s="412"/>
      <c r="AFJ58" s="412"/>
      <c r="AFK58" s="412"/>
      <c r="AFL58" s="412"/>
      <c r="AFM58" s="412"/>
      <c r="AFN58" s="412"/>
      <c r="AFO58" s="412"/>
      <c r="AFP58" s="412"/>
      <c r="AFQ58" s="412"/>
      <c r="AFR58" s="412"/>
      <c r="AFS58" s="412"/>
      <c r="AFT58" s="412"/>
      <c r="AFU58" s="412"/>
      <c r="AFV58" s="412"/>
      <c r="AFW58" s="412"/>
      <c r="AFX58" s="412"/>
      <c r="AFY58" s="412"/>
      <c r="AFZ58" s="412"/>
      <c r="AGA58" s="412"/>
      <c r="AGB58" s="412"/>
      <c r="AGC58" s="412"/>
      <c r="AGD58" s="412"/>
      <c r="AGE58" s="412"/>
      <c r="AGF58" s="412"/>
      <c r="AGG58" s="412"/>
      <c r="AGH58" s="412"/>
      <c r="AGI58" s="412"/>
      <c r="AGJ58" s="412"/>
      <c r="AGK58" s="412"/>
      <c r="AGL58" s="412"/>
      <c r="AGM58" s="412"/>
      <c r="AGN58" s="412"/>
      <c r="AGO58" s="412"/>
      <c r="AGP58" s="412"/>
      <c r="AGQ58" s="412"/>
      <c r="AGR58" s="412"/>
      <c r="AGS58" s="412"/>
      <c r="AGT58" s="412"/>
      <c r="AGU58" s="412"/>
      <c r="AGV58" s="412"/>
      <c r="AGW58" s="412"/>
      <c r="AGX58" s="412"/>
      <c r="AGY58" s="412"/>
      <c r="AGZ58" s="412"/>
      <c r="AHA58" s="412"/>
      <c r="AHB58" s="412"/>
      <c r="AHC58" s="412"/>
      <c r="AHD58" s="412"/>
      <c r="AHE58" s="412"/>
      <c r="AHF58" s="412"/>
      <c r="AHG58" s="412"/>
      <c r="AHH58" s="412"/>
      <c r="AHI58" s="412"/>
      <c r="AHJ58" s="412"/>
      <c r="AHK58" s="412"/>
      <c r="AHL58" s="412"/>
      <c r="AHM58" s="412"/>
      <c r="AHN58" s="412"/>
      <c r="AHO58" s="412"/>
      <c r="AHP58" s="412"/>
      <c r="AHQ58" s="412"/>
      <c r="AHR58" s="412"/>
      <c r="AHS58" s="412"/>
      <c r="AHT58" s="412"/>
      <c r="AHU58" s="412"/>
      <c r="AHV58" s="412"/>
      <c r="AHW58" s="412"/>
      <c r="AHX58" s="412"/>
      <c r="AHY58" s="412"/>
      <c r="AHZ58" s="412"/>
      <c r="AIA58" s="412"/>
      <c r="AIB58" s="412"/>
      <c r="AIC58" s="412"/>
      <c r="AID58" s="412"/>
      <c r="AIE58" s="412"/>
      <c r="AIF58" s="412"/>
      <c r="AIG58" s="412"/>
      <c r="AIH58" s="412"/>
      <c r="AII58" s="412"/>
      <c r="AIJ58" s="412"/>
      <c r="AIK58" s="412"/>
      <c r="AIL58" s="412"/>
      <c r="AIM58" s="412"/>
      <c r="AIN58" s="412"/>
      <c r="AIO58" s="412"/>
      <c r="AIP58" s="412"/>
      <c r="AIQ58" s="412"/>
      <c r="AIR58" s="412"/>
      <c r="AIS58" s="412"/>
      <c r="AIT58" s="412"/>
      <c r="AIU58" s="412"/>
      <c r="AIV58" s="412"/>
      <c r="AIW58" s="412"/>
      <c r="AIX58" s="412"/>
      <c r="AIY58" s="412"/>
      <c r="AIZ58" s="412"/>
      <c r="AJA58" s="412"/>
      <c r="AJB58" s="412"/>
      <c r="AJC58" s="412"/>
      <c r="AJD58" s="412"/>
      <c r="AJE58" s="412"/>
      <c r="AJF58" s="412"/>
      <c r="AJG58" s="412"/>
      <c r="AJH58" s="412"/>
      <c r="AJI58" s="412"/>
      <c r="AJJ58" s="412"/>
      <c r="AJK58" s="412"/>
      <c r="AJL58" s="412"/>
      <c r="AJM58" s="412"/>
      <c r="AJN58" s="412"/>
      <c r="AJO58" s="412"/>
      <c r="AJP58" s="412"/>
      <c r="AJQ58" s="412"/>
      <c r="AJR58" s="412"/>
      <c r="AJS58" s="412"/>
      <c r="AJT58" s="412"/>
      <c r="AJU58" s="412"/>
      <c r="AJV58" s="412"/>
      <c r="AJW58" s="412"/>
      <c r="AJX58" s="412"/>
      <c r="AJY58" s="412"/>
      <c r="AJZ58" s="412"/>
      <c r="AKA58" s="412"/>
      <c r="AKB58" s="412"/>
      <c r="AKC58" s="412"/>
      <c r="AKD58" s="412"/>
      <c r="AKE58" s="412"/>
      <c r="AKF58" s="412"/>
      <c r="AKG58" s="412"/>
      <c r="AKH58" s="412"/>
      <c r="AKI58" s="412"/>
      <c r="AKJ58" s="412"/>
      <c r="AKK58" s="412"/>
      <c r="AKL58" s="412"/>
      <c r="AKM58" s="412"/>
      <c r="AKN58" s="412"/>
      <c r="AKO58" s="412"/>
      <c r="AKP58" s="412"/>
      <c r="AKQ58" s="412"/>
      <c r="AKR58" s="412"/>
      <c r="AKS58" s="412"/>
      <c r="AKT58" s="412"/>
      <c r="AKU58" s="412"/>
      <c r="AKV58" s="412"/>
      <c r="AKW58" s="412"/>
      <c r="AKX58" s="412"/>
      <c r="AKY58" s="412"/>
      <c r="AKZ58" s="412"/>
      <c r="ALA58" s="412"/>
      <c r="ALB58" s="412"/>
      <c r="ALC58" s="412"/>
      <c r="ALD58" s="412"/>
      <c r="ALE58" s="412"/>
      <c r="ALF58" s="412"/>
      <c r="ALG58" s="412"/>
      <c r="ALH58" s="412"/>
      <c r="ALI58" s="412"/>
      <c r="ALJ58" s="412"/>
      <c r="ALK58" s="412"/>
      <c r="ALL58" s="412"/>
      <c r="ALM58" s="412"/>
      <c r="ALN58" s="412"/>
      <c r="ALO58" s="412"/>
      <c r="ALP58" s="412"/>
      <c r="ALQ58" s="412"/>
      <c r="ALR58" s="412"/>
      <c r="ALS58" s="412"/>
      <c r="ALT58" s="412"/>
      <c r="ALU58" s="412"/>
      <c r="ALV58" s="412"/>
      <c r="ALW58" s="412"/>
      <c r="ALX58" s="412"/>
      <c r="ALY58" s="412"/>
      <c r="ALZ58" s="412"/>
      <c r="AMA58" s="412"/>
      <c r="AMB58" s="412"/>
      <c r="AMC58" s="412"/>
      <c r="AMD58" s="412"/>
      <c r="AME58" s="412"/>
      <c r="AMF58" s="412"/>
      <c r="AMG58" s="412"/>
      <c r="AMH58" s="412"/>
      <c r="AMI58" s="412"/>
      <c r="AMJ58" s="412"/>
      <c r="AMK58" s="412"/>
      <c r="AML58" s="412"/>
      <c r="AMM58" s="412"/>
      <c r="AMN58" s="412"/>
      <c r="AMO58" s="412"/>
      <c r="AMP58" s="412"/>
      <c r="AMQ58" s="412"/>
      <c r="AMR58" s="412"/>
      <c r="AMS58" s="412"/>
      <c r="AMT58" s="412"/>
      <c r="AMU58" s="412"/>
      <c r="AMV58" s="412"/>
      <c r="AMW58" s="412"/>
      <c r="AMX58" s="412"/>
      <c r="AMY58" s="412"/>
      <c r="AMZ58" s="412"/>
      <c r="ANA58" s="412"/>
      <c r="ANB58" s="412"/>
      <c r="ANC58" s="412"/>
      <c r="AND58" s="412"/>
      <c r="ANE58" s="412"/>
      <c r="ANF58" s="412"/>
      <c r="ANG58" s="412"/>
      <c r="ANH58" s="412"/>
      <c r="ANI58" s="412"/>
      <c r="ANJ58" s="412"/>
      <c r="ANK58" s="412"/>
      <c r="ANL58" s="412"/>
      <c r="ANM58" s="412"/>
      <c r="ANN58" s="412"/>
      <c r="ANO58" s="412"/>
      <c r="ANP58" s="412"/>
      <c r="ANQ58" s="412"/>
      <c r="ANR58" s="412"/>
      <c r="ANS58" s="412"/>
      <c r="ANT58" s="412"/>
      <c r="ANU58" s="412"/>
      <c r="ANV58" s="412"/>
      <c r="ANW58" s="412"/>
      <c r="ANX58" s="412"/>
      <c r="ANY58" s="412"/>
      <c r="ANZ58" s="412"/>
      <c r="AOA58" s="412"/>
      <c r="AOB58" s="412"/>
      <c r="AOC58" s="412"/>
      <c r="AOD58" s="412"/>
      <c r="AOE58" s="412"/>
      <c r="AOF58" s="412"/>
      <c r="AOG58" s="412"/>
      <c r="AOH58" s="412"/>
      <c r="AOI58" s="412"/>
      <c r="AOJ58" s="412"/>
      <c r="AOK58" s="412"/>
      <c r="AOL58" s="412"/>
      <c r="AOM58" s="412"/>
      <c r="AON58" s="412"/>
      <c r="AOO58" s="412"/>
      <c r="AOP58" s="412"/>
      <c r="AOQ58" s="412"/>
      <c r="AOR58" s="412"/>
      <c r="AOS58" s="412"/>
      <c r="AOT58" s="412"/>
      <c r="AOU58" s="412"/>
      <c r="AOV58" s="412"/>
      <c r="AOW58" s="412"/>
      <c r="AOX58" s="412"/>
      <c r="AOY58" s="412"/>
      <c r="AOZ58" s="412"/>
      <c r="APA58" s="412"/>
      <c r="APB58" s="412"/>
      <c r="APC58" s="412"/>
      <c r="APD58" s="412"/>
      <c r="APE58" s="412"/>
      <c r="APF58" s="412"/>
      <c r="APG58" s="412"/>
      <c r="APH58" s="412"/>
      <c r="API58" s="412"/>
      <c r="APJ58" s="412"/>
      <c r="APK58" s="412"/>
      <c r="APL58" s="412"/>
      <c r="APM58" s="412"/>
      <c r="APN58" s="412"/>
      <c r="APO58" s="412"/>
      <c r="APP58" s="412"/>
      <c r="APQ58" s="412"/>
      <c r="APR58" s="412"/>
      <c r="APS58" s="412"/>
      <c r="APT58" s="412"/>
      <c r="APU58" s="412"/>
      <c r="APV58" s="412"/>
      <c r="APW58" s="412"/>
      <c r="APX58" s="412"/>
      <c r="APY58" s="412"/>
      <c r="APZ58" s="412"/>
      <c r="AQA58" s="412"/>
      <c r="AQB58" s="412"/>
      <c r="AQC58" s="412"/>
      <c r="AQD58" s="412"/>
      <c r="AQE58" s="412"/>
      <c r="AQF58" s="412"/>
      <c r="AQG58" s="412"/>
      <c r="AQH58" s="412"/>
      <c r="AQI58" s="412"/>
      <c r="AQJ58" s="412"/>
      <c r="AQK58" s="412"/>
      <c r="AQL58" s="412"/>
      <c r="AQM58" s="412"/>
      <c r="AQN58" s="412"/>
      <c r="AQO58" s="412"/>
      <c r="AQP58" s="412"/>
      <c r="AQQ58" s="412"/>
      <c r="AQR58" s="412"/>
      <c r="AQS58" s="412"/>
      <c r="AQT58" s="412"/>
      <c r="AQU58" s="412"/>
      <c r="AQV58" s="412"/>
      <c r="AQW58" s="412"/>
      <c r="AQX58" s="412"/>
      <c r="AQY58" s="412"/>
      <c r="AQZ58" s="412"/>
      <c r="ARA58" s="412"/>
      <c r="ARB58" s="412"/>
      <c r="ARC58" s="412"/>
      <c r="ARD58" s="412"/>
      <c r="ARE58" s="412"/>
      <c r="ARF58" s="412"/>
      <c r="ARG58" s="412"/>
      <c r="ARH58" s="412"/>
      <c r="ARI58" s="412"/>
      <c r="ARJ58" s="412"/>
      <c r="ARK58" s="412"/>
      <c r="ARL58" s="412"/>
      <c r="ARM58" s="412"/>
      <c r="ARN58" s="412"/>
      <c r="ARO58" s="412"/>
      <c r="ARP58" s="412"/>
      <c r="ARQ58" s="412"/>
      <c r="ARR58" s="412"/>
      <c r="ARS58" s="412"/>
      <c r="ART58" s="412"/>
      <c r="ARU58" s="412"/>
      <c r="ARV58" s="412"/>
      <c r="ARW58" s="412"/>
      <c r="ARX58" s="412"/>
      <c r="ARY58" s="412"/>
      <c r="ARZ58" s="412"/>
      <c r="ASA58" s="412"/>
      <c r="ASB58" s="412"/>
      <c r="ASC58" s="412"/>
      <c r="ASD58" s="412"/>
      <c r="ASE58" s="412"/>
      <c r="ASF58" s="412"/>
      <c r="ASG58" s="412"/>
      <c r="ASH58" s="412"/>
      <c r="ASI58" s="412"/>
      <c r="ASJ58" s="412"/>
      <c r="ASK58" s="412"/>
      <c r="ASL58" s="412"/>
      <c r="ASM58" s="412"/>
      <c r="ASN58" s="412"/>
      <c r="ASO58" s="412"/>
      <c r="ASP58" s="412"/>
      <c r="ASQ58" s="412"/>
      <c r="ASR58" s="412"/>
      <c r="ASS58" s="412"/>
      <c r="AST58" s="412"/>
      <c r="ASU58" s="412"/>
      <c r="ASV58" s="412"/>
      <c r="ASW58" s="412"/>
      <c r="ASX58" s="412"/>
      <c r="ASY58" s="412"/>
      <c r="ASZ58" s="412"/>
      <c r="ATA58" s="412"/>
      <c r="ATB58" s="412"/>
      <c r="ATC58" s="412"/>
      <c r="ATD58" s="412"/>
      <c r="ATE58" s="412"/>
      <c r="ATF58" s="412"/>
      <c r="ATG58" s="412"/>
      <c r="ATH58" s="412"/>
      <c r="ATI58" s="412"/>
      <c r="ATJ58" s="412"/>
      <c r="ATK58" s="412"/>
      <c r="ATL58" s="412"/>
      <c r="ATM58" s="412"/>
      <c r="ATN58" s="412"/>
      <c r="ATO58" s="412"/>
      <c r="ATP58" s="412"/>
      <c r="ATQ58" s="412"/>
      <c r="ATR58" s="412"/>
      <c r="ATS58" s="412"/>
      <c r="ATT58" s="412"/>
      <c r="ATU58" s="412"/>
      <c r="ATV58" s="412"/>
      <c r="ATW58" s="412"/>
      <c r="ATX58" s="412"/>
      <c r="ATY58" s="412"/>
      <c r="ATZ58" s="412"/>
      <c r="AUA58" s="412"/>
      <c r="AUB58" s="412"/>
      <c r="AUC58" s="412"/>
      <c r="AUD58" s="412"/>
      <c r="AUE58" s="412"/>
      <c r="AUF58" s="412"/>
      <c r="AUG58" s="412"/>
      <c r="AUH58" s="412"/>
      <c r="AUI58" s="412"/>
      <c r="AUJ58" s="412"/>
      <c r="AUK58" s="412"/>
      <c r="AUL58" s="412"/>
      <c r="AUM58" s="412"/>
      <c r="AUN58" s="412"/>
      <c r="AUO58" s="412"/>
      <c r="AUP58" s="412"/>
      <c r="AUQ58" s="412"/>
      <c r="AUR58" s="412"/>
      <c r="AUS58" s="412"/>
      <c r="AUT58" s="412"/>
      <c r="AUU58" s="412"/>
      <c r="AUV58" s="412"/>
      <c r="AUW58" s="412"/>
      <c r="AUX58" s="412"/>
      <c r="AUY58" s="412"/>
      <c r="AUZ58" s="412"/>
      <c r="AVA58" s="412"/>
      <c r="AVB58" s="412"/>
      <c r="AVC58" s="412"/>
      <c r="AVD58" s="412"/>
      <c r="AVE58" s="412"/>
      <c r="AVF58" s="412"/>
      <c r="AVG58" s="412"/>
      <c r="AVH58" s="412"/>
      <c r="AVI58" s="412"/>
      <c r="AVJ58" s="412"/>
      <c r="AVK58" s="412"/>
      <c r="AVL58" s="412"/>
      <c r="AVM58" s="412"/>
      <c r="AVN58" s="412"/>
      <c r="AVO58" s="412"/>
      <c r="AVP58" s="412"/>
      <c r="AVQ58" s="412"/>
      <c r="AVR58" s="412"/>
      <c r="AVS58" s="412"/>
      <c r="AVT58" s="412"/>
      <c r="AVU58" s="412"/>
      <c r="AVV58" s="412"/>
      <c r="AVW58" s="412"/>
      <c r="AVX58" s="412"/>
      <c r="AVY58" s="412"/>
      <c r="AVZ58" s="412"/>
      <c r="AWA58" s="412"/>
      <c r="AWB58" s="412"/>
      <c r="AWC58" s="412"/>
      <c r="AWD58" s="412"/>
      <c r="AWE58" s="412"/>
      <c r="AWF58" s="412"/>
      <c r="AWG58" s="412"/>
      <c r="AWH58" s="412"/>
      <c r="AWI58" s="412"/>
      <c r="AWJ58" s="412"/>
      <c r="AWK58" s="412"/>
      <c r="AWL58" s="412"/>
      <c r="AWM58" s="412"/>
      <c r="AWN58" s="412"/>
      <c r="AWO58" s="412"/>
      <c r="AWP58" s="412"/>
      <c r="AWQ58" s="412"/>
      <c r="AWR58" s="412"/>
      <c r="AWS58" s="412"/>
      <c r="AWT58" s="412"/>
      <c r="AWU58" s="412"/>
      <c r="AWV58" s="412"/>
      <c r="AWW58" s="412"/>
      <c r="AWX58" s="412"/>
      <c r="AWY58" s="412"/>
      <c r="AWZ58" s="412"/>
      <c r="AXA58" s="412"/>
      <c r="AXB58" s="412"/>
      <c r="AXC58" s="412"/>
      <c r="AXD58" s="412"/>
      <c r="AXE58" s="412"/>
      <c r="AXF58" s="412"/>
      <c r="AXG58" s="412"/>
      <c r="AXH58" s="412"/>
      <c r="AXI58" s="412"/>
      <c r="AXJ58" s="412"/>
      <c r="AXK58" s="412"/>
      <c r="AXL58" s="412"/>
      <c r="AXM58" s="412"/>
      <c r="AXN58" s="412"/>
      <c r="AXO58" s="412"/>
      <c r="AXP58" s="412"/>
      <c r="AXQ58" s="412"/>
      <c r="AXR58" s="412"/>
      <c r="AXS58" s="412"/>
      <c r="AXT58" s="412"/>
      <c r="AXU58" s="412"/>
      <c r="AXV58" s="412"/>
      <c r="AXW58" s="412"/>
      <c r="AXX58" s="412"/>
      <c r="AXY58" s="412"/>
      <c r="AXZ58" s="412"/>
      <c r="AYA58" s="412"/>
      <c r="AYB58" s="412"/>
      <c r="AYC58" s="412"/>
      <c r="AYD58" s="412"/>
      <c r="AYE58" s="412"/>
      <c r="AYF58" s="412"/>
      <c r="AYG58" s="412"/>
      <c r="AYH58" s="412"/>
      <c r="AYI58" s="412"/>
      <c r="AYJ58" s="412"/>
      <c r="AYK58" s="412"/>
      <c r="AYL58" s="412"/>
      <c r="AYM58" s="412"/>
      <c r="AYN58" s="412"/>
      <c r="AYO58" s="412"/>
      <c r="AYP58" s="412"/>
      <c r="AYQ58" s="412"/>
      <c r="AYR58" s="412"/>
      <c r="AYS58" s="412"/>
      <c r="AYT58" s="412"/>
      <c r="AYU58" s="412"/>
      <c r="AYV58" s="412"/>
      <c r="AYW58" s="412"/>
      <c r="AYX58" s="412"/>
      <c r="AYY58" s="412"/>
      <c r="AYZ58" s="412"/>
      <c r="AZA58" s="412"/>
      <c r="AZB58" s="412"/>
      <c r="AZC58" s="412"/>
      <c r="AZD58" s="412"/>
      <c r="AZE58" s="412"/>
      <c r="AZF58" s="412"/>
      <c r="AZG58" s="412"/>
      <c r="AZH58" s="412"/>
      <c r="AZI58" s="412"/>
      <c r="AZJ58" s="412"/>
      <c r="AZK58" s="412"/>
      <c r="AZL58" s="412"/>
      <c r="AZM58" s="412"/>
      <c r="AZN58" s="412"/>
      <c r="AZO58" s="412"/>
      <c r="AZP58" s="412"/>
      <c r="AZQ58" s="412"/>
      <c r="AZR58" s="412"/>
      <c r="AZS58" s="412"/>
      <c r="AZT58" s="412"/>
      <c r="AZU58" s="412"/>
      <c r="AZV58" s="412"/>
      <c r="AZW58" s="412"/>
      <c r="AZX58" s="412"/>
      <c r="AZY58" s="412"/>
      <c r="AZZ58" s="412"/>
      <c r="BAA58" s="412"/>
      <c r="BAB58" s="412"/>
      <c r="BAC58" s="412"/>
      <c r="BAD58" s="412"/>
      <c r="BAE58" s="412"/>
      <c r="BAF58" s="412"/>
      <c r="BAG58" s="412"/>
      <c r="BAH58" s="412"/>
      <c r="BAI58" s="412"/>
      <c r="BAJ58" s="412"/>
      <c r="BAK58" s="412"/>
      <c r="BAL58" s="412"/>
      <c r="BAM58" s="412"/>
      <c r="BAN58" s="412"/>
      <c r="BAO58" s="412"/>
      <c r="BAP58" s="412"/>
      <c r="BAQ58" s="412"/>
      <c r="BAR58" s="412"/>
      <c r="BAS58" s="412"/>
      <c r="BAT58" s="412"/>
      <c r="BAU58" s="412"/>
      <c r="BAV58" s="412"/>
      <c r="BAW58" s="412"/>
      <c r="BAX58" s="412"/>
      <c r="BAY58" s="412"/>
      <c r="BAZ58" s="412"/>
      <c r="BBA58" s="412"/>
      <c r="BBB58" s="412"/>
      <c r="BBC58" s="412"/>
      <c r="BBD58" s="412"/>
      <c r="BBE58" s="412"/>
      <c r="BBF58" s="412"/>
      <c r="BBG58" s="412"/>
      <c r="BBH58" s="412"/>
      <c r="BBI58" s="412"/>
      <c r="BBJ58" s="412"/>
      <c r="BBK58" s="412"/>
      <c r="BBL58" s="412"/>
      <c r="BBM58" s="412"/>
      <c r="BBN58" s="412"/>
      <c r="BBO58" s="412"/>
      <c r="BBP58" s="412"/>
      <c r="BBQ58" s="412"/>
      <c r="BBR58" s="412"/>
      <c r="BBS58" s="412"/>
      <c r="BBT58" s="412"/>
      <c r="BBU58" s="412"/>
      <c r="BBV58" s="412"/>
      <c r="BBW58" s="412"/>
      <c r="BBX58" s="412"/>
      <c r="BBY58" s="412"/>
      <c r="BBZ58" s="412"/>
      <c r="BCA58" s="412"/>
      <c r="BCB58" s="412"/>
      <c r="BCC58" s="412"/>
      <c r="BCD58" s="412"/>
      <c r="BCE58" s="412"/>
      <c r="BCF58" s="412"/>
      <c r="BCG58" s="412"/>
      <c r="BCH58" s="412"/>
      <c r="BCI58" s="412"/>
      <c r="BCJ58" s="412"/>
      <c r="BCK58" s="412"/>
      <c r="BCL58" s="412"/>
      <c r="BCM58" s="412"/>
      <c r="BCN58" s="412"/>
      <c r="BCO58" s="412"/>
      <c r="BCP58" s="412"/>
      <c r="BCQ58" s="412"/>
      <c r="BCR58" s="412"/>
      <c r="BCS58" s="412"/>
      <c r="BCT58" s="412"/>
      <c r="BCU58" s="412"/>
      <c r="BCV58" s="412"/>
      <c r="BCW58" s="412"/>
      <c r="BCX58" s="412"/>
      <c r="BCY58" s="412"/>
      <c r="BCZ58" s="412"/>
      <c r="BDA58" s="412"/>
      <c r="BDB58" s="412"/>
      <c r="BDC58" s="412"/>
      <c r="BDD58" s="412"/>
      <c r="BDE58" s="412"/>
      <c r="BDF58" s="412"/>
      <c r="BDG58" s="412"/>
      <c r="BDH58" s="412"/>
      <c r="BDI58" s="412"/>
      <c r="BDJ58" s="412"/>
      <c r="BDK58" s="412"/>
      <c r="BDL58" s="412"/>
      <c r="BDM58" s="412"/>
      <c r="BDN58" s="412"/>
      <c r="BDO58" s="412"/>
      <c r="BDP58" s="412"/>
      <c r="BDQ58" s="412"/>
      <c r="BDR58" s="412"/>
      <c r="BDS58" s="412"/>
      <c r="BDT58" s="412"/>
      <c r="BDU58" s="412"/>
      <c r="BDV58" s="412"/>
      <c r="BDW58" s="412"/>
      <c r="BDX58" s="412"/>
      <c r="BDY58" s="412"/>
      <c r="BDZ58" s="412"/>
      <c r="BEA58" s="412"/>
      <c r="BEB58" s="412"/>
      <c r="BEC58" s="412"/>
      <c r="BED58" s="412"/>
      <c r="BEE58" s="412"/>
      <c r="BEF58" s="412"/>
      <c r="BEG58" s="412"/>
      <c r="BEH58" s="412"/>
      <c r="BEI58" s="412"/>
      <c r="BEJ58" s="412"/>
      <c r="BEK58" s="412"/>
      <c r="BEL58" s="412"/>
      <c r="BEM58" s="412"/>
      <c r="BEN58" s="412"/>
      <c r="BEO58" s="412"/>
      <c r="BEP58" s="412"/>
      <c r="BEQ58" s="412"/>
      <c r="BER58" s="412"/>
      <c r="BES58" s="412"/>
      <c r="BET58" s="412"/>
      <c r="BEU58" s="412"/>
      <c r="BEV58" s="412"/>
      <c r="BEW58" s="412"/>
      <c r="BEX58" s="412"/>
      <c r="BEY58" s="412"/>
      <c r="BEZ58" s="412"/>
      <c r="BFA58" s="412"/>
      <c r="BFB58" s="412"/>
      <c r="BFC58" s="412"/>
      <c r="BFD58" s="412"/>
      <c r="BFE58" s="412"/>
      <c r="BFF58" s="412"/>
      <c r="BFG58" s="412"/>
      <c r="BFH58" s="412"/>
      <c r="BFI58" s="412"/>
      <c r="BFJ58" s="412"/>
      <c r="BFK58" s="412"/>
      <c r="BFL58" s="412"/>
      <c r="BFM58" s="412"/>
      <c r="BFN58" s="412"/>
      <c r="BFO58" s="412"/>
      <c r="BFP58" s="412"/>
      <c r="BFQ58" s="412"/>
      <c r="BFR58" s="412"/>
      <c r="BFS58" s="412"/>
      <c r="BFT58" s="412"/>
      <c r="BFU58" s="412"/>
      <c r="BFV58" s="412"/>
      <c r="BFW58" s="412"/>
      <c r="BFX58" s="412"/>
      <c r="BFY58" s="412"/>
      <c r="BFZ58" s="412"/>
      <c r="BGA58" s="412"/>
      <c r="BGB58" s="412"/>
      <c r="BGC58" s="412"/>
      <c r="BGD58" s="412"/>
      <c r="BGE58" s="412"/>
      <c r="BGF58" s="412"/>
      <c r="BGG58" s="412"/>
      <c r="BGH58" s="412"/>
      <c r="BGI58" s="412"/>
      <c r="BGJ58" s="412"/>
      <c r="BGK58" s="412"/>
      <c r="BGL58" s="412"/>
      <c r="BGM58" s="412"/>
      <c r="BGN58" s="412"/>
      <c r="BGO58" s="412"/>
      <c r="BGP58" s="412"/>
      <c r="BGQ58" s="412"/>
      <c r="BGR58" s="412"/>
      <c r="BGS58" s="412"/>
      <c r="BGT58" s="412"/>
      <c r="BGU58" s="412"/>
      <c r="BGV58" s="412"/>
      <c r="BGW58" s="412"/>
      <c r="BGX58" s="412"/>
      <c r="BGY58" s="412"/>
      <c r="BGZ58" s="412"/>
      <c r="BHA58" s="412"/>
      <c r="BHB58" s="412"/>
      <c r="BHC58" s="412"/>
      <c r="BHD58" s="412"/>
      <c r="BHE58" s="412"/>
      <c r="BHF58" s="412"/>
      <c r="BHG58" s="412"/>
      <c r="BHH58" s="412"/>
      <c r="BHI58" s="412"/>
      <c r="BHJ58" s="412"/>
      <c r="BHK58" s="412"/>
      <c r="BHL58" s="412"/>
      <c r="BHM58" s="412"/>
      <c r="BHN58" s="412"/>
      <c r="BHO58" s="412"/>
      <c r="BHP58" s="412"/>
      <c r="BHQ58" s="412"/>
      <c r="BHR58" s="412"/>
      <c r="BHS58" s="412"/>
      <c r="BHT58" s="412"/>
      <c r="BHU58" s="412"/>
      <c r="BHV58" s="412"/>
      <c r="BHW58" s="412"/>
      <c r="BHX58" s="412"/>
      <c r="BHY58" s="412"/>
      <c r="BHZ58" s="412"/>
      <c r="BIA58" s="412"/>
      <c r="BIB58" s="412"/>
      <c r="BIC58" s="412"/>
      <c r="BID58" s="412"/>
      <c r="BIE58" s="412"/>
      <c r="BIF58" s="412"/>
      <c r="BIG58" s="412"/>
      <c r="BIH58" s="412"/>
      <c r="BII58" s="412"/>
      <c r="BIJ58" s="412"/>
      <c r="BIK58" s="412"/>
      <c r="BIL58" s="412"/>
      <c r="BIM58" s="412"/>
      <c r="BIN58" s="412"/>
      <c r="BIO58" s="412"/>
      <c r="BIP58" s="412"/>
      <c r="BIQ58" s="412"/>
      <c r="BIR58" s="412"/>
      <c r="BIS58" s="412"/>
      <c r="BIT58" s="412"/>
      <c r="BIU58" s="412"/>
      <c r="BIV58" s="412"/>
      <c r="BIW58" s="412"/>
      <c r="BIX58" s="412"/>
      <c r="BIY58" s="412"/>
      <c r="BIZ58" s="412"/>
      <c r="BJA58" s="412"/>
      <c r="BJB58" s="412"/>
      <c r="BJC58" s="412"/>
      <c r="BJD58" s="412"/>
      <c r="BJE58" s="412"/>
      <c r="BJF58" s="412"/>
      <c r="BJG58" s="412"/>
      <c r="BJH58" s="412"/>
      <c r="BJI58" s="412"/>
      <c r="BJJ58" s="412"/>
      <c r="BJK58" s="412"/>
      <c r="BJL58" s="412"/>
      <c r="BJM58" s="412"/>
      <c r="BJN58" s="412"/>
      <c r="BJO58" s="412"/>
      <c r="BJP58" s="412"/>
      <c r="BJQ58" s="412"/>
      <c r="BJR58" s="412"/>
      <c r="BJS58" s="412"/>
      <c r="BJT58" s="412"/>
      <c r="BJU58" s="412"/>
      <c r="BJV58" s="412"/>
      <c r="BJW58" s="412"/>
      <c r="BJX58" s="412"/>
      <c r="BJY58" s="412"/>
      <c r="BJZ58" s="412"/>
      <c r="BKA58" s="412"/>
      <c r="BKB58" s="412"/>
      <c r="BKC58" s="412"/>
      <c r="BKD58" s="412"/>
      <c r="BKE58" s="412"/>
      <c r="BKF58" s="412"/>
      <c r="BKG58" s="412"/>
      <c r="BKH58" s="412"/>
      <c r="BKI58" s="412"/>
      <c r="BKJ58" s="412"/>
      <c r="BKK58" s="412"/>
      <c r="BKL58" s="412"/>
      <c r="BKM58" s="412"/>
      <c r="BKN58" s="412"/>
      <c r="BKO58" s="412"/>
      <c r="BKP58" s="412"/>
      <c r="BKQ58" s="412"/>
      <c r="BKR58" s="412"/>
      <c r="BKS58" s="412"/>
      <c r="BKT58" s="412"/>
      <c r="BKU58" s="412"/>
      <c r="BKV58" s="412"/>
      <c r="BKW58" s="412"/>
      <c r="BKX58" s="412"/>
      <c r="BKY58" s="412"/>
      <c r="BKZ58" s="412"/>
      <c r="BLA58" s="412"/>
      <c r="BLB58" s="412"/>
      <c r="BLC58" s="412"/>
      <c r="BLD58" s="412"/>
      <c r="BLE58" s="412"/>
      <c r="BLF58" s="412"/>
      <c r="BLG58" s="412"/>
      <c r="BLH58" s="412"/>
      <c r="BLI58" s="412"/>
      <c r="BLJ58" s="412"/>
      <c r="BLK58" s="412"/>
      <c r="BLL58" s="412"/>
      <c r="BLM58" s="412"/>
      <c r="BLN58" s="412"/>
      <c r="BLO58" s="412"/>
      <c r="BLP58" s="412"/>
      <c r="BLQ58" s="412"/>
      <c r="BLR58" s="412"/>
      <c r="BLS58" s="412"/>
      <c r="BLT58" s="412"/>
      <c r="BLU58" s="412"/>
      <c r="BLV58" s="412"/>
      <c r="BLW58" s="412"/>
      <c r="BLX58" s="412"/>
      <c r="BLY58" s="412"/>
      <c r="BLZ58" s="412"/>
      <c r="BMA58" s="412"/>
      <c r="BMB58" s="412"/>
      <c r="BMC58" s="412"/>
      <c r="BMD58" s="412"/>
      <c r="BME58" s="412"/>
      <c r="BMF58" s="412"/>
      <c r="BMG58" s="412"/>
      <c r="BMH58" s="412"/>
      <c r="BMI58" s="412"/>
      <c r="BMJ58" s="412"/>
      <c r="BMK58" s="412"/>
      <c r="BML58" s="412"/>
      <c r="BMM58" s="412"/>
      <c r="BMN58" s="412"/>
      <c r="BMO58" s="412"/>
      <c r="BMP58" s="412"/>
      <c r="BMQ58" s="412"/>
      <c r="BMR58" s="412"/>
      <c r="BMS58" s="412"/>
      <c r="BMT58" s="412"/>
      <c r="BMU58" s="412"/>
      <c r="BMV58" s="412"/>
      <c r="BMW58" s="412"/>
      <c r="BMX58" s="412"/>
      <c r="BMY58" s="412"/>
      <c r="BMZ58" s="412"/>
      <c r="BNA58" s="412"/>
      <c r="BNB58" s="412"/>
      <c r="BNC58" s="412"/>
      <c r="BND58" s="412"/>
      <c r="BNE58" s="412"/>
      <c r="BNF58" s="412"/>
      <c r="BNG58" s="412"/>
      <c r="BNH58" s="412"/>
      <c r="BNI58" s="412"/>
      <c r="BNJ58" s="412"/>
      <c r="BNK58" s="412"/>
      <c r="BNL58" s="412"/>
      <c r="BNM58" s="412"/>
      <c r="BNN58" s="412"/>
      <c r="BNO58" s="412"/>
      <c r="BNP58" s="412"/>
      <c r="BNQ58" s="412"/>
      <c r="BNR58" s="412"/>
      <c r="BNS58" s="412"/>
      <c r="BNT58" s="412"/>
      <c r="BNU58" s="412"/>
      <c r="BNV58" s="412"/>
      <c r="BNW58" s="412"/>
      <c r="BNX58" s="412"/>
      <c r="BNY58" s="412"/>
      <c r="BNZ58" s="412"/>
      <c r="BOA58" s="412"/>
      <c r="BOB58" s="412"/>
      <c r="BOC58" s="412"/>
      <c r="BOD58" s="412"/>
      <c r="BOE58" s="412"/>
      <c r="BOF58" s="412"/>
      <c r="BOG58" s="412"/>
      <c r="BOH58" s="412"/>
      <c r="BOI58" s="412"/>
      <c r="BOJ58" s="412"/>
      <c r="BOK58" s="412"/>
      <c r="BOL58" s="412"/>
      <c r="BOM58" s="412"/>
      <c r="BON58" s="412"/>
      <c r="BOO58" s="412"/>
      <c r="BOP58" s="412"/>
      <c r="BOQ58" s="412"/>
      <c r="BOR58" s="412"/>
      <c r="BOS58" s="412"/>
      <c r="BOT58" s="412"/>
      <c r="BOU58" s="412"/>
      <c r="BOV58" s="412"/>
      <c r="BOW58" s="412"/>
      <c r="BOX58" s="412"/>
      <c r="BOY58" s="412"/>
      <c r="BOZ58" s="412"/>
      <c r="BPA58" s="412"/>
      <c r="BPB58" s="412"/>
      <c r="BPC58" s="412"/>
      <c r="BPD58" s="412"/>
      <c r="BPE58" s="412"/>
      <c r="BPF58" s="412"/>
      <c r="BPG58" s="412"/>
      <c r="BPH58" s="412"/>
      <c r="BPI58" s="412"/>
      <c r="BPJ58" s="412"/>
      <c r="BPK58" s="412"/>
      <c r="BPL58" s="412"/>
      <c r="BPM58" s="412"/>
      <c r="BPN58" s="412"/>
      <c r="BPO58" s="412"/>
      <c r="BPP58" s="412"/>
      <c r="BPQ58" s="412"/>
      <c r="BPR58" s="412"/>
      <c r="BPS58" s="412"/>
      <c r="BPT58" s="412"/>
      <c r="BPU58" s="412"/>
      <c r="BPV58" s="412"/>
      <c r="BPW58" s="412"/>
      <c r="BPX58" s="412"/>
      <c r="BPY58" s="412"/>
      <c r="BPZ58" s="412"/>
      <c r="BQA58" s="412"/>
      <c r="BQB58" s="412"/>
      <c r="BQC58" s="412"/>
      <c r="BQD58" s="412"/>
      <c r="BQE58" s="412"/>
      <c r="BQF58" s="412"/>
      <c r="BQG58" s="412"/>
      <c r="BQH58" s="412"/>
      <c r="BQI58" s="412"/>
      <c r="BQJ58" s="412"/>
      <c r="BQK58" s="412"/>
      <c r="BQL58" s="412"/>
      <c r="BQM58" s="412"/>
      <c r="BQN58" s="412"/>
      <c r="BQO58" s="412"/>
      <c r="BQP58" s="412"/>
      <c r="BQQ58" s="412"/>
      <c r="BQR58" s="412"/>
      <c r="BQS58" s="412"/>
      <c r="BQT58" s="412"/>
      <c r="BQU58" s="412"/>
      <c r="BQV58" s="412"/>
      <c r="BQW58" s="412"/>
      <c r="BQX58" s="412"/>
      <c r="BQY58" s="412"/>
      <c r="BQZ58" s="412"/>
      <c r="BRA58" s="412"/>
      <c r="BRB58" s="412"/>
      <c r="BRC58" s="412"/>
      <c r="BRD58" s="412"/>
      <c r="BRE58" s="412"/>
      <c r="BRF58" s="412"/>
      <c r="BRG58" s="412"/>
      <c r="BRH58" s="412"/>
      <c r="BRI58" s="412"/>
      <c r="BRJ58" s="412"/>
      <c r="BRK58" s="412"/>
      <c r="BRL58" s="412"/>
      <c r="BRM58" s="412"/>
      <c r="BRN58" s="412"/>
      <c r="BRO58" s="412"/>
      <c r="BRP58" s="412"/>
      <c r="BRQ58" s="412"/>
      <c r="BRR58" s="412"/>
      <c r="BRS58" s="412"/>
      <c r="BRT58" s="412"/>
      <c r="BRU58" s="412"/>
      <c r="BRV58" s="412"/>
      <c r="BRW58" s="412"/>
      <c r="BRX58" s="412"/>
      <c r="BRY58" s="412"/>
      <c r="BRZ58" s="412"/>
      <c r="BSA58" s="412"/>
      <c r="BSB58" s="412"/>
      <c r="BSC58" s="412"/>
      <c r="BSD58" s="412"/>
      <c r="BSE58" s="412"/>
      <c r="BSF58" s="412"/>
      <c r="BSG58" s="412"/>
      <c r="BSH58" s="412"/>
      <c r="BSI58" s="412"/>
      <c r="BSJ58" s="412"/>
      <c r="BSK58" s="412"/>
      <c r="BSL58" s="412"/>
      <c r="BSM58" s="412"/>
      <c r="BSN58" s="412"/>
      <c r="BSO58" s="412"/>
      <c r="BSP58" s="412"/>
      <c r="BSQ58" s="412"/>
      <c r="BSR58" s="412"/>
      <c r="BSS58" s="412"/>
      <c r="BST58" s="412"/>
      <c r="BSU58" s="412"/>
      <c r="BSV58" s="412"/>
      <c r="BSW58" s="412"/>
      <c r="BSX58" s="412"/>
      <c r="BSY58" s="412"/>
      <c r="BSZ58" s="412"/>
      <c r="BTA58" s="412"/>
      <c r="BTB58" s="412"/>
      <c r="BTC58" s="412"/>
      <c r="BTD58" s="412"/>
      <c r="BTE58" s="412"/>
      <c r="BTF58" s="412"/>
      <c r="BTG58" s="412"/>
      <c r="BTH58" s="412"/>
      <c r="BTI58" s="412"/>
    </row>
    <row r="59" spans="1:1881" ht="30" customHeight="1" thickBot="1" x14ac:dyDescent="0.3">
      <c r="A59" s="190"/>
      <c r="B59" s="137" t="s">
        <v>166</v>
      </c>
      <c r="C59" s="140"/>
      <c r="D59" s="155"/>
      <c r="E59" s="144"/>
      <c r="F59" s="748"/>
      <c r="G59" s="571"/>
      <c r="H59" s="13"/>
      <c r="I59" s="31"/>
      <c r="L59" s="865" t="s">
        <v>1157</v>
      </c>
      <c r="M59" s="633"/>
      <c r="N59" s="656"/>
    </row>
    <row r="60" spans="1:1881" ht="52.5" customHeight="1" thickBot="1" x14ac:dyDescent="0.3">
      <c r="A60" s="189">
        <v>369</v>
      </c>
      <c r="B60" s="64" t="s">
        <v>63</v>
      </c>
      <c r="C60" s="160" t="s">
        <v>167</v>
      </c>
      <c r="D60" s="166" t="s">
        <v>162</v>
      </c>
      <c r="E60" s="32" t="e">
        <f>HLOOKUP($D$2,'2019 Data(H)'!$C$1:$CG$300,130,FALSE)</f>
        <v>#N/A</v>
      </c>
      <c r="F60" s="647"/>
      <c r="G60" s="413"/>
      <c r="H60" s="13"/>
      <c r="I60" s="31"/>
      <c r="J60" s="368"/>
      <c r="L60" s="865" t="s">
        <v>1158</v>
      </c>
      <c r="M60" s="633"/>
      <c r="N60" s="656"/>
    </row>
    <row r="61" spans="1:1881" ht="57.75" customHeight="1" thickBot="1" x14ac:dyDescent="0.3">
      <c r="A61" s="189">
        <v>16</v>
      </c>
      <c r="B61" s="64" t="s">
        <v>73</v>
      </c>
      <c r="C61" s="160" t="s">
        <v>167</v>
      </c>
      <c r="D61" s="176" t="s">
        <v>163</v>
      </c>
      <c r="E61" s="32" t="e">
        <f>HLOOKUP($D$2,'2019 Data(H)'!$C$1:$CG$300,12,FALSE)</f>
        <v>#N/A</v>
      </c>
      <c r="F61" s="647"/>
      <c r="G61" s="413"/>
      <c r="H61" s="13"/>
      <c r="I61" s="31"/>
      <c r="J61" s="368"/>
      <c r="L61" s="865" t="s">
        <v>1159</v>
      </c>
      <c r="M61" s="633"/>
      <c r="N61" s="656"/>
    </row>
    <row r="62" spans="1:1881" ht="65.25" customHeight="1" thickBot="1" x14ac:dyDescent="0.3">
      <c r="A62" s="189">
        <v>370</v>
      </c>
      <c r="B62" s="64" t="s">
        <v>63</v>
      </c>
      <c r="C62" s="160" t="s">
        <v>167</v>
      </c>
      <c r="D62" s="166" t="s">
        <v>605</v>
      </c>
      <c r="E62" s="32" t="e">
        <f>HLOOKUP($D$2,'2019 Data(H)'!$C$1:$CG$300,131,FALSE)</f>
        <v>#N/A</v>
      </c>
      <c r="F62" s="647"/>
      <c r="G62" s="413">
        <f>IF(F62&lt;0,"Error: Enter as positive.",)</f>
        <v>0</v>
      </c>
      <c r="H62" s="13"/>
      <c r="I62" s="31"/>
      <c r="J62" s="368"/>
      <c r="L62" s="865" t="s">
        <v>908</v>
      </c>
      <c r="M62" s="633"/>
      <c r="N62" s="656"/>
    </row>
    <row r="63" spans="1:1881" ht="69.75" customHeight="1" thickBot="1" x14ac:dyDescent="0.3">
      <c r="A63" s="189">
        <v>532</v>
      </c>
      <c r="B63" s="64" t="s">
        <v>62</v>
      </c>
      <c r="C63" s="160" t="s">
        <v>167</v>
      </c>
      <c r="D63" s="135" t="s">
        <v>171</v>
      </c>
      <c r="E63" s="32" t="e">
        <f>HLOOKUP($D$2,'2019 Data(H)'!$C$1:$CG$300,182,FALSE)</f>
        <v>#N/A</v>
      </c>
      <c r="F63" s="647"/>
      <c r="G63" s="413">
        <f>IF(F63&lt;0,"Error: Enter as positive.",)</f>
        <v>0</v>
      </c>
      <c r="H63" s="13"/>
      <c r="I63" s="31"/>
      <c r="J63" s="368"/>
      <c r="L63" s="865" t="s">
        <v>1160</v>
      </c>
      <c r="M63" s="633"/>
      <c r="N63" s="656"/>
    </row>
    <row r="64" spans="1:1881" ht="54" customHeight="1" thickBot="1" x14ac:dyDescent="0.3">
      <c r="A64" s="189">
        <v>17</v>
      </c>
      <c r="B64" s="64" t="s">
        <v>67</v>
      </c>
      <c r="C64" s="160" t="s">
        <v>167</v>
      </c>
      <c r="D64" s="176" t="s">
        <v>599</v>
      </c>
      <c r="E64" s="32" t="e">
        <f>HLOOKUP($D$2,'2019 Data(H)'!$C$1:$CG$300,13,FALSE)</f>
        <v>#N/A</v>
      </c>
      <c r="F64" s="647"/>
      <c r="G64" s="413"/>
      <c r="H64" s="13"/>
      <c r="I64" s="31"/>
      <c r="L64" s="865" t="s">
        <v>1161</v>
      </c>
      <c r="M64" s="633"/>
      <c r="N64" s="656"/>
    </row>
    <row r="65" spans="1:1881" ht="58.5" customHeight="1" thickBot="1" x14ac:dyDescent="0.3">
      <c r="A65" s="189">
        <v>20</v>
      </c>
      <c r="B65" s="64" t="s">
        <v>62</v>
      </c>
      <c r="C65" s="160" t="s">
        <v>167</v>
      </c>
      <c r="D65" s="176" t="s">
        <v>600</v>
      </c>
      <c r="E65" s="32" t="e">
        <f>HLOOKUP($D$2,'2019 Data(H)'!$C$1:$CG$300,15,FALSE)</f>
        <v>#N/A</v>
      </c>
      <c r="F65" s="647"/>
      <c r="G65" s="413">
        <f>IF(F65&lt;0,"Error: Enter as positive.",)</f>
        <v>0</v>
      </c>
      <c r="H65" s="13"/>
      <c r="I65" s="31"/>
      <c r="L65" s="865" t="s">
        <v>1162</v>
      </c>
      <c r="M65" s="633"/>
      <c r="N65" s="656"/>
    </row>
    <row r="66" spans="1:1881" ht="54" customHeight="1" thickBot="1" x14ac:dyDescent="0.3">
      <c r="A66" s="189">
        <v>533</v>
      </c>
      <c r="B66" s="64" t="s">
        <v>62</v>
      </c>
      <c r="C66" s="160" t="s">
        <v>167</v>
      </c>
      <c r="D66" s="136" t="s">
        <v>164</v>
      </c>
      <c r="E66" s="32" t="e">
        <f>HLOOKUP($D$2,'2019 Data(H)'!$C$1:$CG$300,183,FALSE)</f>
        <v>#N/A</v>
      </c>
      <c r="F66" s="647"/>
      <c r="G66" s="319"/>
      <c r="H66" s="13"/>
      <c r="I66" s="31"/>
      <c r="L66" s="865" t="s">
        <v>1163</v>
      </c>
      <c r="M66" s="633"/>
      <c r="N66" s="656"/>
    </row>
    <row r="67" spans="1:1881" s="4" customFormat="1" ht="62.25" customHeight="1" thickBot="1" x14ac:dyDescent="0.3">
      <c r="A67" s="189">
        <v>508</v>
      </c>
      <c r="B67" s="64" t="s">
        <v>62</v>
      </c>
      <c r="C67" s="160" t="s">
        <v>167</v>
      </c>
      <c r="D67" s="176" t="s">
        <v>624</v>
      </c>
      <c r="E67" s="32" t="e">
        <f>HLOOKUP($D$2,'2019 Data(H)'!$C$1:$CG$300,158,FALSE)</f>
        <v>#N/A</v>
      </c>
      <c r="F67" s="647"/>
      <c r="G67" s="413"/>
      <c r="H67" s="17"/>
      <c r="I67" s="298"/>
      <c r="J67" s="412"/>
      <c r="K67" s="412"/>
      <c r="L67" s="865" t="s">
        <v>1164</v>
      </c>
      <c r="M67" s="633"/>
      <c r="N67" s="656"/>
      <c r="O67" s="412"/>
      <c r="P67" s="412"/>
      <c r="Q67" s="412"/>
      <c r="R67" s="412"/>
      <c r="S67" s="412"/>
      <c r="T67" s="412"/>
      <c r="U67" s="412"/>
      <c r="V67" s="412"/>
      <c r="W67" s="412"/>
      <c r="X67" s="412"/>
      <c r="Y67" s="412"/>
      <c r="Z67" s="412"/>
      <c r="AA67" s="412"/>
      <c r="AB67" s="412"/>
      <c r="AC67" s="412"/>
      <c r="AD67" s="412"/>
      <c r="AE67" s="412"/>
      <c r="AF67" s="412"/>
      <c r="AG67" s="412"/>
      <c r="AH67" s="412"/>
      <c r="AI67" s="412"/>
      <c r="AJ67" s="412"/>
      <c r="AK67" s="412"/>
      <c r="AL67" s="412"/>
      <c r="AM67" s="412"/>
      <c r="AN67" s="412"/>
      <c r="AO67" s="412"/>
      <c r="AP67" s="412"/>
      <c r="AQ67" s="412"/>
      <c r="AR67" s="412"/>
      <c r="AS67" s="412"/>
      <c r="AT67" s="412"/>
      <c r="AU67" s="412"/>
      <c r="AV67" s="412"/>
      <c r="AW67" s="412"/>
      <c r="AX67" s="412"/>
      <c r="AY67" s="412"/>
      <c r="AZ67" s="412"/>
      <c r="BA67" s="412"/>
      <c r="BB67" s="412"/>
      <c r="BC67" s="412"/>
      <c r="BD67" s="412"/>
      <c r="BE67" s="412"/>
      <c r="BF67" s="412"/>
      <c r="BG67" s="412"/>
      <c r="BH67" s="412"/>
      <c r="BI67" s="412"/>
      <c r="BJ67" s="412"/>
      <c r="BK67" s="412"/>
      <c r="BL67" s="412"/>
      <c r="BM67" s="412"/>
      <c r="BN67" s="412"/>
      <c r="BO67" s="412"/>
      <c r="BP67" s="412"/>
      <c r="BQ67" s="412"/>
      <c r="BR67" s="412"/>
      <c r="BS67" s="412"/>
      <c r="BT67" s="412"/>
      <c r="BU67" s="412"/>
      <c r="BV67" s="412"/>
      <c r="BW67" s="412"/>
      <c r="BX67" s="412"/>
      <c r="BY67" s="412"/>
      <c r="BZ67" s="412"/>
      <c r="CA67" s="412"/>
      <c r="CB67" s="412"/>
      <c r="CC67" s="412"/>
      <c r="CD67" s="412"/>
      <c r="CE67" s="412"/>
      <c r="CF67" s="412"/>
      <c r="CG67" s="412"/>
      <c r="CH67" s="412"/>
      <c r="CI67" s="412"/>
      <c r="CJ67" s="412"/>
      <c r="CK67" s="412"/>
      <c r="CL67" s="412"/>
      <c r="CM67" s="412"/>
      <c r="CN67" s="412"/>
      <c r="CO67" s="412"/>
      <c r="CP67" s="412"/>
      <c r="CQ67" s="412"/>
      <c r="CR67" s="412"/>
      <c r="CS67" s="412"/>
      <c r="CT67" s="412"/>
      <c r="CU67" s="412"/>
      <c r="CV67" s="412"/>
      <c r="CW67" s="412"/>
      <c r="CX67" s="412"/>
      <c r="CY67" s="412"/>
      <c r="CZ67" s="412"/>
      <c r="DA67" s="412"/>
      <c r="DB67" s="412"/>
      <c r="DC67" s="412"/>
      <c r="DD67" s="412"/>
      <c r="DE67" s="412"/>
      <c r="DF67" s="412"/>
      <c r="DG67" s="412"/>
      <c r="DH67" s="412"/>
      <c r="DI67" s="412"/>
      <c r="DJ67" s="412"/>
      <c r="DK67" s="412"/>
      <c r="DL67" s="412"/>
      <c r="DM67" s="412"/>
      <c r="DN67" s="412"/>
      <c r="DO67" s="412"/>
      <c r="DP67" s="412"/>
      <c r="DQ67" s="412"/>
      <c r="DR67" s="412"/>
      <c r="DS67" s="412"/>
      <c r="DT67" s="412"/>
      <c r="DU67" s="412"/>
      <c r="DV67" s="412"/>
      <c r="DW67" s="412"/>
      <c r="DX67" s="412"/>
      <c r="DY67" s="412"/>
      <c r="DZ67" s="412"/>
      <c r="EA67" s="412"/>
      <c r="EB67" s="412"/>
      <c r="EC67" s="412"/>
      <c r="ED67" s="412"/>
      <c r="EE67" s="412"/>
      <c r="EF67" s="412"/>
      <c r="EG67" s="412"/>
      <c r="EH67" s="412"/>
      <c r="EI67" s="412"/>
      <c r="EJ67" s="412"/>
      <c r="EK67" s="412"/>
      <c r="EL67" s="412"/>
      <c r="EM67" s="412"/>
      <c r="EN67" s="412"/>
      <c r="EO67" s="412"/>
      <c r="EP67" s="412"/>
      <c r="EQ67" s="412"/>
      <c r="ER67" s="412"/>
      <c r="ES67" s="412"/>
      <c r="ET67" s="412"/>
      <c r="EU67" s="412"/>
      <c r="EV67" s="412"/>
      <c r="EW67" s="412"/>
      <c r="EX67" s="412"/>
      <c r="EY67" s="412"/>
      <c r="EZ67" s="412"/>
      <c r="FA67" s="412"/>
      <c r="FB67" s="412"/>
      <c r="FC67" s="412"/>
      <c r="FD67" s="412"/>
      <c r="FE67" s="412"/>
      <c r="FF67" s="412"/>
      <c r="FG67" s="412"/>
      <c r="FH67" s="412"/>
      <c r="FI67" s="412"/>
      <c r="FJ67" s="412"/>
      <c r="FK67" s="412"/>
      <c r="FL67" s="412"/>
      <c r="FM67" s="412"/>
      <c r="FN67" s="412"/>
      <c r="FO67" s="412"/>
      <c r="FP67" s="412"/>
      <c r="FQ67" s="412"/>
      <c r="FR67" s="412"/>
      <c r="FS67" s="412"/>
      <c r="FT67" s="412"/>
      <c r="FU67" s="412"/>
      <c r="FV67" s="412"/>
      <c r="FW67" s="412"/>
      <c r="FX67" s="412"/>
      <c r="FY67" s="412"/>
      <c r="FZ67" s="412"/>
      <c r="GA67" s="412"/>
      <c r="GB67" s="412"/>
      <c r="GC67" s="412"/>
      <c r="GD67" s="412"/>
      <c r="GE67" s="412"/>
      <c r="GF67" s="412"/>
      <c r="GG67" s="412"/>
      <c r="GH67" s="412"/>
      <c r="GI67" s="412"/>
      <c r="GJ67" s="412"/>
      <c r="GK67" s="412"/>
      <c r="GL67" s="412"/>
      <c r="GM67" s="412"/>
      <c r="GN67" s="412"/>
      <c r="GO67" s="412"/>
      <c r="GP67" s="412"/>
      <c r="GQ67" s="412"/>
      <c r="GR67" s="412"/>
      <c r="GS67" s="412"/>
      <c r="GT67" s="412"/>
      <c r="GU67" s="412"/>
      <c r="GV67" s="412"/>
      <c r="GW67" s="412"/>
      <c r="GX67" s="412"/>
      <c r="GY67" s="412"/>
      <c r="GZ67" s="412"/>
      <c r="HA67" s="412"/>
      <c r="HB67" s="412"/>
      <c r="HC67" s="412"/>
      <c r="HD67" s="412"/>
      <c r="HE67" s="412"/>
      <c r="HF67" s="412"/>
      <c r="HG67" s="412"/>
      <c r="HH67" s="412"/>
      <c r="HI67" s="412"/>
      <c r="HJ67" s="412"/>
      <c r="HK67" s="412"/>
      <c r="HL67" s="412"/>
      <c r="HM67" s="412"/>
      <c r="HN67" s="412"/>
      <c r="HO67" s="412"/>
      <c r="HP67" s="412"/>
      <c r="HQ67" s="412"/>
      <c r="HR67" s="412"/>
      <c r="HS67" s="412"/>
      <c r="HT67" s="412"/>
      <c r="HU67" s="412"/>
      <c r="HV67" s="412"/>
      <c r="HW67" s="412"/>
      <c r="HX67" s="412"/>
      <c r="HY67" s="412"/>
      <c r="HZ67" s="412"/>
      <c r="IA67" s="412"/>
      <c r="IB67" s="412"/>
      <c r="IC67" s="412"/>
      <c r="ID67" s="412"/>
      <c r="IE67" s="412"/>
      <c r="IF67" s="412"/>
      <c r="IG67" s="412"/>
      <c r="IH67" s="412"/>
      <c r="II67" s="412"/>
      <c r="IJ67" s="412"/>
      <c r="IK67" s="412"/>
      <c r="IL67" s="412"/>
      <c r="IM67" s="412"/>
      <c r="IN67" s="412"/>
      <c r="IO67" s="412"/>
      <c r="IP67" s="412"/>
      <c r="IQ67" s="412"/>
      <c r="IR67" s="412"/>
      <c r="IS67" s="412"/>
      <c r="IT67" s="412"/>
      <c r="IU67" s="412"/>
      <c r="IV67" s="412"/>
      <c r="IW67" s="412"/>
      <c r="IX67" s="412"/>
      <c r="IY67" s="412"/>
      <c r="IZ67" s="412"/>
      <c r="JA67" s="412"/>
      <c r="JB67" s="412"/>
      <c r="JC67" s="412"/>
      <c r="JD67" s="412"/>
      <c r="JE67" s="412"/>
      <c r="JF67" s="412"/>
      <c r="JG67" s="412"/>
      <c r="JH67" s="412"/>
      <c r="JI67" s="412"/>
      <c r="JJ67" s="412"/>
      <c r="JK67" s="412"/>
      <c r="JL67" s="412"/>
      <c r="JM67" s="412"/>
      <c r="JN67" s="412"/>
      <c r="JO67" s="412"/>
      <c r="JP67" s="412"/>
      <c r="JQ67" s="412"/>
      <c r="JR67" s="412"/>
      <c r="JS67" s="412"/>
      <c r="JT67" s="412"/>
      <c r="JU67" s="412"/>
      <c r="JV67" s="412"/>
      <c r="JW67" s="412"/>
      <c r="JX67" s="412"/>
      <c r="JY67" s="412"/>
      <c r="JZ67" s="412"/>
      <c r="KA67" s="412"/>
      <c r="KB67" s="412"/>
      <c r="KC67" s="412"/>
      <c r="KD67" s="412"/>
      <c r="KE67" s="412"/>
      <c r="KF67" s="412"/>
      <c r="KG67" s="412"/>
      <c r="KH67" s="412"/>
      <c r="KI67" s="412"/>
      <c r="KJ67" s="412"/>
      <c r="KK67" s="412"/>
      <c r="KL67" s="412"/>
      <c r="KM67" s="412"/>
      <c r="KN67" s="412"/>
      <c r="KO67" s="412"/>
      <c r="KP67" s="412"/>
      <c r="KQ67" s="412"/>
      <c r="KR67" s="412"/>
      <c r="KS67" s="412"/>
      <c r="KT67" s="412"/>
      <c r="KU67" s="412"/>
      <c r="KV67" s="412"/>
      <c r="KW67" s="412"/>
      <c r="KX67" s="412"/>
      <c r="KY67" s="412"/>
      <c r="KZ67" s="412"/>
      <c r="LA67" s="412"/>
      <c r="LB67" s="412"/>
      <c r="LC67" s="412"/>
      <c r="LD67" s="412"/>
      <c r="LE67" s="412"/>
      <c r="LF67" s="412"/>
      <c r="LG67" s="412"/>
      <c r="LH67" s="412"/>
      <c r="LI67" s="412"/>
      <c r="LJ67" s="412"/>
      <c r="LK67" s="412"/>
      <c r="LL67" s="412"/>
      <c r="LM67" s="412"/>
      <c r="LN67" s="412"/>
      <c r="LO67" s="412"/>
      <c r="LP67" s="412"/>
      <c r="LQ67" s="412"/>
      <c r="LR67" s="412"/>
      <c r="LS67" s="412"/>
      <c r="LT67" s="412"/>
      <c r="LU67" s="412"/>
      <c r="LV67" s="412"/>
      <c r="LW67" s="412"/>
      <c r="LX67" s="412"/>
      <c r="LY67" s="412"/>
      <c r="LZ67" s="412"/>
      <c r="MA67" s="412"/>
      <c r="MB67" s="412"/>
      <c r="MC67" s="412"/>
      <c r="MD67" s="412"/>
      <c r="ME67" s="412"/>
      <c r="MF67" s="412"/>
      <c r="MG67" s="412"/>
      <c r="MH67" s="412"/>
      <c r="MI67" s="412"/>
      <c r="MJ67" s="412"/>
      <c r="MK67" s="412"/>
      <c r="ML67" s="412"/>
      <c r="MM67" s="412"/>
      <c r="MN67" s="412"/>
      <c r="MO67" s="412"/>
      <c r="MP67" s="412"/>
      <c r="MQ67" s="412"/>
      <c r="MR67" s="412"/>
      <c r="MS67" s="412"/>
      <c r="MT67" s="412"/>
      <c r="MU67" s="412"/>
      <c r="MV67" s="412"/>
      <c r="MW67" s="412"/>
      <c r="MX67" s="412"/>
      <c r="MY67" s="412"/>
      <c r="MZ67" s="412"/>
      <c r="NA67" s="412"/>
      <c r="NB67" s="412"/>
      <c r="NC67" s="412"/>
      <c r="ND67" s="412"/>
      <c r="NE67" s="412"/>
      <c r="NF67" s="412"/>
      <c r="NG67" s="412"/>
      <c r="NH67" s="412"/>
      <c r="NI67" s="412"/>
      <c r="NJ67" s="412"/>
      <c r="NK67" s="412"/>
      <c r="NL67" s="412"/>
      <c r="NM67" s="412"/>
      <c r="NN67" s="412"/>
      <c r="NO67" s="412"/>
      <c r="NP67" s="412"/>
      <c r="NQ67" s="412"/>
      <c r="NR67" s="412"/>
      <c r="NS67" s="412"/>
      <c r="NT67" s="412"/>
      <c r="NU67" s="412"/>
      <c r="NV67" s="412"/>
      <c r="NW67" s="412"/>
      <c r="NX67" s="412"/>
      <c r="NY67" s="412"/>
      <c r="NZ67" s="412"/>
      <c r="OA67" s="412"/>
      <c r="OB67" s="412"/>
      <c r="OC67" s="412"/>
      <c r="OD67" s="412"/>
      <c r="OE67" s="412"/>
      <c r="OF67" s="412"/>
      <c r="OG67" s="412"/>
      <c r="OH67" s="412"/>
      <c r="OI67" s="412"/>
      <c r="OJ67" s="412"/>
      <c r="OK67" s="412"/>
      <c r="OL67" s="412"/>
      <c r="OM67" s="412"/>
      <c r="ON67" s="412"/>
      <c r="OO67" s="412"/>
      <c r="OP67" s="412"/>
      <c r="OQ67" s="412"/>
      <c r="OR67" s="412"/>
      <c r="OS67" s="412"/>
      <c r="OT67" s="412"/>
      <c r="OU67" s="412"/>
      <c r="OV67" s="412"/>
      <c r="OW67" s="412"/>
      <c r="OX67" s="412"/>
      <c r="OY67" s="412"/>
      <c r="OZ67" s="412"/>
      <c r="PA67" s="412"/>
      <c r="PB67" s="412"/>
      <c r="PC67" s="412"/>
      <c r="PD67" s="412"/>
      <c r="PE67" s="412"/>
      <c r="PF67" s="412"/>
      <c r="PG67" s="412"/>
      <c r="PH67" s="412"/>
      <c r="PI67" s="412"/>
      <c r="PJ67" s="412"/>
      <c r="PK67" s="412"/>
      <c r="PL67" s="412"/>
      <c r="PM67" s="412"/>
      <c r="PN67" s="412"/>
      <c r="PO67" s="412"/>
      <c r="PP67" s="412"/>
      <c r="PQ67" s="412"/>
      <c r="PR67" s="412"/>
      <c r="PS67" s="412"/>
      <c r="PT67" s="412"/>
      <c r="PU67" s="412"/>
      <c r="PV67" s="412"/>
      <c r="PW67" s="412"/>
      <c r="PX67" s="412"/>
      <c r="PY67" s="412"/>
      <c r="PZ67" s="412"/>
      <c r="QA67" s="412"/>
      <c r="QB67" s="412"/>
      <c r="QC67" s="412"/>
      <c r="QD67" s="412"/>
      <c r="QE67" s="412"/>
      <c r="QF67" s="412"/>
      <c r="QG67" s="412"/>
      <c r="QH67" s="412"/>
      <c r="QI67" s="412"/>
      <c r="QJ67" s="412"/>
      <c r="QK67" s="412"/>
      <c r="QL67" s="412"/>
      <c r="QM67" s="412"/>
      <c r="QN67" s="412"/>
      <c r="QO67" s="412"/>
      <c r="QP67" s="412"/>
      <c r="QQ67" s="412"/>
      <c r="QR67" s="412"/>
      <c r="QS67" s="412"/>
      <c r="QT67" s="412"/>
      <c r="QU67" s="412"/>
      <c r="QV67" s="412"/>
      <c r="QW67" s="412"/>
      <c r="QX67" s="412"/>
      <c r="QY67" s="412"/>
      <c r="QZ67" s="412"/>
      <c r="RA67" s="412"/>
      <c r="RB67" s="412"/>
      <c r="RC67" s="412"/>
      <c r="RD67" s="412"/>
      <c r="RE67" s="412"/>
      <c r="RF67" s="412"/>
      <c r="RG67" s="412"/>
      <c r="RH67" s="412"/>
      <c r="RI67" s="412"/>
      <c r="RJ67" s="412"/>
      <c r="RK67" s="412"/>
      <c r="RL67" s="412"/>
      <c r="RM67" s="412"/>
      <c r="RN67" s="412"/>
      <c r="RO67" s="412"/>
      <c r="RP67" s="412"/>
      <c r="RQ67" s="412"/>
      <c r="RR67" s="412"/>
      <c r="RS67" s="412"/>
      <c r="RT67" s="412"/>
      <c r="RU67" s="412"/>
      <c r="RV67" s="412"/>
      <c r="RW67" s="412"/>
      <c r="RX67" s="412"/>
      <c r="RY67" s="412"/>
      <c r="RZ67" s="412"/>
      <c r="SA67" s="412"/>
      <c r="SB67" s="412"/>
      <c r="SC67" s="412"/>
      <c r="SD67" s="412"/>
      <c r="SE67" s="412"/>
      <c r="SF67" s="412"/>
      <c r="SG67" s="412"/>
      <c r="SH67" s="412"/>
      <c r="SI67" s="412"/>
      <c r="SJ67" s="412"/>
      <c r="SK67" s="412"/>
      <c r="SL67" s="412"/>
      <c r="SM67" s="412"/>
      <c r="SN67" s="412"/>
      <c r="SO67" s="412"/>
      <c r="SP67" s="412"/>
      <c r="SQ67" s="412"/>
      <c r="SR67" s="412"/>
      <c r="SS67" s="412"/>
      <c r="ST67" s="412"/>
      <c r="SU67" s="412"/>
      <c r="SV67" s="412"/>
      <c r="SW67" s="412"/>
      <c r="SX67" s="412"/>
      <c r="SY67" s="412"/>
      <c r="SZ67" s="412"/>
      <c r="TA67" s="412"/>
      <c r="TB67" s="412"/>
      <c r="TC67" s="412"/>
      <c r="TD67" s="412"/>
      <c r="TE67" s="412"/>
      <c r="TF67" s="412"/>
      <c r="TG67" s="412"/>
      <c r="TH67" s="412"/>
      <c r="TI67" s="412"/>
      <c r="TJ67" s="412"/>
      <c r="TK67" s="412"/>
      <c r="TL67" s="412"/>
      <c r="TM67" s="412"/>
      <c r="TN67" s="412"/>
      <c r="TO67" s="412"/>
      <c r="TP67" s="412"/>
      <c r="TQ67" s="412"/>
      <c r="TR67" s="412"/>
      <c r="TS67" s="412"/>
      <c r="TT67" s="412"/>
      <c r="TU67" s="412"/>
      <c r="TV67" s="412"/>
      <c r="TW67" s="412"/>
      <c r="TX67" s="412"/>
      <c r="TY67" s="412"/>
      <c r="TZ67" s="412"/>
      <c r="UA67" s="412"/>
      <c r="UB67" s="412"/>
      <c r="UC67" s="412"/>
      <c r="UD67" s="412"/>
      <c r="UE67" s="412"/>
      <c r="UF67" s="412"/>
      <c r="UG67" s="412"/>
      <c r="UH67" s="412"/>
      <c r="UI67" s="412"/>
      <c r="UJ67" s="412"/>
      <c r="UK67" s="412"/>
      <c r="UL67" s="412"/>
      <c r="UM67" s="412"/>
      <c r="UN67" s="412"/>
      <c r="UO67" s="412"/>
      <c r="UP67" s="412"/>
      <c r="UQ67" s="412"/>
      <c r="UR67" s="412"/>
      <c r="US67" s="412"/>
      <c r="UT67" s="412"/>
      <c r="UU67" s="412"/>
      <c r="UV67" s="412"/>
      <c r="UW67" s="412"/>
      <c r="UX67" s="412"/>
      <c r="UY67" s="412"/>
      <c r="UZ67" s="412"/>
      <c r="VA67" s="412"/>
      <c r="VB67" s="412"/>
      <c r="VC67" s="412"/>
      <c r="VD67" s="412"/>
      <c r="VE67" s="412"/>
      <c r="VF67" s="412"/>
      <c r="VG67" s="412"/>
      <c r="VH67" s="412"/>
      <c r="VI67" s="412"/>
      <c r="VJ67" s="412"/>
      <c r="VK67" s="412"/>
      <c r="VL67" s="412"/>
      <c r="VM67" s="412"/>
      <c r="VN67" s="412"/>
      <c r="VO67" s="412"/>
      <c r="VP67" s="412"/>
      <c r="VQ67" s="412"/>
      <c r="VR67" s="412"/>
      <c r="VS67" s="412"/>
      <c r="VT67" s="412"/>
      <c r="VU67" s="412"/>
      <c r="VV67" s="412"/>
      <c r="VW67" s="412"/>
      <c r="VX67" s="412"/>
      <c r="VY67" s="412"/>
      <c r="VZ67" s="412"/>
      <c r="WA67" s="412"/>
      <c r="WB67" s="412"/>
      <c r="WC67" s="412"/>
      <c r="WD67" s="412"/>
      <c r="WE67" s="412"/>
      <c r="WF67" s="412"/>
      <c r="WG67" s="412"/>
      <c r="WH67" s="412"/>
      <c r="WI67" s="412"/>
      <c r="WJ67" s="412"/>
      <c r="WK67" s="412"/>
      <c r="WL67" s="412"/>
      <c r="WM67" s="412"/>
      <c r="WN67" s="412"/>
      <c r="WO67" s="412"/>
      <c r="WP67" s="412"/>
      <c r="WQ67" s="412"/>
      <c r="WR67" s="412"/>
      <c r="WS67" s="412"/>
      <c r="WT67" s="412"/>
      <c r="WU67" s="412"/>
      <c r="WV67" s="412"/>
      <c r="WW67" s="412"/>
      <c r="WX67" s="412"/>
      <c r="WY67" s="412"/>
      <c r="WZ67" s="412"/>
      <c r="XA67" s="412"/>
      <c r="XB67" s="412"/>
      <c r="XC67" s="412"/>
      <c r="XD67" s="412"/>
      <c r="XE67" s="412"/>
      <c r="XF67" s="412"/>
      <c r="XG67" s="412"/>
      <c r="XH67" s="412"/>
      <c r="XI67" s="412"/>
      <c r="XJ67" s="412"/>
      <c r="XK67" s="412"/>
      <c r="XL67" s="412"/>
      <c r="XM67" s="412"/>
      <c r="XN67" s="412"/>
      <c r="XO67" s="412"/>
      <c r="XP67" s="412"/>
      <c r="XQ67" s="412"/>
      <c r="XR67" s="412"/>
      <c r="XS67" s="412"/>
      <c r="XT67" s="412"/>
      <c r="XU67" s="412"/>
      <c r="XV67" s="412"/>
      <c r="XW67" s="412"/>
      <c r="XX67" s="412"/>
      <c r="XY67" s="412"/>
      <c r="XZ67" s="412"/>
      <c r="YA67" s="412"/>
      <c r="YB67" s="412"/>
      <c r="YC67" s="412"/>
      <c r="YD67" s="412"/>
      <c r="YE67" s="412"/>
      <c r="YF67" s="412"/>
      <c r="YG67" s="412"/>
      <c r="YH67" s="412"/>
      <c r="YI67" s="412"/>
      <c r="YJ67" s="412"/>
      <c r="YK67" s="412"/>
      <c r="YL67" s="412"/>
      <c r="YM67" s="412"/>
      <c r="YN67" s="412"/>
      <c r="YO67" s="412"/>
      <c r="YP67" s="412"/>
      <c r="YQ67" s="412"/>
      <c r="YR67" s="412"/>
      <c r="YS67" s="412"/>
      <c r="YT67" s="412"/>
      <c r="YU67" s="412"/>
      <c r="YV67" s="412"/>
      <c r="YW67" s="412"/>
      <c r="YX67" s="412"/>
      <c r="YY67" s="412"/>
      <c r="YZ67" s="412"/>
      <c r="ZA67" s="412"/>
      <c r="ZB67" s="412"/>
      <c r="ZC67" s="412"/>
      <c r="ZD67" s="412"/>
      <c r="ZE67" s="412"/>
      <c r="ZF67" s="412"/>
      <c r="ZG67" s="412"/>
      <c r="ZH67" s="412"/>
      <c r="ZI67" s="412"/>
      <c r="ZJ67" s="412"/>
      <c r="ZK67" s="412"/>
      <c r="ZL67" s="412"/>
      <c r="ZM67" s="412"/>
      <c r="ZN67" s="412"/>
      <c r="ZO67" s="412"/>
      <c r="ZP67" s="412"/>
      <c r="ZQ67" s="412"/>
      <c r="ZR67" s="412"/>
      <c r="ZS67" s="412"/>
      <c r="ZT67" s="412"/>
      <c r="ZU67" s="412"/>
      <c r="ZV67" s="412"/>
      <c r="ZW67" s="412"/>
      <c r="ZX67" s="412"/>
      <c r="ZY67" s="412"/>
      <c r="ZZ67" s="412"/>
      <c r="AAA67" s="412"/>
      <c r="AAB67" s="412"/>
      <c r="AAC67" s="412"/>
      <c r="AAD67" s="412"/>
      <c r="AAE67" s="412"/>
      <c r="AAF67" s="412"/>
      <c r="AAG67" s="412"/>
      <c r="AAH67" s="412"/>
      <c r="AAI67" s="412"/>
      <c r="AAJ67" s="412"/>
      <c r="AAK67" s="412"/>
      <c r="AAL67" s="412"/>
      <c r="AAM67" s="412"/>
      <c r="AAN67" s="412"/>
      <c r="AAO67" s="412"/>
      <c r="AAP67" s="412"/>
      <c r="AAQ67" s="412"/>
      <c r="AAR67" s="412"/>
      <c r="AAS67" s="412"/>
      <c r="AAT67" s="412"/>
      <c r="AAU67" s="412"/>
      <c r="AAV67" s="412"/>
      <c r="AAW67" s="412"/>
      <c r="AAX67" s="412"/>
      <c r="AAY67" s="412"/>
      <c r="AAZ67" s="412"/>
      <c r="ABA67" s="412"/>
      <c r="ABB67" s="412"/>
      <c r="ABC67" s="412"/>
      <c r="ABD67" s="412"/>
      <c r="ABE67" s="412"/>
      <c r="ABF67" s="412"/>
      <c r="ABG67" s="412"/>
      <c r="ABH67" s="412"/>
      <c r="ABI67" s="412"/>
      <c r="ABJ67" s="412"/>
      <c r="ABK67" s="412"/>
      <c r="ABL67" s="412"/>
      <c r="ABM67" s="412"/>
      <c r="ABN67" s="412"/>
      <c r="ABO67" s="412"/>
      <c r="ABP67" s="412"/>
      <c r="ABQ67" s="412"/>
      <c r="ABR67" s="412"/>
      <c r="ABS67" s="412"/>
      <c r="ABT67" s="412"/>
      <c r="ABU67" s="412"/>
      <c r="ABV67" s="412"/>
      <c r="ABW67" s="412"/>
      <c r="ABX67" s="412"/>
      <c r="ABY67" s="412"/>
      <c r="ABZ67" s="412"/>
      <c r="ACA67" s="412"/>
      <c r="ACB67" s="412"/>
      <c r="ACC67" s="412"/>
      <c r="ACD67" s="412"/>
      <c r="ACE67" s="412"/>
      <c r="ACF67" s="412"/>
      <c r="ACG67" s="412"/>
      <c r="ACH67" s="412"/>
      <c r="ACI67" s="412"/>
      <c r="ACJ67" s="412"/>
      <c r="ACK67" s="412"/>
      <c r="ACL67" s="412"/>
      <c r="ACM67" s="412"/>
      <c r="ACN67" s="412"/>
      <c r="ACO67" s="412"/>
      <c r="ACP67" s="412"/>
      <c r="ACQ67" s="412"/>
      <c r="ACR67" s="412"/>
      <c r="ACS67" s="412"/>
      <c r="ACT67" s="412"/>
      <c r="ACU67" s="412"/>
      <c r="ACV67" s="412"/>
      <c r="ACW67" s="412"/>
      <c r="ACX67" s="412"/>
      <c r="ACY67" s="412"/>
      <c r="ACZ67" s="412"/>
      <c r="ADA67" s="412"/>
      <c r="ADB67" s="412"/>
      <c r="ADC67" s="412"/>
      <c r="ADD67" s="412"/>
      <c r="ADE67" s="412"/>
      <c r="ADF67" s="412"/>
      <c r="ADG67" s="412"/>
      <c r="ADH67" s="412"/>
      <c r="ADI67" s="412"/>
      <c r="ADJ67" s="412"/>
      <c r="ADK67" s="412"/>
      <c r="ADL67" s="412"/>
      <c r="ADM67" s="412"/>
      <c r="ADN67" s="412"/>
      <c r="ADO67" s="412"/>
      <c r="ADP67" s="412"/>
      <c r="ADQ67" s="412"/>
      <c r="ADR67" s="412"/>
      <c r="ADS67" s="412"/>
      <c r="ADT67" s="412"/>
      <c r="ADU67" s="412"/>
      <c r="ADV67" s="412"/>
      <c r="ADW67" s="412"/>
      <c r="ADX67" s="412"/>
      <c r="ADY67" s="412"/>
      <c r="ADZ67" s="412"/>
      <c r="AEA67" s="412"/>
      <c r="AEB67" s="412"/>
      <c r="AEC67" s="412"/>
      <c r="AED67" s="412"/>
      <c r="AEE67" s="412"/>
      <c r="AEF67" s="412"/>
      <c r="AEG67" s="412"/>
      <c r="AEH67" s="412"/>
      <c r="AEI67" s="412"/>
      <c r="AEJ67" s="412"/>
      <c r="AEK67" s="412"/>
      <c r="AEL67" s="412"/>
      <c r="AEM67" s="412"/>
      <c r="AEN67" s="412"/>
      <c r="AEO67" s="412"/>
      <c r="AEP67" s="412"/>
      <c r="AEQ67" s="412"/>
      <c r="AER67" s="412"/>
      <c r="AES67" s="412"/>
      <c r="AET67" s="412"/>
      <c r="AEU67" s="412"/>
      <c r="AEV67" s="412"/>
      <c r="AEW67" s="412"/>
      <c r="AEX67" s="412"/>
      <c r="AEY67" s="412"/>
      <c r="AEZ67" s="412"/>
      <c r="AFA67" s="412"/>
      <c r="AFB67" s="412"/>
      <c r="AFC67" s="412"/>
      <c r="AFD67" s="412"/>
      <c r="AFE67" s="412"/>
      <c r="AFF67" s="412"/>
      <c r="AFG67" s="412"/>
      <c r="AFH67" s="412"/>
      <c r="AFI67" s="412"/>
      <c r="AFJ67" s="412"/>
      <c r="AFK67" s="412"/>
      <c r="AFL67" s="412"/>
      <c r="AFM67" s="412"/>
      <c r="AFN67" s="412"/>
      <c r="AFO67" s="412"/>
      <c r="AFP67" s="412"/>
      <c r="AFQ67" s="412"/>
      <c r="AFR67" s="412"/>
      <c r="AFS67" s="412"/>
      <c r="AFT67" s="412"/>
      <c r="AFU67" s="412"/>
      <c r="AFV67" s="412"/>
      <c r="AFW67" s="412"/>
      <c r="AFX67" s="412"/>
      <c r="AFY67" s="412"/>
      <c r="AFZ67" s="412"/>
      <c r="AGA67" s="412"/>
      <c r="AGB67" s="412"/>
      <c r="AGC67" s="412"/>
      <c r="AGD67" s="412"/>
      <c r="AGE67" s="412"/>
      <c r="AGF67" s="412"/>
      <c r="AGG67" s="412"/>
      <c r="AGH67" s="412"/>
      <c r="AGI67" s="412"/>
      <c r="AGJ67" s="412"/>
      <c r="AGK67" s="412"/>
      <c r="AGL67" s="412"/>
      <c r="AGM67" s="412"/>
      <c r="AGN67" s="412"/>
      <c r="AGO67" s="412"/>
      <c r="AGP67" s="412"/>
      <c r="AGQ67" s="412"/>
      <c r="AGR67" s="412"/>
      <c r="AGS67" s="412"/>
      <c r="AGT67" s="412"/>
      <c r="AGU67" s="412"/>
      <c r="AGV67" s="412"/>
      <c r="AGW67" s="412"/>
      <c r="AGX67" s="412"/>
      <c r="AGY67" s="412"/>
      <c r="AGZ67" s="412"/>
      <c r="AHA67" s="412"/>
      <c r="AHB67" s="412"/>
      <c r="AHC67" s="412"/>
      <c r="AHD67" s="412"/>
      <c r="AHE67" s="412"/>
      <c r="AHF67" s="412"/>
      <c r="AHG67" s="412"/>
      <c r="AHH67" s="412"/>
      <c r="AHI67" s="412"/>
      <c r="AHJ67" s="412"/>
      <c r="AHK67" s="412"/>
      <c r="AHL67" s="412"/>
      <c r="AHM67" s="412"/>
      <c r="AHN67" s="412"/>
      <c r="AHO67" s="412"/>
      <c r="AHP67" s="412"/>
      <c r="AHQ67" s="412"/>
      <c r="AHR67" s="412"/>
      <c r="AHS67" s="412"/>
      <c r="AHT67" s="412"/>
      <c r="AHU67" s="412"/>
      <c r="AHV67" s="412"/>
      <c r="AHW67" s="412"/>
      <c r="AHX67" s="412"/>
      <c r="AHY67" s="412"/>
      <c r="AHZ67" s="412"/>
      <c r="AIA67" s="412"/>
      <c r="AIB67" s="412"/>
      <c r="AIC67" s="412"/>
      <c r="AID67" s="412"/>
      <c r="AIE67" s="412"/>
      <c r="AIF67" s="412"/>
      <c r="AIG67" s="412"/>
      <c r="AIH67" s="412"/>
      <c r="AII67" s="412"/>
      <c r="AIJ67" s="412"/>
      <c r="AIK67" s="412"/>
      <c r="AIL67" s="412"/>
      <c r="AIM67" s="412"/>
      <c r="AIN67" s="412"/>
      <c r="AIO67" s="412"/>
      <c r="AIP67" s="412"/>
      <c r="AIQ67" s="412"/>
      <c r="AIR67" s="412"/>
      <c r="AIS67" s="412"/>
      <c r="AIT67" s="412"/>
      <c r="AIU67" s="412"/>
      <c r="AIV67" s="412"/>
      <c r="AIW67" s="412"/>
      <c r="AIX67" s="412"/>
      <c r="AIY67" s="412"/>
      <c r="AIZ67" s="412"/>
      <c r="AJA67" s="412"/>
      <c r="AJB67" s="412"/>
      <c r="AJC67" s="412"/>
      <c r="AJD67" s="412"/>
      <c r="AJE67" s="412"/>
      <c r="AJF67" s="412"/>
      <c r="AJG67" s="412"/>
      <c r="AJH67" s="412"/>
      <c r="AJI67" s="412"/>
      <c r="AJJ67" s="412"/>
      <c r="AJK67" s="412"/>
      <c r="AJL67" s="412"/>
      <c r="AJM67" s="412"/>
      <c r="AJN67" s="412"/>
      <c r="AJO67" s="412"/>
      <c r="AJP67" s="412"/>
      <c r="AJQ67" s="412"/>
      <c r="AJR67" s="412"/>
      <c r="AJS67" s="412"/>
      <c r="AJT67" s="412"/>
      <c r="AJU67" s="412"/>
      <c r="AJV67" s="412"/>
      <c r="AJW67" s="412"/>
      <c r="AJX67" s="412"/>
      <c r="AJY67" s="412"/>
      <c r="AJZ67" s="412"/>
      <c r="AKA67" s="412"/>
      <c r="AKB67" s="412"/>
      <c r="AKC67" s="412"/>
      <c r="AKD67" s="412"/>
      <c r="AKE67" s="412"/>
      <c r="AKF67" s="412"/>
      <c r="AKG67" s="412"/>
      <c r="AKH67" s="412"/>
      <c r="AKI67" s="412"/>
      <c r="AKJ67" s="412"/>
      <c r="AKK67" s="412"/>
      <c r="AKL67" s="412"/>
      <c r="AKM67" s="412"/>
      <c r="AKN67" s="412"/>
      <c r="AKO67" s="412"/>
      <c r="AKP67" s="412"/>
      <c r="AKQ67" s="412"/>
      <c r="AKR67" s="412"/>
      <c r="AKS67" s="412"/>
      <c r="AKT67" s="412"/>
      <c r="AKU67" s="412"/>
      <c r="AKV67" s="412"/>
      <c r="AKW67" s="412"/>
      <c r="AKX67" s="412"/>
      <c r="AKY67" s="412"/>
      <c r="AKZ67" s="412"/>
      <c r="ALA67" s="412"/>
      <c r="ALB67" s="412"/>
      <c r="ALC67" s="412"/>
      <c r="ALD67" s="412"/>
      <c r="ALE67" s="412"/>
      <c r="ALF67" s="412"/>
      <c r="ALG67" s="412"/>
      <c r="ALH67" s="412"/>
      <c r="ALI67" s="412"/>
      <c r="ALJ67" s="412"/>
      <c r="ALK67" s="412"/>
      <c r="ALL67" s="412"/>
      <c r="ALM67" s="412"/>
      <c r="ALN67" s="412"/>
      <c r="ALO67" s="412"/>
      <c r="ALP67" s="412"/>
      <c r="ALQ67" s="412"/>
      <c r="ALR67" s="412"/>
      <c r="ALS67" s="412"/>
      <c r="ALT67" s="412"/>
      <c r="ALU67" s="412"/>
      <c r="ALV67" s="412"/>
      <c r="ALW67" s="412"/>
      <c r="ALX67" s="412"/>
      <c r="ALY67" s="412"/>
      <c r="ALZ67" s="412"/>
      <c r="AMA67" s="412"/>
      <c r="AMB67" s="412"/>
      <c r="AMC67" s="412"/>
      <c r="AMD67" s="412"/>
      <c r="AME67" s="412"/>
      <c r="AMF67" s="412"/>
      <c r="AMG67" s="412"/>
      <c r="AMH67" s="412"/>
      <c r="AMI67" s="412"/>
      <c r="AMJ67" s="412"/>
      <c r="AMK67" s="412"/>
      <c r="AML67" s="412"/>
      <c r="AMM67" s="412"/>
      <c r="AMN67" s="412"/>
      <c r="AMO67" s="412"/>
      <c r="AMP67" s="412"/>
      <c r="AMQ67" s="412"/>
      <c r="AMR67" s="412"/>
      <c r="AMS67" s="412"/>
      <c r="AMT67" s="412"/>
      <c r="AMU67" s="412"/>
      <c r="AMV67" s="412"/>
      <c r="AMW67" s="412"/>
      <c r="AMX67" s="412"/>
      <c r="AMY67" s="412"/>
      <c r="AMZ67" s="412"/>
      <c r="ANA67" s="412"/>
      <c r="ANB67" s="412"/>
      <c r="ANC67" s="412"/>
      <c r="AND67" s="412"/>
      <c r="ANE67" s="412"/>
      <c r="ANF67" s="412"/>
      <c r="ANG67" s="412"/>
      <c r="ANH67" s="412"/>
      <c r="ANI67" s="412"/>
      <c r="ANJ67" s="412"/>
      <c r="ANK67" s="412"/>
      <c r="ANL67" s="412"/>
      <c r="ANM67" s="412"/>
      <c r="ANN67" s="412"/>
      <c r="ANO67" s="412"/>
      <c r="ANP67" s="412"/>
      <c r="ANQ67" s="412"/>
      <c r="ANR67" s="412"/>
      <c r="ANS67" s="412"/>
      <c r="ANT67" s="412"/>
      <c r="ANU67" s="412"/>
      <c r="ANV67" s="412"/>
      <c r="ANW67" s="412"/>
      <c r="ANX67" s="412"/>
      <c r="ANY67" s="412"/>
      <c r="ANZ67" s="412"/>
      <c r="AOA67" s="412"/>
      <c r="AOB67" s="412"/>
      <c r="AOC67" s="412"/>
      <c r="AOD67" s="412"/>
      <c r="AOE67" s="412"/>
      <c r="AOF67" s="412"/>
      <c r="AOG67" s="412"/>
      <c r="AOH67" s="412"/>
      <c r="AOI67" s="412"/>
      <c r="AOJ67" s="412"/>
      <c r="AOK67" s="412"/>
      <c r="AOL67" s="412"/>
      <c r="AOM67" s="412"/>
      <c r="AON67" s="412"/>
      <c r="AOO67" s="412"/>
      <c r="AOP67" s="412"/>
      <c r="AOQ67" s="412"/>
      <c r="AOR67" s="412"/>
      <c r="AOS67" s="412"/>
      <c r="AOT67" s="412"/>
      <c r="AOU67" s="412"/>
      <c r="AOV67" s="412"/>
      <c r="AOW67" s="412"/>
      <c r="AOX67" s="412"/>
      <c r="AOY67" s="412"/>
      <c r="AOZ67" s="412"/>
      <c r="APA67" s="412"/>
      <c r="APB67" s="412"/>
      <c r="APC67" s="412"/>
      <c r="APD67" s="412"/>
      <c r="APE67" s="412"/>
      <c r="APF67" s="412"/>
      <c r="APG67" s="412"/>
      <c r="APH67" s="412"/>
      <c r="API67" s="412"/>
      <c r="APJ67" s="412"/>
      <c r="APK67" s="412"/>
      <c r="APL67" s="412"/>
      <c r="APM67" s="412"/>
      <c r="APN67" s="412"/>
      <c r="APO67" s="412"/>
      <c r="APP67" s="412"/>
      <c r="APQ67" s="412"/>
      <c r="APR67" s="412"/>
      <c r="APS67" s="412"/>
      <c r="APT67" s="412"/>
      <c r="APU67" s="412"/>
      <c r="APV67" s="412"/>
      <c r="APW67" s="412"/>
      <c r="APX67" s="412"/>
      <c r="APY67" s="412"/>
      <c r="APZ67" s="412"/>
      <c r="AQA67" s="412"/>
      <c r="AQB67" s="412"/>
      <c r="AQC67" s="412"/>
      <c r="AQD67" s="412"/>
      <c r="AQE67" s="412"/>
      <c r="AQF67" s="412"/>
      <c r="AQG67" s="412"/>
      <c r="AQH67" s="412"/>
      <c r="AQI67" s="412"/>
      <c r="AQJ67" s="412"/>
      <c r="AQK67" s="412"/>
      <c r="AQL67" s="412"/>
      <c r="AQM67" s="412"/>
      <c r="AQN67" s="412"/>
      <c r="AQO67" s="412"/>
      <c r="AQP67" s="412"/>
      <c r="AQQ67" s="412"/>
      <c r="AQR67" s="412"/>
      <c r="AQS67" s="412"/>
      <c r="AQT67" s="412"/>
      <c r="AQU67" s="412"/>
      <c r="AQV67" s="412"/>
      <c r="AQW67" s="412"/>
      <c r="AQX67" s="412"/>
      <c r="AQY67" s="412"/>
      <c r="AQZ67" s="412"/>
      <c r="ARA67" s="412"/>
      <c r="ARB67" s="412"/>
      <c r="ARC67" s="412"/>
      <c r="ARD67" s="412"/>
      <c r="ARE67" s="412"/>
      <c r="ARF67" s="412"/>
      <c r="ARG67" s="412"/>
      <c r="ARH67" s="412"/>
      <c r="ARI67" s="412"/>
      <c r="ARJ67" s="412"/>
      <c r="ARK67" s="412"/>
      <c r="ARL67" s="412"/>
      <c r="ARM67" s="412"/>
      <c r="ARN67" s="412"/>
      <c r="ARO67" s="412"/>
      <c r="ARP67" s="412"/>
      <c r="ARQ67" s="412"/>
      <c r="ARR67" s="412"/>
      <c r="ARS67" s="412"/>
      <c r="ART67" s="412"/>
      <c r="ARU67" s="412"/>
      <c r="ARV67" s="412"/>
      <c r="ARW67" s="412"/>
      <c r="ARX67" s="412"/>
      <c r="ARY67" s="412"/>
      <c r="ARZ67" s="412"/>
      <c r="ASA67" s="412"/>
      <c r="ASB67" s="412"/>
      <c r="ASC67" s="412"/>
      <c r="ASD67" s="412"/>
      <c r="ASE67" s="412"/>
      <c r="ASF67" s="412"/>
      <c r="ASG67" s="412"/>
      <c r="ASH67" s="412"/>
      <c r="ASI67" s="412"/>
      <c r="ASJ67" s="412"/>
      <c r="ASK67" s="412"/>
      <c r="ASL67" s="412"/>
      <c r="ASM67" s="412"/>
      <c r="ASN67" s="412"/>
      <c r="ASO67" s="412"/>
      <c r="ASP67" s="412"/>
      <c r="ASQ67" s="412"/>
      <c r="ASR67" s="412"/>
      <c r="ASS67" s="412"/>
      <c r="AST67" s="412"/>
      <c r="ASU67" s="412"/>
      <c r="ASV67" s="412"/>
      <c r="ASW67" s="412"/>
      <c r="ASX67" s="412"/>
      <c r="ASY67" s="412"/>
      <c r="ASZ67" s="412"/>
      <c r="ATA67" s="412"/>
      <c r="ATB67" s="412"/>
      <c r="ATC67" s="412"/>
      <c r="ATD67" s="412"/>
      <c r="ATE67" s="412"/>
      <c r="ATF67" s="412"/>
      <c r="ATG67" s="412"/>
      <c r="ATH67" s="412"/>
      <c r="ATI67" s="412"/>
      <c r="ATJ67" s="412"/>
      <c r="ATK67" s="412"/>
      <c r="ATL67" s="412"/>
      <c r="ATM67" s="412"/>
      <c r="ATN67" s="412"/>
      <c r="ATO67" s="412"/>
      <c r="ATP67" s="412"/>
      <c r="ATQ67" s="412"/>
      <c r="ATR67" s="412"/>
      <c r="ATS67" s="412"/>
      <c r="ATT67" s="412"/>
      <c r="ATU67" s="412"/>
      <c r="ATV67" s="412"/>
      <c r="ATW67" s="412"/>
      <c r="ATX67" s="412"/>
      <c r="ATY67" s="412"/>
      <c r="ATZ67" s="412"/>
      <c r="AUA67" s="412"/>
      <c r="AUB67" s="412"/>
      <c r="AUC67" s="412"/>
      <c r="AUD67" s="412"/>
      <c r="AUE67" s="412"/>
      <c r="AUF67" s="412"/>
      <c r="AUG67" s="412"/>
      <c r="AUH67" s="412"/>
      <c r="AUI67" s="412"/>
      <c r="AUJ67" s="412"/>
      <c r="AUK67" s="412"/>
      <c r="AUL67" s="412"/>
      <c r="AUM67" s="412"/>
      <c r="AUN67" s="412"/>
      <c r="AUO67" s="412"/>
      <c r="AUP67" s="412"/>
      <c r="AUQ67" s="412"/>
      <c r="AUR67" s="412"/>
      <c r="AUS67" s="412"/>
      <c r="AUT67" s="412"/>
      <c r="AUU67" s="412"/>
      <c r="AUV67" s="412"/>
      <c r="AUW67" s="412"/>
      <c r="AUX67" s="412"/>
      <c r="AUY67" s="412"/>
      <c r="AUZ67" s="412"/>
      <c r="AVA67" s="412"/>
      <c r="AVB67" s="412"/>
      <c r="AVC67" s="412"/>
      <c r="AVD67" s="412"/>
      <c r="AVE67" s="412"/>
      <c r="AVF67" s="412"/>
      <c r="AVG67" s="412"/>
      <c r="AVH67" s="412"/>
      <c r="AVI67" s="412"/>
      <c r="AVJ67" s="412"/>
      <c r="AVK67" s="412"/>
      <c r="AVL67" s="412"/>
      <c r="AVM67" s="412"/>
      <c r="AVN67" s="412"/>
      <c r="AVO67" s="412"/>
      <c r="AVP67" s="412"/>
      <c r="AVQ67" s="412"/>
      <c r="AVR67" s="412"/>
      <c r="AVS67" s="412"/>
      <c r="AVT67" s="412"/>
      <c r="AVU67" s="412"/>
      <c r="AVV67" s="412"/>
      <c r="AVW67" s="412"/>
      <c r="AVX67" s="412"/>
      <c r="AVY67" s="412"/>
      <c r="AVZ67" s="412"/>
      <c r="AWA67" s="412"/>
      <c r="AWB67" s="412"/>
      <c r="AWC67" s="412"/>
      <c r="AWD67" s="412"/>
      <c r="AWE67" s="412"/>
      <c r="AWF67" s="412"/>
      <c r="AWG67" s="412"/>
      <c r="AWH67" s="412"/>
      <c r="AWI67" s="412"/>
      <c r="AWJ67" s="412"/>
      <c r="AWK67" s="412"/>
      <c r="AWL67" s="412"/>
      <c r="AWM67" s="412"/>
      <c r="AWN67" s="412"/>
      <c r="AWO67" s="412"/>
      <c r="AWP67" s="412"/>
      <c r="AWQ67" s="412"/>
      <c r="AWR67" s="412"/>
      <c r="AWS67" s="412"/>
      <c r="AWT67" s="412"/>
      <c r="AWU67" s="412"/>
      <c r="AWV67" s="412"/>
      <c r="AWW67" s="412"/>
      <c r="AWX67" s="412"/>
      <c r="AWY67" s="412"/>
      <c r="AWZ67" s="412"/>
      <c r="AXA67" s="412"/>
      <c r="AXB67" s="412"/>
      <c r="AXC67" s="412"/>
      <c r="AXD67" s="412"/>
      <c r="AXE67" s="412"/>
      <c r="AXF67" s="412"/>
      <c r="AXG67" s="412"/>
      <c r="AXH67" s="412"/>
      <c r="AXI67" s="412"/>
      <c r="AXJ67" s="412"/>
      <c r="AXK67" s="412"/>
      <c r="AXL67" s="412"/>
      <c r="AXM67" s="412"/>
      <c r="AXN67" s="412"/>
      <c r="AXO67" s="412"/>
      <c r="AXP67" s="412"/>
      <c r="AXQ67" s="412"/>
      <c r="AXR67" s="412"/>
      <c r="AXS67" s="412"/>
      <c r="AXT67" s="412"/>
      <c r="AXU67" s="412"/>
      <c r="AXV67" s="412"/>
      <c r="AXW67" s="412"/>
      <c r="AXX67" s="412"/>
      <c r="AXY67" s="412"/>
      <c r="AXZ67" s="412"/>
      <c r="AYA67" s="412"/>
      <c r="AYB67" s="412"/>
      <c r="AYC67" s="412"/>
      <c r="AYD67" s="412"/>
      <c r="AYE67" s="412"/>
      <c r="AYF67" s="412"/>
      <c r="AYG67" s="412"/>
      <c r="AYH67" s="412"/>
      <c r="AYI67" s="412"/>
      <c r="AYJ67" s="412"/>
      <c r="AYK67" s="412"/>
      <c r="AYL67" s="412"/>
      <c r="AYM67" s="412"/>
      <c r="AYN67" s="412"/>
      <c r="AYO67" s="412"/>
      <c r="AYP67" s="412"/>
      <c r="AYQ67" s="412"/>
      <c r="AYR67" s="412"/>
      <c r="AYS67" s="412"/>
      <c r="AYT67" s="412"/>
      <c r="AYU67" s="412"/>
      <c r="AYV67" s="412"/>
      <c r="AYW67" s="412"/>
      <c r="AYX67" s="412"/>
      <c r="AYY67" s="412"/>
      <c r="AYZ67" s="412"/>
      <c r="AZA67" s="412"/>
      <c r="AZB67" s="412"/>
      <c r="AZC67" s="412"/>
      <c r="AZD67" s="412"/>
      <c r="AZE67" s="412"/>
      <c r="AZF67" s="412"/>
      <c r="AZG67" s="412"/>
      <c r="AZH67" s="412"/>
      <c r="AZI67" s="412"/>
      <c r="AZJ67" s="412"/>
      <c r="AZK67" s="412"/>
      <c r="AZL67" s="412"/>
      <c r="AZM67" s="412"/>
      <c r="AZN67" s="412"/>
      <c r="AZO67" s="412"/>
      <c r="AZP67" s="412"/>
      <c r="AZQ67" s="412"/>
      <c r="AZR67" s="412"/>
      <c r="AZS67" s="412"/>
      <c r="AZT67" s="412"/>
      <c r="AZU67" s="412"/>
      <c r="AZV67" s="412"/>
      <c r="AZW67" s="412"/>
      <c r="AZX67" s="412"/>
      <c r="AZY67" s="412"/>
      <c r="AZZ67" s="412"/>
      <c r="BAA67" s="412"/>
      <c r="BAB67" s="412"/>
      <c r="BAC67" s="412"/>
      <c r="BAD67" s="412"/>
      <c r="BAE67" s="412"/>
      <c r="BAF67" s="412"/>
      <c r="BAG67" s="412"/>
      <c r="BAH67" s="412"/>
      <c r="BAI67" s="412"/>
      <c r="BAJ67" s="412"/>
      <c r="BAK67" s="412"/>
      <c r="BAL67" s="412"/>
      <c r="BAM67" s="412"/>
      <c r="BAN67" s="412"/>
      <c r="BAO67" s="412"/>
      <c r="BAP67" s="412"/>
      <c r="BAQ67" s="412"/>
      <c r="BAR67" s="412"/>
      <c r="BAS67" s="412"/>
      <c r="BAT67" s="412"/>
      <c r="BAU67" s="412"/>
      <c r="BAV67" s="412"/>
      <c r="BAW67" s="412"/>
      <c r="BAX67" s="412"/>
      <c r="BAY67" s="412"/>
      <c r="BAZ67" s="412"/>
      <c r="BBA67" s="412"/>
      <c r="BBB67" s="412"/>
      <c r="BBC67" s="412"/>
      <c r="BBD67" s="412"/>
      <c r="BBE67" s="412"/>
      <c r="BBF67" s="412"/>
      <c r="BBG67" s="412"/>
      <c r="BBH67" s="412"/>
      <c r="BBI67" s="412"/>
      <c r="BBJ67" s="412"/>
      <c r="BBK67" s="412"/>
      <c r="BBL67" s="412"/>
      <c r="BBM67" s="412"/>
      <c r="BBN67" s="412"/>
      <c r="BBO67" s="412"/>
      <c r="BBP67" s="412"/>
      <c r="BBQ67" s="412"/>
      <c r="BBR67" s="412"/>
      <c r="BBS67" s="412"/>
      <c r="BBT67" s="412"/>
      <c r="BBU67" s="412"/>
      <c r="BBV67" s="412"/>
      <c r="BBW67" s="412"/>
      <c r="BBX67" s="412"/>
      <c r="BBY67" s="412"/>
      <c r="BBZ67" s="412"/>
      <c r="BCA67" s="412"/>
      <c r="BCB67" s="412"/>
      <c r="BCC67" s="412"/>
      <c r="BCD67" s="412"/>
      <c r="BCE67" s="412"/>
      <c r="BCF67" s="412"/>
      <c r="BCG67" s="412"/>
      <c r="BCH67" s="412"/>
      <c r="BCI67" s="412"/>
      <c r="BCJ67" s="412"/>
      <c r="BCK67" s="412"/>
      <c r="BCL67" s="412"/>
      <c r="BCM67" s="412"/>
      <c r="BCN67" s="412"/>
      <c r="BCO67" s="412"/>
      <c r="BCP67" s="412"/>
      <c r="BCQ67" s="412"/>
      <c r="BCR67" s="412"/>
      <c r="BCS67" s="412"/>
      <c r="BCT67" s="412"/>
      <c r="BCU67" s="412"/>
      <c r="BCV67" s="412"/>
      <c r="BCW67" s="412"/>
      <c r="BCX67" s="412"/>
      <c r="BCY67" s="412"/>
      <c r="BCZ67" s="412"/>
      <c r="BDA67" s="412"/>
      <c r="BDB67" s="412"/>
      <c r="BDC67" s="412"/>
      <c r="BDD67" s="412"/>
      <c r="BDE67" s="412"/>
      <c r="BDF67" s="412"/>
      <c r="BDG67" s="412"/>
      <c r="BDH67" s="412"/>
      <c r="BDI67" s="412"/>
      <c r="BDJ67" s="412"/>
      <c r="BDK67" s="412"/>
      <c r="BDL67" s="412"/>
      <c r="BDM67" s="412"/>
      <c r="BDN67" s="412"/>
      <c r="BDO67" s="412"/>
      <c r="BDP67" s="412"/>
      <c r="BDQ67" s="412"/>
      <c r="BDR67" s="412"/>
      <c r="BDS67" s="412"/>
      <c r="BDT67" s="412"/>
      <c r="BDU67" s="412"/>
      <c r="BDV67" s="412"/>
      <c r="BDW67" s="412"/>
      <c r="BDX67" s="412"/>
      <c r="BDY67" s="412"/>
      <c r="BDZ67" s="412"/>
      <c r="BEA67" s="412"/>
      <c r="BEB67" s="412"/>
      <c r="BEC67" s="412"/>
      <c r="BED67" s="412"/>
      <c r="BEE67" s="412"/>
      <c r="BEF67" s="412"/>
      <c r="BEG67" s="412"/>
      <c r="BEH67" s="412"/>
      <c r="BEI67" s="412"/>
      <c r="BEJ67" s="412"/>
      <c r="BEK67" s="412"/>
      <c r="BEL67" s="412"/>
      <c r="BEM67" s="412"/>
      <c r="BEN67" s="412"/>
      <c r="BEO67" s="412"/>
      <c r="BEP67" s="412"/>
      <c r="BEQ67" s="412"/>
      <c r="BER67" s="412"/>
      <c r="BES67" s="412"/>
      <c r="BET67" s="412"/>
      <c r="BEU67" s="412"/>
      <c r="BEV67" s="412"/>
      <c r="BEW67" s="412"/>
      <c r="BEX67" s="412"/>
      <c r="BEY67" s="412"/>
      <c r="BEZ67" s="412"/>
      <c r="BFA67" s="412"/>
      <c r="BFB67" s="412"/>
      <c r="BFC67" s="412"/>
      <c r="BFD67" s="412"/>
      <c r="BFE67" s="412"/>
      <c r="BFF67" s="412"/>
      <c r="BFG67" s="412"/>
      <c r="BFH67" s="412"/>
      <c r="BFI67" s="412"/>
      <c r="BFJ67" s="412"/>
      <c r="BFK67" s="412"/>
      <c r="BFL67" s="412"/>
      <c r="BFM67" s="412"/>
      <c r="BFN67" s="412"/>
      <c r="BFO67" s="412"/>
      <c r="BFP67" s="412"/>
      <c r="BFQ67" s="412"/>
      <c r="BFR67" s="412"/>
      <c r="BFS67" s="412"/>
      <c r="BFT67" s="412"/>
      <c r="BFU67" s="412"/>
      <c r="BFV67" s="412"/>
      <c r="BFW67" s="412"/>
      <c r="BFX67" s="412"/>
      <c r="BFY67" s="412"/>
      <c r="BFZ67" s="412"/>
      <c r="BGA67" s="412"/>
      <c r="BGB67" s="412"/>
      <c r="BGC67" s="412"/>
      <c r="BGD67" s="412"/>
      <c r="BGE67" s="412"/>
      <c r="BGF67" s="412"/>
      <c r="BGG67" s="412"/>
      <c r="BGH67" s="412"/>
      <c r="BGI67" s="412"/>
      <c r="BGJ67" s="412"/>
      <c r="BGK67" s="412"/>
      <c r="BGL67" s="412"/>
      <c r="BGM67" s="412"/>
      <c r="BGN67" s="412"/>
      <c r="BGO67" s="412"/>
      <c r="BGP67" s="412"/>
      <c r="BGQ67" s="412"/>
      <c r="BGR67" s="412"/>
      <c r="BGS67" s="412"/>
      <c r="BGT67" s="412"/>
      <c r="BGU67" s="412"/>
      <c r="BGV67" s="412"/>
      <c r="BGW67" s="412"/>
      <c r="BGX67" s="412"/>
      <c r="BGY67" s="412"/>
      <c r="BGZ67" s="412"/>
      <c r="BHA67" s="412"/>
      <c r="BHB67" s="412"/>
      <c r="BHC67" s="412"/>
      <c r="BHD67" s="412"/>
      <c r="BHE67" s="412"/>
      <c r="BHF67" s="412"/>
      <c r="BHG67" s="412"/>
      <c r="BHH67" s="412"/>
      <c r="BHI67" s="412"/>
      <c r="BHJ67" s="412"/>
      <c r="BHK67" s="412"/>
      <c r="BHL67" s="412"/>
      <c r="BHM67" s="412"/>
      <c r="BHN67" s="412"/>
      <c r="BHO67" s="412"/>
      <c r="BHP67" s="412"/>
      <c r="BHQ67" s="412"/>
      <c r="BHR67" s="412"/>
      <c r="BHS67" s="412"/>
      <c r="BHT67" s="412"/>
      <c r="BHU67" s="412"/>
      <c r="BHV67" s="412"/>
      <c r="BHW67" s="412"/>
      <c r="BHX67" s="412"/>
      <c r="BHY67" s="412"/>
      <c r="BHZ67" s="412"/>
      <c r="BIA67" s="412"/>
      <c r="BIB67" s="412"/>
      <c r="BIC67" s="412"/>
      <c r="BID67" s="412"/>
      <c r="BIE67" s="412"/>
      <c r="BIF67" s="412"/>
      <c r="BIG67" s="412"/>
      <c r="BIH67" s="412"/>
      <c r="BII67" s="412"/>
      <c r="BIJ67" s="412"/>
      <c r="BIK67" s="412"/>
      <c r="BIL67" s="412"/>
      <c r="BIM67" s="412"/>
      <c r="BIN67" s="412"/>
      <c r="BIO67" s="412"/>
      <c r="BIP67" s="412"/>
      <c r="BIQ67" s="412"/>
      <c r="BIR67" s="412"/>
      <c r="BIS67" s="412"/>
      <c r="BIT67" s="412"/>
      <c r="BIU67" s="412"/>
      <c r="BIV67" s="412"/>
      <c r="BIW67" s="412"/>
      <c r="BIX67" s="412"/>
      <c r="BIY67" s="412"/>
      <c r="BIZ67" s="412"/>
      <c r="BJA67" s="412"/>
      <c r="BJB67" s="412"/>
      <c r="BJC67" s="412"/>
      <c r="BJD67" s="412"/>
      <c r="BJE67" s="412"/>
      <c r="BJF67" s="412"/>
      <c r="BJG67" s="412"/>
      <c r="BJH67" s="412"/>
      <c r="BJI67" s="412"/>
      <c r="BJJ67" s="412"/>
      <c r="BJK67" s="412"/>
      <c r="BJL67" s="412"/>
      <c r="BJM67" s="412"/>
      <c r="BJN67" s="412"/>
      <c r="BJO67" s="412"/>
      <c r="BJP67" s="412"/>
      <c r="BJQ67" s="412"/>
      <c r="BJR67" s="412"/>
      <c r="BJS67" s="412"/>
      <c r="BJT67" s="412"/>
      <c r="BJU67" s="412"/>
      <c r="BJV67" s="412"/>
      <c r="BJW67" s="412"/>
      <c r="BJX67" s="412"/>
      <c r="BJY67" s="412"/>
      <c r="BJZ67" s="412"/>
      <c r="BKA67" s="412"/>
      <c r="BKB67" s="412"/>
      <c r="BKC67" s="412"/>
      <c r="BKD67" s="412"/>
      <c r="BKE67" s="412"/>
      <c r="BKF67" s="412"/>
      <c r="BKG67" s="412"/>
      <c r="BKH67" s="412"/>
      <c r="BKI67" s="412"/>
      <c r="BKJ67" s="412"/>
      <c r="BKK67" s="412"/>
      <c r="BKL67" s="412"/>
      <c r="BKM67" s="412"/>
      <c r="BKN67" s="412"/>
      <c r="BKO67" s="412"/>
      <c r="BKP67" s="412"/>
      <c r="BKQ67" s="412"/>
      <c r="BKR67" s="412"/>
      <c r="BKS67" s="412"/>
      <c r="BKT67" s="412"/>
      <c r="BKU67" s="412"/>
      <c r="BKV67" s="412"/>
      <c r="BKW67" s="412"/>
      <c r="BKX67" s="412"/>
      <c r="BKY67" s="412"/>
      <c r="BKZ67" s="412"/>
      <c r="BLA67" s="412"/>
      <c r="BLB67" s="412"/>
      <c r="BLC67" s="412"/>
      <c r="BLD67" s="412"/>
      <c r="BLE67" s="412"/>
      <c r="BLF67" s="412"/>
      <c r="BLG67" s="412"/>
      <c r="BLH67" s="412"/>
      <c r="BLI67" s="412"/>
      <c r="BLJ67" s="412"/>
      <c r="BLK67" s="412"/>
      <c r="BLL67" s="412"/>
      <c r="BLM67" s="412"/>
      <c r="BLN67" s="412"/>
      <c r="BLO67" s="412"/>
      <c r="BLP67" s="412"/>
      <c r="BLQ67" s="412"/>
      <c r="BLR67" s="412"/>
      <c r="BLS67" s="412"/>
      <c r="BLT67" s="412"/>
      <c r="BLU67" s="412"/>
      <c r="BLV67" s="412"/>
      <c r="BLW67" s="412"/>
      <c r="BLX67" s="412"/>
      <c r="BLY67" s="412"/>
      <c r="BLZ67" s="412"/>
      <c r="BMA67" s="412"/>
      <c r="BMB67" s="412"/>
      <c r="BMC67" s="412"/>
      <c r="BMD67" s="412"/>
      <c r="BME67" s="412"/>
      <c r="BMF67" s="412"/>
      <c r="BMG67" s="412"/>
      <c r="BMH67" s="412"/>
      <c r="BMI67" s="412"/>
      <c r="BMJ67" s="412"/>
      <c r="BMK67" s="412"/>
      <c r="BML67" s="412"/>
      <c r="BMM67" s="412"/>
      <c r="BMN67" s="412"/>
      <c r="BMO67" s="412"/>
      <c r="BMP67" s="412"/>
      <c r="BMQ67" s="412"/>
      <c r="BMR67" s="412"/>
      <c r="BMS67" s="412"/>
      <c r="BMT67" s="412"/>
      <c r="BMU67" s="412"/>
      <c r="BMV67" s="412"/>
      <c r="BMW67" s="412"/>
      <c r="BMX67" s="412"/>
      <c r="BMY67" s="412"/>
      <c r="BMZ67" s="412"/>
      <c r="BNA67" s="412"/>
      <c r="BNB67" s="412"/>
      <c r="BNC67" s="412"/>
      <c r="BND67" s="412"/>
      <c r="BNE67" s="412"/>
      <c r="BNF67" s="412"/>
      <c r="BNG67" s="412"/>
      <c r="BNH67" s="412"/>
      <c r="BNI67" s="412"/>
      <c r="BNJ67" s="412"/>
      <c r="BNK67" s="412"/>
      <c r="BNL67" s="412"/>
      <c r="BNM67" s="412"/>
      <c r="BNN67" s="412"/>
      <c r="BNO67" s="412"/>
      <c r="BNP67" s="412"/>
      <c r="BNQ67" s="412"/>
      <c r="BNR67" s="412"/>
      <c r="BNS67" s="412"/>
      <c r="BNT67" s="412"/>
      <c r="BNU67" s="412"/>
      <c r="BNV67" s="412"/>
      <c r="BNW67" s="412"/>
      <c r="BNX67" s="412"/>
      <c r="BNY67" s="412"/>
      <c r="BNZ67" s="412"/>
      <c r="BOA67" s="412"/>
      <c r="BOB67" s="412"/>
      <c r="BOC67" s="412"/>
      <c r="BOD67" s="412"/>
      <c r="BOE67" s="412"/>
      <c r="BOF67" s="412"/>
      <c r="BOG67" s="412"/>
      <c r="BOH67" s="412"/>
      <c r="BOI67" s="412"/>
      <c r="BOJ67" s="412"/>
      <c r="BOK67" s="412"/>
      <c r="BOL67" s="412"/>
      <c r="BOM67" s="412"/>
      <c r="BON67" s="412"/>
      <c r="BOO67" s="412"/>
      <c r="BOP67" s="412"/>
      <c r="BOQ67" s="412"/>
      <c r="BOR67" s="412"/>
      <c r="BOS67" s="412"/>
      <c r="BOT67" s="412"/>
      <c r="BOU67" s="412"/>
      <c r="BOV67" s="412"/>
      <c r="BOW67" s="412"/>
      <c r="BOX67" s="412"/>
      <c r="BOY67" s="412"/>
      <c r="BOZ67" s="412"/>
      <c r="BPA67" s="412"/>
      <c r="BPB67" s="412"/>
      <c r="BPC67" s="412"/>
      <c r="BPD67" s="412"/>
      <c r="BPE67" s="412"/>
      <c r="BPF67" s="412"/>
      <c r="BPG67" s="412"/>
      <c r="BPH67" s="412"/>
      <c r="BPI67" s="412"/>
      <c r="BPJ67" s="412"/>
      <c r="BPK67" s="412"/>
      <c r="BPL67" s="412"/>
      <c r="BPM67" s="412"/>
      <c r="BPN67" s="412"/>
      <c r="BPO67" s="412"/>
      <c r="BPP67" s="412"/>
      <c r="BPQ67" s="412"/>
      <c r="BPR67" s="412"/>
      <c r="BPS67" s="412"/>
      <c r="BPT67" s="412"/>
      <c r="BPU67" s="412"/>
      <c r="BPV67" s="412"/>
      <c r="BPW67" s="412"/>
      <c r="BPX67" s="412"/>
      <c r="BPY67" s="412"/>
      <c r="BPZ67" s="412"/>
      <c r="BQA67" s="412"/>
      <c r="BQB67" s="412"/>
      <c r="BQC67" s="412"/>
      <c r="BQD67" s="412"/>
      <c r="BQE67" s="412"/>
      <c r="BQF67" s="412"/>
      <c r="BQG67" s="412"/>
      <c r="BQH67" s="412"/>
      <c r="BQI67" s="412"/>
      <c r="BQJ67" s="412"/>
      <c r="BQK67" s="412"/>
      <c r="BQL67" s="412"/>
      <c r="BQM67" s="412"/>
      <c r="BQN67" s="412"/>
      <c r="BQO67" s="412"/>
      <c r="BQP67" s="412"/>
      <c r="BQQ67" s="412"/>
      <c r="BQR67" s="412"/>
      <c r="BQS67" s="412"/>
      <c r="BQT67" s="412"/>
      <c r="BQU67" s="412"/>
      <c r="BQV67" s="412"/>
      <c r="BQW67" s="412"/>
      <c r="BQX67" s="412"/>
      <c r="BQY67" s="412"/>
      <c r="BQZ67" s="412"/>
      <c r="BRA67" s="412"/>
      <c r="BRB67" s="412"/>
      <c r="BRC67" s="412"/>
      <c r="BRD67" s="412"/>
      <c r="BRE67" s="412"/>
      <c r="BRF67" s="412"/>
      <c r="BRG67" s="412"/>
      <c r="BRH67" s="412"/>
      <c r="BRI67" s="412"/>
      <c r="BRJ67" s="412"/>
      <c r="BRK67" s="412"/>
      <c r="BRL67" s="412"/>
      <c r="BRM67" s="412"/>
      <c r="BRN67" s="412"/>
      <c r="BRO67" s="412"/>
      <c r="BRP67" s="412"/>
      <c r="BRQ67" s="412"/>
      <c r="BRR67" s="412"/>
      <c r="BRS67" s="412"/>
      <c r="BRT67" s="412"/>
      <c r="BRU67" s="412"/>
      <c r="BRV67" s="412"/>
      <c r="BRW67" s="412"/>
      <c r="BRX67" s="412"/>
      <c r="BRY67" s="412"/>
      <c r="BRZ67" s="412"/>
      <c r="BSA67" s="412"/>
      <c r="BSB67" s="412"/>
      <c r="BSC67" s="412"/>
      <c r="BSD67" s="412"/>
      <c r="BSE67" s="412"/>
      <c r="BSF67" s="412"/>
      <c r="BSG67" s="412"/>
      <c r="BSH67" s="412"/>
      <c r="BSI67" s="412"/>
      <c r="BSJ67" s="412"/>
      <c r="BSK67" s="412"/>
      <c r="BSL67" s="412"/>
      <c r="BSM67" s="412"/>
      <c r="BSN67" s="412"/>
      <c r="BSO67" s="412"/>
      <c r="BSP67" s="412"/>
      <c r="BSQ67" s="412"/>
      <c r="BSR67" s="412"/>
      <c r="BSS67" s="412"/>
      <c r="BST67" s="412"/>
      <c r="BSU67" s="412"/>
      <c r="BSV67" s="412"/>
      <c r="BSW67" s="412"/>
      <c r="BSX67" s="412"/>
      <c r="BSY67" s="412"/>
      <c r="BSZ67" s="412"/>
      <c r="BTA67" s="412"/>
      <c r="BTB67" s="412"/>
      <c r="BTC67" s="412"/>
      <c r="BTD67" s="412"/>
      <c r="BTE67" s="412"/>
      <c r="BTF67" s="412"/>
      <c r="BTG67" s="412"/>
      <c r="BTH67" s="412"/>
      <c r="BTI67" s="412"/>
    </row>
    <row r="68" spans="1:1881" s="4" customFormat="1" ht="81.75" customHeight="1" thickBot="1" x14ac:dyDescent="0.3">
      <c r="A68" s="189">
        <v>509</v>
      </c>
      <c r="B68" s="64" t="s">
        <v>62</v>
      </c>
      <c r="C68" s="160" t="s">
        <v>167</v>
      </c>
      <c r="D68" s="176" t="s">
        <v>622</v>
      </c>
      <c r="E68" s="32" t="e">
        <f>HLOOKUP($D$2,'2019 Data(H)'!$C$1:$CG$300,159,FALSE)</f>
        <v>#N/A</v>
      </c>
      <c r="F68" s="647"/>
      <c r="G68" s="413">
        <f>IF(F68&lt;0,"Error: Enter as positive.",)</f>
        <v>0</v>
      </c>
      <c r="H68" s="17"/>
      <c r="I68" s="298"/>
      <c r="J68" s="412"/>
      <c r="K68" s="412"/>
      <c r="L68" s="865" t="s">
        <v>1165</v>
      </c>
      <c r="M68" s="633"/>
      <c r="N68" s="656"/>
      <c r="O68" s="412"/>
      <c r="P68" s="412"/>
      <c r="Q68" s="412"/>
      <c r="R68" s="412"/>
      <c r="S68" s="412"/>
      <c r="T68" s="412"/>
      <c r="U68" s="412"/>
      <c r="V68" s="412"/>
      <c r="W68" s="412"/>
      <c r="X68" s="412"/>
      <c r="Y68" s="412"/>
      <c r="Z68" s="412"/>
      <c r="AA68" s="412"/>
      <c r="AB68" s="412"/>
      <c r="AC68" s="412"/>
      <c r="AD68" s="412"/>
      <c r="AE68" s="412"/>
      <c r="AF68" s="412"/>
      <c r="AG68" s="412"/>
      <c r="AH68" s="412"/>
      <c r="AI68" s="412"/>
      <c r="AJ68" s="412"/>
      <c r="AK68" s="412"/>
      <c r="AL68" s="412"/>
      <c r="AM68" s="412"/>
      <c r="AN68" s="412"/>
      <c r="AO68" s="412"/>
      <c r="AP68" s="412"/>
      <c r="AQ68" s="412"/>
      <c r="AR68" s="412"/>
      <c r="AS68" s="412"/>
      <c r="AT68" s="412"/>
      <c r="AU68" s="412"/>
      <c r="AV68" s="412"/>
      <c r="AW68" s="412"/>
      <c r="AX68" s="412"/>
      <c r="AY68" s="412"/>
      <c r="AZ68" s="412"/>
      <c r="BA68" s="412"/>
      <c r="BB68" s="412"/>
      <c r="BC68" s="412"/>
      <c r="BD68" s="412"/>
      <c r="BE68" s="412"/>
      <c r="BF68" s="412"/>
      <c r="BG68" s="412"/>
      <c r="BH68" s="412"/>
      <c r="BI68" s="412"/>
      <c r="BJ68" s="412"/>
      <c r="BK68" s="412"/>
      <c r="BL68" s="412"/>
      <c r="BM68" s="412"/>
      <c r="BN68" s="412"/>
      <c r="BO68" s="412"/>
      <c r="BP68" s="412"/>
      <c r="BQ68" s="412"/>
      <c r="BR68" s="412"/>
      <c r="BS68" s="412"/>
      <c r="BT68" s="412"/>
      <c r="BU68" s="412"/>
      <c r="BV68" s="412"/>
      <c r="BW68" s="412"/>
      <c r="BX68" s="412"/>
      <c r="BY68" s="412"/>
      <c r="BZ68" s="412"/>
      <c r="CA68" s="412"/>
      <c r="CB68" s="412"/>
      <c r="CC68" s="412"/>
      <c r="CD68" s="412"/>
      <c r="CE68" s="412"/>
      <c r="CF68" s="412"/>
      <c r="CG68" s="412"/>
      <c r="CH68" s="412"/>
      <c r="CI68" s="412"/>
      <c r="CJ68" s="412"/>
      <c r="CK68" s="412"/>
      <c r="CL68" s="412"/>
      <c r="CM68" s="412"/>
      <c r="CN68" s="412"/>
      <c r="CO68" s="412"/>
      <c r="CP68" s="412"/>
      <c r="CQ68" s="412"/>
      <c r="CR68" s="412"/>
      <c r="CS68" s="412"/>
      <c r="CT68" s="412"/>
      <c r="CU68" s="412"/>
      <c r="CV68" s="412"/>
      <c r="CW68" s="412"/>
      <c r="CX68" s="412"/>
      <c r="CY68" s="412"/>
      <c r="CZ68" s="412"/>
      <c r="DA68" s="412"/>
      <c r="DB68" s="412"/>
      <c r="DC68" s="412"/>
      <c r="DD68" s="412"/>
      <c r="DE68" s="412"/>
      <c r="DF68" s="412"/>
      <c r="DG68" s="412"/>
      <c r="DH68" s="412"/>
      <c r="DI68" s="412"/>
      <c r="DJ68" s="412"/>
      <c r="DK68" s="412"/>
      <c r="DL68" s="412"/>
      <c r="DM68" s="412"/>
      <c r="DN68" s="412"/>
      <c r="DO68" s="412"/>
      <c r="DP68" s="412"/>
      <c r="DQ68" s="412"/>
      <c r="DR68" s="412"/>
      <c r="DS68" s="412"/>
      <c r="DT68" s="412"/>
      <c r="DU68" s="412"/>
      <c r="DV68" s="412"/>
      <c r="DW68" s="412"/>
      <c r="DX68" s="412"/>
      <c r="DY68" s="412"/>
      <c r="DZ68" s="412"/>
      <c r="EA68" s="412"/>
      <c r="EB68" s="412"/>
      <c r="EC68" s="412"/>
      <c r="ED68" s="412"/>
      <c r="EE68" s="412"/>
      <c r="EF68" s="412"/>
      <c r="EG68" s="412"/>
      <c r="EH68" s="412"/>
      <c r="EI68" s="412"/>
      <c r="EJ68" s="412"/>
      <c r="EK68" s="412"/>
      <c r="EL68" s="412"/>
      <c r="EM68" s="412"/>
      <c r="EN68" s="412"/>
      <c r="EO68" s="412"/>
      <c r="EP68" s="412"/>
      <c r="EQ68" s="412"/>
      <c r="ER68" s="412"/>
      <c r="ES68" s="412"/>
      <c r="ET68" s="412"/>
      <c r="EU68" s="412"/>
      <c r="EV68" s="412"/>
      <c r="EW68" s="412"/>
      <c r="EX68" s="412"/>
      <c r="EY68" s="412"/>
      <c r="EZ68" s="412"/>
      <c r="FA68" s="412"/>
      <c r="FB68" s="412"/>
      <c r="FC68" s="412"/>
      <c r="FD68" s="412"/>
      <c r="FE68" s="412"/>
      <c r="FF68" s="412"/>
      <c r="FG68" s="412"/>
      <c r="FH68" s="412"/>
      <c r="FI68" s="412"/>
      <c r="FJ68" s="412"/>
      <c r="FK68" s="412"/>
      <c r="FL68" s="412"/>
      <c r="FM68" s="412"/>
      <c r="FN68" s="412"/>
      <c r="FO68" s="412"/>
      <c r="FP68" s="412"/>
      <c r="FQ68" s="412"/>
      <c r="FR68" s="412"/>
      <c r="FS68" s="412"/>
      <c r="FT68" s="412"/>
      <c r="FU68" s="412"/>
      <c r="FV68" s="412"/>
      <c r="FW68" s="412"/>
      <c r="FX68" s="412"/>
      <c r="FY68" s="412"/>
      <c r="FZ68" s="412"/>
      <c r="GA68" s="412"/>
      <c r="GB68" s="412"/>
      <c r="GC68" s="412"/>
      <c r="GD68" s="412"/>
      <c r="GE68" s="412"/>
      <c r="GF68" s="412"/>
      <c r="GG68" s="412"/>
      <c r="GH68" s="412"/>
      <c r="GI68" s="412"/>
      <c r="GJ68" s="412"/>
      <c r="GK68" s="412"/>
      <c r="GL68" s="412"/>
      <c r="GM68" s="412"/>
      <c r="GN68" s="412"/>
      <c r="GO68" s="412"/>
      <c r="GP68" s="412"/>
      <c r="GQ68" s="412"/>
      <c r="GR68" s="412"/>
      <c r="GS68" s="412"/>
      <c r="GT68" s="412"/>
      <c r="GU68" s="412"/>
      <c r="GV68" s="412"/>
      <c r="GW68" s="412"/>
      <c r="GX68" s="412"/>
      <c r="GY68" s="412"/>
      <c r="GZ68" s="412"/>
      <c r="HA68" s="412"/>
      <c r="HB68" s="412"/>
      <c r="HC68" s="412"/>
      <c r="HD68" s="412"/>
      <c r="HE68" s="412"/>
      <c r="HF68" s="412"/>
      <c r="HG68" s="412"/>
      <c r="HH68" s="412"/>
      <c r="HI68" s="412"/>
      <c r="HJ68" s="412"/>
      <c r="HK68" s="412"/>
      <c r="HL68" s="412"/>
      <c r="HM68" s="412"/>
      <c r="HN68" s="412"/>
      <c r="HO68" s="412"/>
      <c r="HP68" s="412"/>
      <c r="HQ68" s="412"/>
      <c r="HR68" s="412"/>
      <c r="HS68" s="412"/>
      <c r="HT68" s="412"/>
      <c r="HU68" s="412"/>
      <c r="HV68" s="412"/>
      <c r="HW68" s="412"/>
      <c r="HX68" s="412"/>
      <c r="HY68" s="412"/>
      <c r="HZ68" s="412"/>
      <c r="IA68" s="412"/>
      <c r="IB68" s="412"/>
      <c r="IC68" s="412"/>
      <c r="ID68" s="412"/>
      <c r="IE68" s="412"/>
      <c r="IF68" s="412"/>
      <c r="IG68" s="412"/>
      <c r="IH68" s="412"/>
      <c r="II68" s="412"/>
      <c r="IJ68" s="412"/>
      <c r="IK68" s="412"/>
      <c r="IL68" s="412"/>
      <c r="IM68" s="412"/>
      <c r="IN68" s="412"/>
      <c r="IO68" s="412"/>
      <c r="IP68" s="412"/>
      <c r="IQ68" s="412"/>
      <c r="IR68" s="412"/>
      <c r="IS68" s="412"/>
      <c r="IT68" s="412"/>
      <c r="IU68" s="412"/>
      <c r="IV68" s="412"/>
      <c r="IW68" s="412"/>
      <c r="IX68" s="412"/>
      <c r="IY68" s="412"/>
      <c r="IZ68" s="412"/>
      <c r="JA68" s="412"/>
      <c r="JB68" s="412"/>
      <c r="JC68" s="412"/>
      <c r="JD68" s="412"/>
      <c r="JE68" s="412"/>
      <c r="JF68" s="412"/>
      <c r="JG68" s="412"/>
      <c r="JH68" s="412"/>
      <c r="JI68" s="412"/>
      <c r="JJ68" s="412"/>
      <c r="JK68" s="412"/>
      <c r="JL68" s="412"/>
      <c r="JM68" s="412"/>
      <c r="JN68" s="412"/>
      <c r="JO68" s="412"/>
      <c r="JP68" s="412"/>
      <c r="JQ68" s="412"/>
      <c r="JR68" s="412"/>
      <c r="JS68" s="412"/>
      <c r="JT68" s="412"/>
      <c r="JU68" s="412"/>
      <c r="JV68" s="412"/>
      <c r="JW68" s="412"/>
      <c r="JX68" s="412"/>
      <c r="JY68" s="412"/>
      <c r="JZ68" s="412"/>
      <c r="KA68" s="412"/>
      <c r="KB68" s="412"/>
      <c r="KC68" s="412"/>
      <c r="KD68" s="412"/>
      <c r="KE68" s="412"/>
      <c r="KF68" s="412"/>
      <c r="KG68" s="412"/>
      <c r="KH68" s="412"/>
      <c r="KI68" s="412"/>
      <c r="KJ68" s="412"/>
      <c r="KK68" s="412"/>
      <c r="KL68" s="412"/>
      <c r="KM68" s="412"/>
      <c r="KN68" s="412"/>
      <c r="KO68" s="412"/>
      <c r="KP68" s="412"/>
      <c r="KQ68" s="412"/>
      <c r="KR68" s="412"/>
      <c r="KS68" s="412"/>
      <c r="KT68" s="412"/>
      <c r="KU68" s="412"/>
      <c r="KV68" s="412"/>
      <c r="KW68" s="412"/>
      <c r="KX68" s="412"/>
      <c r="KY68" s="412"/>
      <c r="KZ68" s="412"/>
      <c r="LA68" s="412"/>
      <c r="LB68" s="412"/>
      <c r="LC68" s="412"/>
      <c r="LD68" s="412"/>
      <c r="LE68" s="412"/>
      <c r="LF68" s="412"/>
      <c r="LG68" s="412"/>
      <c r="LH68" s="412"/>
      <c r="LI68" s="412"/>
      <c r="LJ68" s="412"/>
      <c r="LK68" s="412"/>
      <c r="LL68" s="412"/>
      <c r="LM68" s="412"/>
      <c r="LN68" s="412"/>
      <c r="LO68" s="412"/>
      <c r="LP68" s="412"/>
      <c r="LQ68" s="412"/>
      <c r="LR68" s="412"/>
      <c r="LS68" s="412"/>
      <c r="LT68" s="412"/>
      <c r="LU68" s="412"/>
      <c r="LV68" s="412"/>
      <c r="LW68" s="412"/>
      <c r="LX68" s="412"/>
      <c r="LY68" s="412"/>
      <c r="LZ68" s="412"/>
      <c r="MA68" s="412"/>
      <c r="MB68" s="412"/>
      <c r="MC68" s="412"/>
      <c r="MD68" s="412"/>
      <c r="ME68" s="412"/>
      <c r="MF68" s="412"/>
      <c r="MG68" s="412"/>
      <c r="MH68" s="412"/>
      <c r="MI68" s="412"/>
      <c r="MJ68" s="412"/>
      <c r="MK68" s="412"/>
      <c r="ML68" s="412"/>
      <c r="MM68" s="412"/>
      <c r="MN68" s="412"/>
      <c r="MO68" s="412"/>
      <c r="MP68" s="412"/>
      <c r="MQ68" s="412"/>
      <c r="MR68" s="412"/>
      <c r="MS68" s="412"/>
      <c r="MT68" s="412"/>
      <c r="MU68" s="412"/>
      <c r="MV68" s="412"/>
      <c r="MW68" s="412"/>
      <c r="MX68" s="412"/>
      <c r="MY68" s="412"/>
      <c r="MZ68" s="412"/>
      <c r="NA68" s="412"/>
      <c r="NB68" s="412"/>
      <c r="NC68" s="412"/>
      <c r="ND68" s="412"/>
      <c r="NE68" s="412"/>
      <c r="NF68" s="412"/>
      <c r="NG68" s="412"/>
      <c r="NH68" s="412"/>
      <c r="NI68" s="412"/>
      <c r="NJ68" s="412"/>
      <c r="NK68" s="412"/>
      <c r="NL68" s="412"/>
      <c r="NM68" s="412"/>
      <c r="NN68" s="412"/>
      <c r="NO68" s="412"/>
      <c r="NP68" s="412"/>
      <c r="NQ68" s="412"/>
      <c r="NR68" s="412"/>
      <c r="NS68" s="412"/>
      <c r="NT68" s="412"/>
      <c r="NU68" s="412"/>
      <c r="NV68" s="412"/>
      <c r="NW68" s="412"/>
      <c r="NX68" s="412"/>
      <c r="NY68" s="412"/>
      <c r="NZ68" s="412"/>
      <c r="OA68" s="412"/>
      <c r="OB68" s="412"/>
      <c r="OC68" s="412"/>
      <c r="OD68" s="412"/>
      <c r="OE68" s="412"/>
      <c r="OF68" s="412"/>
      <c r="OG68" s="412"/>
      <c r="OH68" s="412"/>
      <c r="OI68" s="412"/>
      <c r="OJ68" s="412"/>
      <c r="OK68" s="412"/>
      <c r="OL68" s="412"/>
      <c r="OM68" s="412"/>
      <c r="ON68" s="412"/>
      <c r="OO68" s="412"/>
      <c r="OP68" s="412"/>
      <c r="OQ68" s="412"/>
      <c r="OR68" s="412"/>
      <c r="OS68" s="412"/>
      <c r="OT68" s="412"/>
      <c r="OU68" s="412"/>
      <c r="OV68" s="412"/>
      <c r="OW68" s="412"/>
      <c r="OX68" s="412"/>
      <c r="OY68" s="412"/>
      <c r="OZ68" s="412"/>
      <c r="PA68" s="412"/>
      <c r="PB68" s="412"/>
      <c r="PC68" s="412"/>
      <c r="PD68" s="412"/>
      <c r="PE68" s="412"/>
      <c r="PF68" s="412"/>
      <c r="PG68" s="412"/>
      <c r="PH68" s="412"/>
      <c r="PI68" s="412"/>
      <c r="PJ68" s="412"/>
      <c r="PK68" s="412"/>
      <c r="PL68" s="412"/>
      <c r="PM68" s="412"/>
      <c r="PN68" s="412"/>
      <c r="PO68" s="412"/>
      <c r="PP68" s="412"/>
      <c r="PQ68" s="412"/>
      <c r="PR68" s="412"/>
      <c r="PS68" s="412"/>
      <c r="PT68" s="412"/>
      <c r="PU68" s="412"/>
      <c r="PV68" s="412"/>
      <c r="PW68" s="412"/>
      <c r="PX68" s="412"/>
      <c r="PY68" s="412"/>
      <c r="PZ68" s="412"/>
      <c r="QA68" s="412"/>
      <c r="QB68" s="412"/>
      <c r="QC68" s="412"/>
      <c r="QD68" s="412"/>
      <c r="QE68" s="412"/>
      <c r="QF68" s="412"/>
      <c r="QG68" s="412"/>
      <c r="QH68" s="412"/>
      <c r="QI68" s="412"/>
      <c r="QJ68" s="412"/>
      <c r="QK68" s="412"/>
      <c r="QL68" s="412"/>
      <c r="QM68" s="412"/>
      <c r="QN68" s="412"/>
      <c r="QO68" s="412"/>
      <c r="QP68" s="412"/>
      <c r="QQ68" s="412"/>
      <c r="QR68" s="412"/>
      <c r="QS68" s="412"/>
      <c r="QT68" s="412"/>
      <c r="QU68" s="412"/>
      <c r="QV68" s="412"/>
      <c r="QW68" s="412"/>
      <c r="QX68" s="412"/>
      <c r="QY68" s="412"/>
      <c r="QZ68" s="412"/>
      <c r="RA68" s="412"/>
      <c r="RB68" s="412"/>
      <c r="RC68" s="412"/>
      <c r="RD68" s="412"/>
      <c r="RE68" s="412"/>
      <c r="RF68" s="412"/>
      <c r="RG68" s="412"/>
      <c r="RH68" s="412"/>
      <c r="RI68" s="412"/>
      <c r="RJ68" s="412"/>
      <c r="RK68" s="412"/>
      <c r="RL68" s="412"/>
      <c r="RM68" s="412"/>
      <c r="RN68" s="412"/>
      <c r="RO68" s="412"/>
      <c r="RP68" s="412"/>
      <c r="RQ68" s="412"/>
      <c r="RR68" s="412"/>
      <c r="RS68" s="412"/>
      <c r="RT68" s="412"/>
      <c r="RU68" s="412"/>
      <c r="RV68" s="412"/>
      <c r="RW68" s="412"/>
      <c r="RX68" s="412"/>
      <c r="RY68" s="412"/>
      <c r="RZ68" s="412"/>
      <c r="SA68" s="412"/>
      <c r="SB68" s="412"/>
      <c r="SC68" s="412"/>
      <c r="SD68" s="412"/>
      <c r="SE68" s="412"/>
      <c r="SF68" s="412"/>
      <c r="SG68" s="412"/>
      <c r="SH68" s="412"/>
      <c r="SI68" s="412"/>
      <c r="SJ68" s="412"/>
      <c r="SK68" s="412"/>
      <c r="SL68" s="412"/>
      <c r="SM68" s="412"/>
      <c r="SN68" s="412"/>
      <c r="SO68" s="412"/>
      <c r="SP68" s="412"/>
      <c r="SQ68" s="412"/>
      <c r="SR68" s="412"/>
      <c r="SS68" s="412"/>
      <c r="ST68" s="412"/>
      <c r="SU68" s="412"/>
      <c r="SV68" s="412"/>
      <c r="SW68" s="412"/>
      <c r="SX68" s="412"/>
      <c r="SY68" s="412"/>
      <c r="SZ68" s="412"/>
      <c r="TA68" s="412"/>
      <c r="TB68" s="412"/>
      <c r="TC68" s="412"/>
      <c r="TD68" s="412"/>
      <c r="TE68" s="412"/>
      <c r="TF68" s="412"/>
      <c r="TG68" s="412"/>
      <c r="TH68" s="412"/>
      <c r="TI68" s="412"/>
      <c r="TJ68" s="412"/>
      <c r="TK68" s="412"/>
      <c r="TL68" s="412"/>
      <c r="TM68" s="412"/>
      <c r="TN68" s="412"/>
      <c r="TO68" s="412"/>
      <c r="TP68" s="412"/>
      <c r="TQ68" s="412"/>
      <c r="TR68" s="412"/>
      <c r="TS68" s="412"/>
      <c r="TT68" s="412"/>
      <c r="TU68" s="412"/>
      <c r="TV68" s="412"/>
      <c r="TW68" s="412"/>
      <c r="TX68" s="412"/>
      <c r="TY68" s="412"/>
      <c r="TZ68" s="412"/>
      <c r="UA68" s="412"/>
      <c r="UB68" s="412"/>
      <c r="UC68" s="412"/>
      <c r="UD68" s="412"/>
      <c r="UE68" s="412"/>
      <c r="UF68" s="412"/>
      <c r="UG68" s="412"/>
      <c r="UH68" s="412"/>
      <c r="UI68" s="412"/>
      <c r="UJ68" s="412"/>
      <c r="UK68" s="412"/>
      <c r="UL68" s="412"/>
      <c r="UM68" s="412"/>
      <c r="UN68" s="412"/>
      <c r="UO68" s="412"/>
      <c r="UP68" s="412"/>
      <c r="UQ68" s="412"/>
      <c r="UR68" s="412"/>
      <c r="US68" s="412"/>
      <c r="UT68" s="412"/>
      <c r="UU68" s="412"/>
      <c r="UV68" s="412"/>
      <c r="UW68" s="412"/>
      <c r="UX68" s="412"/>
      <c r="UY68" s="412"/>
      <c r="UZ68" s="412"/>
      <c r="VA68" s="412"/>
      <c r="VB68" s="412"/>
      <c r="VC68" s="412"/>
      <c r="VD68" s="412"/>
      <c r="VE68" s="412"/>
      <c r="VF68" s="412"/>
      <c r="VG68" s="412"/>
      <c r="VH68" s="412"/>
      <c r="VI68" s="412"/>
      <c r="VJ68" s="412"/>
      <c r="VK68" s="412"/>
      <c r="VL68" s="412"/>
      <c r="VM68" s="412"/>
      <c r="VN68" s="412"/>
      <c r="VO68" s="412"/>
      <c r="VP68" s="412"/>
      <c r="VQ68" s="412"/>
      <c r="VR68" s="412"/>
      <c r="VS68" s="412"/>
      <c r="VT68" s="412"/>
      <c r="VU68" s="412"/>
      <c r="VV68" s="412"/>
      <c r="VW68" s="412"/>
      <c r="VX68" s="412"/>
      <c r="VY68" s="412"/>
      <c r="VZ68" s="412"/>
      <c r="WA68" s="412"/>
      <c r="WB68" s="412"/>
      <c r="WC68" s="412"/>
      <c r="WD68" s="412"/>
      <c r="WE68" s="412"/>
      <c r="WF68" s="412"/>
      <c r="WG68" s="412"/>
      <c r="WH68" s="412"/>
      <c r="WI68" s="412"/>
      <c r="WJ68" s="412"/>
      <c r="WK68" s="412"/>
      <c r="WL68" s="412"/>
      <c r="WM68" s="412"/>
      <c r="WN68" s="412"/>
      <c r="WO68" s="412"/>
      <c r="WP68" s="412"/>
      <c r="WQ68" s="412"/>
      <c r="WR68" s="412"/>
      <c r="WS68" s="412"/>
      <c r="WT68" s="412"/>
      <c r="WU68" s="412"/>
      <c r="WV68" s="412"/>
      <c r="WW68" s="412"/>
      <c r="WX68" s="412"/>
      <c r="WY68" s="412"/>
      <c r="WZ68" s="412"/>
      <c r="XA68" s="412"/>
      <c r="XB68" s="412"/>
      <c r="XC68" s="412"/>
      <c r="XD68" s="412"/>
      <c r="XE68" s="412"/>
      <c r="XF68" s="412"/>
      <c r="XG68" s="412"/>
      <c r="XH68" s="412"/>
      <c r="XI68" s="412"/>
      <c r="XJ68" s="412"/>
      <c r="XK68" s="412"/>
      <c r="XL68" s="412"/>
      <c r="XM68" s="412"/>
      <c r="XN68" s="412"/>
      <c r="XO68" s="412"/>
      <c r="XP68" s="412"/>
      <c r="XQ68" s="412"/>
      <c r="XR68" s="412"/>
      <c r="XS68" s="412"/>
      <c r="XT68" s="412"/>
      <c r="XU68" s="412"/>
      <c r="XV68" s="412"/>
      <c r="XW68" s="412"/>
      <c r="XX68" s="412"/>
      <c r="XY68" s="412"/>
      <c r="XZ68" s="412"/>
      <c r="YA68" s="412"/>
      <c r="YB68" s="412"/>
      <c r="YC68" s="412"/>
      <c r="YD68" s="412"/>
      <c r="YE68" s="412"/>
      <c r="YF68" s="412"/>
      <c r="YG68" s="412"/>
      <c r="YH68" s="412"/>
      <c r="YI68" s="412"/>
      <c r="YJ68" s="412"/>
      <c r="YK68" s="412"/>
      <c r="YL68" s="412"/>
      <c r="YM68" s="412"/>
      <c r="YN68" s="412"/>
      <c r="YO68" s="412"/>
      <c r="YP68" s="412"/>
      <c r="YQ68" s="412"/>
      <c r="YR68" s="412"/>
      <c r="YS68" s="412"/>
      <c r="YT68" s="412"/>
      <c r="YU68" s="412"/>
      <c r="YV68" s="412"/>
      <c r="YW68" s="412"/>
      <c r="YX68" s="412"/>
      <c r="YY68" s="412"/>
      <c r="YZ68" s="412"/>
      <c r="ZA68" s="412"/>
      <c r="ZB68" s="412"/>
      <c r="ZC68" s="412"/>
      <c r="ZD68" s="412"/>
      <c r="ZE68" s="412"/>
      <c r="ZF68" s="412"/>
      <c r="ZG68" s="412"/>
      <c r="ZH68" s="412"/>
      <c r="ZI68" s="412"/>
      <c r="ZJ68" s="412"/>
      <c r="ZK68" s="412"/>
      <c r="ZL68" s="412"/>
      <c r="ZM68" s="412"/>
      <c r="ZN68" s="412"/>
      <c r="ZO68" s="412"/>
      <c r="ZP68" s="412"/>
      <c r="ZQ68" s="412"/>
      <c r="ZR68" s="412"/>
      <c r="ZS68" s="412"/>
      <c r="ZT68" s="412"/>
      <c r="ZU68" s="412"/>
      <c r="ZV68" s="412"/>
      <c r="ZW68" s="412"/>
      <c r="ZX68" s="412"/>
      <c r="ZY68" s="412"/>
      <c r="ZZ68" s="412"/>
      <c r="AAA68" s="412"/>
      <c r="AAB68" s="412"/>
      <c r="AAC68" s="412"/>
      <c r="AAD68" s="412"/>
      <c r="AAE68" s="412"/>
      <c r="AAF68" s="412"/>
      <c r="AAG68" s="412"/>
      <c r="AAH68" s="412"/>
      <c r="AAI68" s="412"/>
      <c r="AAJ68" s="412"/>
      <c r="AAK68" s="412"/>
      <c r="AAL68" s="412"/>
      <c r="AAM68" s="412"/>
      <c r="AAN68" s="412"/>
      <c r="AAO68" s="412"/>
      <c r="AAP68" s="412"/>
      <c r="AAQ68" s="412"/>
      <c r="AAR68" s="412"/>
      <c r="AAS68" s="412"/>
      <c r="AAT68" s="412"/>
      <c r="AAU68" s="412"/>
      <c r="AAV68" s="412"/>
      <c r="AAW68" s="412"/>
      <c r="AAX68" s="412"/>
      <c r="AAY68" s="412"/>
      <c r="AAZ68" s="412"/>
      <c r="ABA68" s="412"/>
      <c r="ABB68" s="412"/>
      <c r="ABC68" s="412"/>
      <c r="ABD68" s="412"/>
      <c r="ABE68" s="412"/>
      <c r="ABF68" s="412"/>
      <c r="ABG68" s="412"/>
      <c r="ABH68" s="412"/>
      <c r="ABI68" s="412"/>
      <c r="ABJ68" s="412"/>
      <c r="ABK68" s="412"/>
      <c r="ABL68" s="412"/>
      <c r="ABM68" s="412"/>
      <c r="ABN68" s="412"/>
      <c r="ABO68" s="412"/>
      <c r="ABP68" s="412"/>
      <c r="ABQ68" s="412"/>
      <c r="ABR68" s="412"/>
      <c r="ABS68" s="412"/>
      <c r="ABT68" s="412"/>
      <c r="ABU68" s="412"/>
      <c r="ABV68" s="412"/>
      <c r="ABW68" s="412"/>
      <c r="ABX68" s="412"/>
      <c r="ABY68" s="412"/>
      <c r="ABZ68" s="412"/>
      <c r="ACA68" s="412"/>
      <c r="ACB68" s="412"/>
      <c r="ACC68" s="412"/>
      <c r="ACD68" s="412"/>
      <c r="ACE68" s="412"/>
      <c r="ACF68" s="412"/>
      <c r="ACG68" s="412"/>
      <c r="ACH68" s="412"/>
      <c r="ACI68" s="412"/>
      <c r="ACJ68" s="412"/>
      <c r="ACK68" s="412"/>
      <c r="ACL68" s="412"/>
      <c r="ACM68" s="412"/>
      <c r="ACN68" s="412"/>
      <c r="ACO68" s="412"/>
      <c r="ACP68" s="412"/>
      <c r="ACQ68" s="412"/>
      <c r="ACR68" s="412"/>
      <c r="ACS68" s="412"/>
      <c r="ACT68" s="412"/>
      <c r="ACU68" s="412"/>
      <c r="ACV68" s="412"/>
      <c r="ACW68" s="412"/>
      <c r="ACX68" s="412"/>
      <c r="ACY68" s="412"/>
      <c r="ACZ68" s="412"/>
      <c r="ADA68" s="412"/>
      <c r="ADB68" s="412"/>
      <c r="ADC68" s="412"/>
      <c r="ADD68" s="412"/>
      <c r="ADE68" s="412"/>
      <c r="ADF68" s="412"/>
      <c r="ADG68" s="412"/>
      <c r="ADH68" s="412"/>
      <c r="ADI68" s="412"/>
      <c r="ADJ68" s="412"/>
      <c r="ADK68" s="412"/>
      <c r="ADL68" s="412"/>
      <c r="ADM68" s="412"/>
      <c r="ADN68" s="412"/>
      <c r="ADO68" s="412"/>
      <c r="ADP68" s="412"/>
      <c r="ADQ68" s="412"/>
      <c r="ADR68" s="412"/>
      <c r="ADS68" s="412"/>
      <c r="ADT68" s="412"/>
      <c r="ADU68" s="412"/>
      <c r="ADV68" s="412"/>
      <c r="ADW68" s="412"/>
      <c r="ADX68" s="412"/>
      <c r="ADY68" s="412"/>
      <c r="ADZ68" s="412"/>
      <c r="AEA68" s="412"/>
      <c r="AEB68" s="412"/>
      <c r="AEC68" s="412"/>
      <c r="AED68" s="412"/>
      <c r="AEE68" s="412"/>
      <c r="AEF68" s="412"/>
      <c r="AEG68" s="412"/>
      <c r="AEH68" s="412"/>
      <c r="AEI68" s="412"/>
      <c r="AEJ68" s="412"/>
      <c r="AEK68" s="412"/>
      <c r="AEL68" s="412"/>
      <c r="AEM68" s="412"/>
      <c r="AEN68" s="412"/>
      <c r="AEO68" s="412"/>
      <c r="AEP68" s="412"/>
      <c r="AEQ68" s="412"/>
      <c r="AER68" s="412"/>
      <c r="AES68" s="412"/>
      <c r="AET68" s="412"/>
      <c r="AEU68" s="412"/>
      <c r="AEV68" s="412"/>
      <c r="AEW68" s="412"/>
      <c r="AEX68" s="412"/>
      <c r="AEY68" s="412"/>
      <c r="AEZ68" s="412"/>
      <c r="AFA68" s="412"/>
      <c r="AFB68" s="412"/>
      <c r="AFC68" s="412"/>
      <c r="AFD68" s="412"/>
      <c r="AFE68" s="412"/>
      <c r="AFF68" s="412"/>
      <c r="AFG68" s="412"/>
      <c r="AFH68" s="412"/>
      <c r="AFI68" s="412"/>
      <c r="AFJ68" s="412"/>
      <c r="AFK68" s="412"/>
      <c r="AFL68" s="412"/>
      <c r="AFM68" s="412"/>
      <c r="AFN68" s="412"/>
      <c r="AFO68" s="412"/>
      <c r="AFP68" s="412"/>
      <c r="AFQ68" s="412"/>
      <c r="AFR68" s="412"/>
      <c r="AFS68" s="412"/>
      <c r="AFT68" s="412"/>
      <c r="AFU68" s="412"/>
      <c r="AFV68" s="412"/>
      <c r="AFW68" s="412"/>
      <c r="AFX68" s="412"/>
      <c r="AFY68" s="412"/>
      <c r="AFZ68" s="412"/>
      <c r="AGA68" s="412"/>
      <c r="AGB68" s="412"/>
      <c r="AGC68" s="412"/>
      <c r="AGD68" s="412"/>
      <c r="AGE68" s="412"/>
      <c r="AGF68" s="412"/>
      <c r="AGG68" s="412"/>
      <c r="AGH68" s="412"/>
      <c r="AGI68" s="412"/>
      <c r="AGJ68" s="412"/>
      <c r="AGK68" s="412"/>
      <c r="AGL68" s="412"/>
      <c r="AGM68" s="412"/>
      <c r="AGN68" s="412"/>
      <c r="AGO68" s="412"/>
      <c r="AGP68" s="412"/>
      <c r="AGQ68" s="412"/>
      <c r="AGR68" s="412"/>
      <c r="AGS68" s="412"/>
      <c r="AGT68" s="412"/>
      <c r="AGU68" s="412"/>
      <c r="AGV68" s="412"/>
      <c r="AGW68" s="412"/>
      <c r="AGX68" s="412"/>
      <c r="AGY68" s="412"/>
      <c r="AGZ68" s="412"/>
      <c r="AHA68" s="412"/>
      <c r="AHB68" s="412"/>
      <c r="AHC68" s="412"/>
      <c r="AHD68" s="412"/>
      <c r="AHE68" s="412"/>
      <c r="AHF68" s="412"/>
      <c r="AHG68" s="412"/>
      <c r="AHH68" s="412"/>
      <c r="AHI68" s="412"/>
      <c r="AHJ68" s="412"/>
      <c r="AHK68" s="412"/>
      <c r="AHL68" s="412"/>
      <c r="AHM68" s="412"/>
      <c r="AHN68" s="412"/>
      <c r="AHO68" s="412"/>
      <c r="AHP68" s="412"/>
      <c r="AHQ68" s="412"/>
      <c r="AHR68" s="412"/>
      <c r="AHS68" s="412"/>
      <c r="AHT68" s="412"/>
      <c r="AHU68" s="412"/>
      <c r="AHV68" s="412"/>
      <c r="AHW68" s="412"/>
      <c r="AHX68" s="412"/>
      <c r="AHY68" s="412"/>
      <c r="AHZ68" s="412"/>
      <c r="AIA68" s="412"/>
      <c r="AIB68" s="412"/>
      <c r="AIC68" s="412"/>
      <c r="AID68" s="412"/>
      <c r="AIE68" s="412"/>
      <c r="AIF68" s="412"/>
      <c r="AIG68" s="412"/>
      <c r="AIH68" s="412"/>
      <c r="AII68" s="412"/>
      <c r="AIJ68" s="412"/>
      <c r="AIK68" s="412"/>
      <c r="AIL68" s="412"/>
      <c r="AIM68" s="412"/>
      <c r="AIN68" s="412"/>
      <c r="AIO68" s="412"/>
      <c r="AIP68" s="412"/>
      <c r="AIQ68" s="412"/>
      <c r="AIR68" s="412"/>
      <c r="AIS68" s="412"/>
      <c r="AIT68" s="412"/>
      <c r="AIU68" s="412"/>
      <c r="AIV68" s="412"/>
      <c r="AIW68" s="412"/>
      <c r="AIX68" s="412"/>
      <c r="AIY68" s="412"/>
      <c r="AIZ68" s="412"/>
      <c r="AJA68" s="412"/>
      <c r="AJB68" s="412"/>
      <c r="AJC68" s="412"/>
      <c r="AJD68" s="412"/>
      <c r="AJE68" s="412"/>
      <c r="AJF68" s="412"/>
      <c r="AJG68" s="412"/>
      <c r="AJH68" s="412"/>
      <c r="AJI68" s="412"/>
      <c r="AJJ68" s="412"/>
      <c r="AJK68" s="412"/>
      <c r="AJL68" s="412"/>
      <c r="AJM68" s="412"/>
      <c r="AJN68" s="412"/>
      <c r="AJO68" s="412"/>
      <c r="AJP68" s="412"/>
      <c r="AJQ68" s="412"/>
      <c r="AJR68" s="412"/>
      <c r="AJS68" s="412"/>
      <c r="AJT68" s="412"/>
      <c r="AJU68" s="412"/>
      <c r="AJV68" s="412"/>
      <c r="AJW68" s="412"/>
      <c r="AJX68" s="412"/>
      <c r="AJY68" s="412"/>
      <c r="AJZ68" s="412"/>
      <c r="AKA68" s="412"/>
      <c r="AKB68" s="412"/>
      <c r="AKC68" s="412"/>
      <c r="AKD68" s="412"/>
      <c r="AKE68" s="412"/>
      <c r="AKF68" s="412"/>
      <c r="AKG68" s="412"/>
      <c r="AKH68" s="412"/>
      <c r="AKI68" s="412"/>
      <c r="AKJ68" s="412"/>
      <c r="AKK68" s="412"/>
      <c r="AKL68" s="412"/>
      <c r="AKM68" s="412"/>
      <c r="AKN68" s="412"/>
      <c r="AKO68" s="412"/>
      <c r="AKP68" s="412"/>
      <c r="AKQ68" s="412"/>
      <c r="AKR68" s="412"/>
      <c r="AKS68" s="412"/>
      <c r="AKT68" s="412"/>
      <c r="AKU68" s="412"/>
      <c r="AKV68" s="412"/>
      <c r="AKW68" s="412"/>
      <c r="AKX68" s="412"/>
      <c r="AKY68" s="412"/>
      <c r="AKZ68" s="412"/>
      <c r="ALA68" s="412"/>
      <c r="ALB68" s="412"/>
      <c r="ALC68" s="412"/>
      <c r="ALD68" s="412"/>
      <c r="ALE68" s="412"/>
      <c r="ALF68" s="412"/>
      <c r="ALG68" s="412"/>
      <c r="ALH68" s="412"/>
      <c r="ALI68" s="412"/>
      <c r="ALJ68" s="412"/>
      <c r="ALK68" s="412"/>
      <c r="ALL68" s="412"/>
      <c r="ALM68" s="412"/>
      <c r="ALN68" s="412"/>
      <c r="ALO68" s="412"/>
      <c r="ALP68" s="412"/>
      <c r="ALQ68" s="412"/>
      <c r="ALR68" s="412"/>
      <c r="ALS68" s="412"/>
      <c r="ALT68" s="412"/>
      <c r="ALU68" s="412"/>
      <c r="ALV68" s="412"/>
      <c r="ALW68" s="412"/>
      <c r="ALX68" s="412"/>
      <c r="ALY68" s="412"/>
      <c r="ALZ68" s="412"/>
      <c r="AMA68" s="412"/>
      <c r="AMB68" s="412"/>
      <c r="AMC68" s="412"/>
      <c r="AMD68" s="412"/>
      <c r="AME68" s="412"/>
      <c r="AMF68" s="412"/>
      <c r="AMG68" s="412"/>
      <c r="AMH68" s="412"/>
      <c r="AMI68" s="412"/>
      <c r="AMJ68" s="412"/>
      <c r="AMK68" s="412"/>
      <c r="AML68" s="412"/>
      <c r="AMM68" s="412"/>
      <c r="AMN68" s="412"/>
      <c r="AMO68" s="412"/>
      <c r="AMP68" s="412"/>
      <c r="AMQ68" s="412"/>
      <c r="AMR68" s="412"/>
      <c r="AMS68" s="412"/>
      <c r="AMT68" s="412"/>
      <c r="AMU68" s="412"/>
      <c r="AMV68" s="412"/>
      <c r="AMW68" s="412"/>
      <c r="AMX68" s="412"/>
      <c r="AMY68" s="412"/>
      <c r="AMZ68" s="412"/>
      <c r="ANA68" s="412"/>
      <c r="ANB68" s="412"/>
      <c r="ANC68" s="412"/>
      <c r="AND68" s="412"/>
      <c r="ANE68" s="412"/>
      <c r="ANF68" s="412"/>
      <c r="ANG68" s="412"/>
      <c r="ANH68" s="412"/>
      <c r="ANI68" s="412"/>
      <c r="ANJ68" s="412"/>
      <c r="ANK68" s="412"/>
      <c r="ANL68" s="412"/>
      <c r="ANM68" s="412"/>
      <c r="ANN68" s="412"/>
      <c r="ANO68" s="412"/>
      <c r="ANP68" s="412"/>
      <c r="ANQ68" s="412"/>
      <c r="ANR68" s="412"/>
      <c r="ANS68" s="412"/>
      <c r="ANT68" s="412"/>
      <c r="ANU68" s="412"/>
      <c r="ANV68" s="412"/>
      <c r="ANW68" s="412"/>
      <c r="ANX68" s="412"/>
      <c r="ANY68" s="412"/>
      <c r="ANZ68" s="412"/>
      <c r="AOA68" s="412"/>
      <c r="AOB68" s="412"/>
      <c r="AOC68" s="412"/>
      <c r="AOD68" s="412"/>
      <c r="AOE68" s="412"/>
      <c r="AOF68" s="412"/>
      <c r="AOG68" s="412"/>
      <c r="AOH68" s="412"/>
      <c r="AOI68" s="412"/>
      <c r="AOJ68" s="412"/>
      <c r="AOK68" s="412"/>
      <c r="AOL68" s="412"/>
      <c r="AOM68" s="412"/>
      <c r="AON68" s="412"/>
      <c r="AOO68" s="412"/>
      <c r="AOP68" s="412"/>
      <c r="AOQ68" s="412"/>
      <c r="AOR68" s="412"/>
      <c r="AOS68" s="412"/>
      <c r="AOT68" s="412"/>
      <c r="AOU68" s="412"/>
      <c r="AOV68" s="412"/>
      <c r="AOW68" s="412"/>
      <c r="AOX68" s="412"/>
      <c r="AOY68" s="412"/>
      <c r="AOZ68" s="412"/>
      <c r="APA68" s="412"/>
      <c r="APB68" s="412"/>
      <c r="APC68" s="412"/>
      <c r="APD68" s="412"/>
      <c r="APE68" s="412"/>
      <c r="APF68" s="412"/>
      <c r="APG68" s="412"/>
      <c r="APH68" s="412"/>
      <c r="API68" s="412"/>
      <c r="APJ68" s="412"/>
      <c r="APK68" s="412"/>
      <c r="APL68" s="412"/>
      <c r="APM68" s="412"/>
      <c r="APN68" s="412"/>
      <c r="APO68" s="412"/>
      <c r="APP68" s="412"/>
      <c r="APQ68" s="412"/>
      <c r="APR68" s="412"/>
      <c r="APS68" s="412"/>
      <c r="APT68" s="412"/>
      <c r="APU68" s="412"/>
      <c r="APV68" s="412"/>
      <c r="APW68" s="412"/>
      <c r="APX68" s="412"/>
      <c r="APY68" s="412"/>
      <c r="APZ68" s="412"/>
      <c r="AQA68" s="412"/>
      <c r="AQB68" s="412"/>
      <c r="AQC68" s="412"/>
      <c r="AQD68" s="412"/>
      <c r="AQE68" s="412"/>
      <c r="AQF68" s="412"/>
      <c r="AQG68" s="412"/>
      <c r="AQH68" s="412"/>
      <c r="AQI68" s="412"/>
      <c r="AQJ68" s="412"/>
      <c r="AQK68" s="412"/>
      <c r="AQL68" s="412"/>
      <c r="AQM68" s="412"/>
      <c r="AQN68" s="412"/>
      <c r="AQO68" s="412"/>
      <c r="AQP68" s="412"/>
      <c r="AQQ68" s="412"/>
      <c r="AQR68" s="412"/>
      <c r="AQS68" s="412"/>
      <c r="AQT68" s="412"/>
      <c r="AQU68" s="412"/>
      <c r="AQV68" s="412"/>
      <c r="AQW68" s="412"/>
      <c r="AQX68" s="412"/>
      <c r="AQY68" s="412"/>
      <c r="AQZ68" s="412"/>
      <c r="ARA68" s="412"/>
      <c r="ARB68" s="412"/>
      <c r="ARC68" s="412"/>
      <c r="ARD68" s="412"/>
      <c r="ARE68" s="412"/>
      <c r="ARF68" s="412"/>
      <c r="ARG68" s="412"/>
      <c r="ARH68" s="412"/>
      <c r="ARI68" s="412"/>
      <c r="ARJ68" s="412"/>
      <c r="ARK68" s="412"/>
      <c r="ARL68" s="412"/>
      <c r="ARM68" s="412"/>
      <c r="ARN68" s="412"/>
      <c r="ARO68" s="412"/>
      <c r="ARP68" s="412"/>
      <c r="ARQ68" s="412"/>
      <c r="ARR68" s="412"/>
      <c r="ARS68" s="412"/>
      <c r="ART68" s="412"/>
      <c r="ARU68" s="412"/>
      <c r="ARV68" s="412"/>
      <c r="ARW68" s="412"/>
      <c r="ARX68" s="412"/>
      <c r="ARY68" s="412"/>
      <c r="ARZ68" s="412"/>
      <c r="ASA68" s="412"/>
      <c r="ASB68" s="412"/>
      <c r="ASC68" s="412"/>
      <c r="ASD68" s="412"/>
      <c r="ASE68" s="412"/>
      <c r="ASF68" s="412"/>
      <c r="ASG68" s="412"/>
      <c r="ASH68" s="412"/>
      <c r="ASI68" s="412"/>
      <c r="ASJ68" s="412"/>
      <c r="ASK68" s="412"/>
      <c r="ASL68" s="412"/>
      <c r="ASM68" s="412"/>
      <c r="ASN68" s="412"/>
      <c r="ASO68" s="412"/>
      <c r="ASP68" s="412"/>
      <c r="ASQ68" s="412"/>
      <c r="ASR68" s="412"/>
      <c r="ASS68" s="412"/>
      <c r="AST68" s="412"/>
      <c r="ASU68" s="412"/>
      <c r="ASV68" s="412"/>
      <c r="ASW68" s="412"/>
      <c r="ASX68" s="412"/>
      <c r="ASY68" s="412"/>
      <c r="ASZ68" s="412"/>
      <c r="ATA68" s="412"/>
      <c r="ATB68" s="412"/>
      <c r="ATC68" s="412"/>
      <c r="ATD68" s="412"/>
      <c r="ATE68" s="412"/>
      <c r="ATF68" s="412"/>
      <c r="ATG68" s="412"/>
      <c r="ATH68" s="412"/>
      <c r="ATI68" s="412"/>
      <c r="ATJ68" s="412"/>
      <c r="ATK68" s="412"/>
      <c r="ATL68" s="412"/>
      <c r="ATM68" s="412"/>
      <c r="ATN68" s="412"/>
      <c r="ATO68" s="412"/>
      <c r="ATP68" s="412"/>
      <c r="ATQ68" s="412"/>
      <c r="ATR68" s="412"/>
      <c r="ATS68" s="412"/>
      <c r="ATT68" s="412"/>
      <c r="ATU68" s="412"/>
      <c r="ATV68" s="412"/>
      <c r="ATW68" s="412"/>
      <c r="ATX68" s="412"/>
      <c r="ATY68" s="412"/>
      <c r="ATZ68" s="412"/>
      <c r="AUA68" s="412"/>
      <c r="AUB68" s="412"/>
      <c r="AUC68" s="412"/>
      <c r="AUD68" s="412"/>
      <c r="AUE68" s="412"/>
      <c r="AUF68" s="412"/>
      <c r="AUG68" s="412"/>
      <c r="AUH68" s="412"/>
      <c r="AUI68" s="412"/>
      <c r="AUJ68" s="412"/>
      <c r="AUK68" s="412"/>
      <c r="AUL68" s="412"/>
      <c r="AUM68" s="412"/>
      <c r="AUN68" s="412"/>
      <c r="AUO68" s="412"/>
      <c r="AUP68" s="412"/>
      <c r="AUQ68" s="412"/>
      <c r="AUR68" s="412"/>
      <c r="AUS68" s="412"/>
      <c r="AUT68" s="412"/>
      <c r="AUU68" s="412"/>
      <c r="AUV68" s="412"/>
      <c r="AUW68" s="412"/>
      <c r="AUX68" s="412"/>
      <c r="AUY68" s="412"/>
      <c r="AUZ68" s="412"/>
      <c r="AVA68" s="412"/>
      <c r="AVB68" s="412"/>
      <c r="AVC68" s="412"/>
      <c r="AVD68" s="412"/>
      <c r="AVE68" s="412"/>
      <c r="AVF68" s="412"/>
      <c r="AVG68" s="412"/>
      <c r="AVH68" s="412"/>
      <c r="AVI68" s="412"/>
      <c r="AVJ68" s="412"/>
      <c r="AVK68" s="412"/>
      <c r="AVL68" s="412"/>
      <c r="AVM68" s="412"/>
      <c r="AVN68" s="412"/>
      <c r="AVO68" s="412"/>
      <c r="AVP68" s="412"/>
      <c r="AVQ68" s="412"/>
      <c r="AVR68" s="412"/>
      <c r="AVS68" s="412"/>
      <c r="AVT68" s="412"/>
      <c r="AVU68" s="412"/>
      <c r="AVV68" s="412"/>
      <c r="AVW68" s="412"/>
      <c r="AVX68" s="412"/>
      <c r="AVY68" s="412"/>
      <c r="AVZ68" s="412"/>
      <c r="AWA68" s="412"/>
      <c r="AWB68" s="412"/>
      <c r="AWC68" s="412"/>
      <c r="AWD68" s="412"/>
      <c r="AWE68" s="412"/>
      <c r="AWF68" s="412"/>
      <c r="AWG68" s="412"/>
      <c r="AWH68" s="412"/>
      <c r="AWI68" s="412"/>
      <c r="AWJ68" s="412"/>
      <c r="AWK68" s="412"/>
      <c r="AWL68" s="412"/>
      <c r="AWM68" s="412"/>
      <c r="AWN68" s="412"/>
      <c r="AWO68" s="412"/>
      <c r="AWP68" s="412"/>
      <c r="AWQ68" s="412"/>
      <c r="AWR68" s="412"/>
      <c r="AWS68" s="412"/>
      <c r="AWT68" s="412"/>
      <c r="AWU68" s="412"/>
      <c r="AWV68" s="412"/>
      <c r="AWW68" s="412"/>
      <c r="AWX68" s="412"/>
      <c r="AWY68" s="412"/>
      <c r="AWZ68" s="412"/>
      <c r="AXA68" s="412"/>
      <c r="AXB68" s="412"/>
      <c r="AXC68" s="412"/>
      <c r="AXD68" s="412"/>
      <c r="AXE68" s="412"/>
      <c r="AXF68" s="412"/>
      <c r="AXG68" s="412"/>
      <c r="AXH68" s="412"/>
      <c r="AXI68" s="412"/>
      <c r="AXJ68" s="412"/>
      <c r="AXK68" s="412"/>
      <c r="AXL68" s="412"/>
      <c r="AXM68" s="412"/>
      <c r="AXN68" s="412"/>
      <c r="AXO68" s="412"/>
      <c r="AXP68" s="412"/>
      <c r="AXQ68" s="412"/>
      <c r="AXR68" s="412"/>
      <c r="AXS68" s="412"/>
      <c r="AXT68" s="412"/>
      <c r="AXU68" s="412"/>
      <c r="AXV68" s="412"/>
      <c r="AXW68" s="412"/>
      <c r="AXX68" s="412"/>
      <c r="AXY68" s="412"/>
      <c r="AXZ68" s="412"/>
      <c r="AYA68" s="412"/>
      <c r="AYB68" s="412"/>
      <c r="AYC68" s="412"/>
      <c r="AYD68" s="412"/>
      <c r="AYE68" s="412"/>
      <c r="AYF68" s="412"/>
      <c r="AYG68" s="412"/>
      <c r="AYH68" s="412"/>
      <c r="AYI68" s="412"/>
      <c r="AYJ68" s="412"/>
      <c r="AYK68" s="412"/>
      <c r="AYL68" s="412"/>
      <c r="AYM68" s="412"/>
      <c r="AYN68" s="412"/>
      <c r="AYO68" s="412"/>
      <c r="AYP68" s="412"/>
      <c r="AYQ68" s="412"/>
      <c r="AYR68" s="412"/>
      <c r="AYS68" s="412"/>
      <c r="AYT68" s="412"/>
      <c r="AYU68" s="412"/>
      <c r="AYV68" s="412"/>
      <c r="AYW68" s="412"/>
      <c r="AYX68" s="412"/>
      <c r="AYY68" s="412"/>
      <c r="AYZ68" s="412"/>
      <c r="AZA68" s="412"/>
      <c r="AZB68" s="412"/>
      <c r="AZC68" s="412"/>
      <c r="AZD68" s="412"/>
      <c r="AZE68" s="412"/>
      <c r="AZF68" s="412"/>
      <c r="AZG68" s="412"/>
      <c r="AZH68" s="412"/>
      <c r="AZI68" s="412"/>
      <c r="AZJ68" s="412"/>
      <c r="AZK68" s="412"/>
      <c r="AZL68" s="412"/>
      <c r="AZM68" s="412"/>
      <c r="AZN68" s="412"/>
      <c r="AZO68" s="412"/>
      <c r="AZP68" s="412"/>
      <c r="AZQ68" s="412"/>
      <c r="AZR68" s="412"/>
      <c r="AZS68" s="412"/>
      <c r="AZT68" s="412"/>
      <c r="AZU68" s="412"/>
      <c r="AZV68" s="412"/>
      <c r="AZW68" s="412"/>
      <c r="AZX68" s="412"/>
      <c r="AZY68" s="412"/>
      <c r="AZZ68" s="412"/>
      <c r="BAA68" s="412"/>
      <c r="BAB68" s="412"/>
      <c r="BAC68" s="412"/>
      <c r="BAD68" s="412"/>
      <c r="BAE68" s="412"/>
      <c r="BAF68" s="412"/>
      <c r="BAG68" s="412"/>
      <c r="BAH68" s="412"/>
      <c r="BAI68" s="412"/>
      <c r="BAJ68" s="412"/>
      <c r="BAK68" s="412"/>
      <c r="BAL68" s="412"/>
      <c r="BAM68" s="412"/>
      <c r="BAN68" s="412"/>
      <c r="BAO68" s="412"/>
      <c r="BAP68" s="412"/>
      <c r="BAQ68" s="412"/>
      <c r="BAR68" s="412"/>
      <c r="BAS68" s="412"/>
      <c r="BAT68" s="412"/>
      <c r="BAU68" s="412"/>
      <c r="BAV68" s="412"/>
      <c r="BAW68" s="412"/>
      <c r="BAX68" s="412"/>
      <c r="BAY68" s="412"/>
      <c r="BAZ68" s="412"/>
      <c r="BBA68" s="412"/>
      <c r="BBB68" s="412"/>
      <c r="BBC68" s="412"/>
      <c r="BBD68" s="412"/>
      <c r="BBE68" s="412"/>
      <c r="BBF68" s="412"/>
      <c r="BBG68" s="412"/>
      <c r="BBH68" s="412"/>
      <c r="BBI68" s="412"/>
      <c r="BBJ68" s="412"/>
      <c r="BBK68" s="412"/>
      <c r="BBL68" s="412"/>
      <c r="BBM68" s="412"/>
      <c r="BBN68" s="412"/>
      <c r="BBO68" s="412"/>
      <c r="BBP68" s="412"/>
      <c r="BBQ68" s="412"/>
      <c r="BBR68" s="412"/>
      <c r="BBS68" s="412"/>
      <c r="BBT68" s="412"/>
      <c r="BBU68" s="412"/>
      <c r="BBV68" s="412"/>
      <c r="BBW68" s="412"/>
      <c r="BBX68" s="412"/>
      <c r="BBY68" s="412"/>
      <c r="BBZ68" s="412"/>
      <c r="BCA68" s="412"/>
      <c r="BCB68" s="412"/>
      <c r="BCC68" s="412"/>
      <c r="BCD68" s="412"/>
      <c r="BCE68" s="412"/>
      <c r="BCF68" s="412"/>
      <c r="BCG68" s="412"/>
      <c r="BCH68" s="412"/>
      <c r="BCI68" s="412"/>
      <c r="BCJ68" s="412"/>
      <c r="BCK68" s="412"/>
      <c r="BCL68" s="412"/>
      <c r="BCM68" s="412"/>
      <c r="BCN68" s="412"/>
      <c r="BCO68" s="412"/>
      <c r="BCP68" s="412"/>
      <c r="BCQ68" s="412"/>
      <c r="BCR68" s="412"/>
      <c r="BCS68" s="412"/>
      <c r="BCT68" s="412"/>
      <c r="BCU68" s="412"/>
      <c r="BCV68" s="412"/>
      <c r="BCW68" s="412"/>
      <c r="BCX68" s="412"/>
      <c r="BCY68" s="412"/>
      <c r="BCZ68" s="412"/>
      <c r="BDA68" s="412"/>
      <c r="BDB68" s="412"/>
      <c r="BDC68" s="412"/>
      <c r="BDD68" s="412"/>
      <c r="BDE68" s="412"/>
      <c r="BDF68" s="412"/>
      <c r="BDG68" s="412"/>
      <c r="BDH68" s="412"/>
      <c r="BDI68" s="412"/>
      <c r="BDJ68" s="412"/>
      <c r="BDK68" s="412"/>
      <c r="BDL68" s="412"/>
      <c r="BDM68" s="412"/>
      <c r="BDN68" s="412"/>
      <c r="BDO68" s="412"/>
      <c r="BDP68" s="412"/>
      <c r="BDQ68" s="412"/>
      <c r="BDR68" s="412"/>
      <c r="BDS68" s="412"/>
      <c r="BDT68" s="412"/>
      <c r="BDU68" s="412"/>
      <c r="BDV68" s="412"/>
      <c r="BDW68" s="412"/>
      <c r="BDX68" s="412"/>
      <c r="BDY68" s="412"/>
      <c r="BDZ68" s="412"/>
      <c r="BEA68" s="412"/>
      <c r="BEB68" s="412"/>
      <c r="BEC68" s="412"/>
      <c r="BED68" s="412"/>
      <c r="BEE68" s="412"/>
      <c r="BEF68" s="412"/>
      <c r="BEG68" s="412"/>
      <c r="BEH68" s="412"/>
      <c r="BEI68" s="412"/>
      <c r="BEJ68" s="412"/>
      <c r="BEK68" s="412"/>
      <c r="BEL68" s="412"/>
      <c r="BEM68" s="412"/>
      <c r="BEN68" s="412"/>
      <c r="BEO68" s="412"/>
      <c r="BEP68" s="412"/>
      <c r="BEQ68" s="412"/>
      <c r="BER68" s="412"/>
      <c r="BES68" s="412"/>
      <c r="BET68" s="412"/>
      <c r="BEU68" s="412"/>
      <c r="BEV68" s="412"/>
      <c r="BEW68" s="412"/>
      <c r="BEX68" s="412"/>
      <c r="BEY68" s="412"/>
      <c r="BEZ68" s="412"/>
      <c r="BFA68" s="412"/>
      <c r="BFB68" s="412"/>
      <c r="BFC68" s="412"/>
      <c r="BFD68" s="412"/>
      <c r="BFE68" s="412"/>
      <c r="BFF68" s="412"/>
      <c r="BFG68" s="412"/>
      <c r="BFH68" s="412"/>
      <c r="BFI68" s="412"/>
      <c r="BFJ68" s="412"/>
      <c r="BFK68" s="412"/>
      <c r="BFL68" s="412"/>
      <c r="BFM68" s="412"/>
      <c r="BFN68" s="412"/>
      <c r="BFO68" s="412"/>
      <c r="BFP68" s="412"/>
      <c r="BFQ68" s="412"/>
      <c r="BFR68" s="412"/>
      <c r="BFS68" s="412"/>
      <c r="BFT68" s="412"/>
      <c r="BFU68" s="412"/>
      <c r="BFV68" s="412"/>
      <c r="BFW68" s="412"/>
      <c r="BFX68" s="412"/>
      <c r="BFY68" s="412"/>
      <c r="BFZ68" s="412"/>
      <c r="BGA68" s="412"/>
      <c r="BGB68" s="412"/>
      <c r="BGC68" s="412"/>
      <c r="BGD68" s="412"/>
      <c r="BGE68" s="412"/>
      <c r="BGF68" s="412"/>
      <c r="BGG68" s="412"/>
      <c r="BGH68" s="412"/>
      <c r="BGI68" s="412"/>
      <c r="BGJ68" s="412"/>
      <c r="BGK68" s="412"/>
      <c r="BGL68" s="412"/>
      <c r="BGM68" s="412"/>
      <c r="BGN68" s="412"/>
      <c r="BGO68" s="412"/>
      <c r="BGP68" s="412"/>
      <c r="BGQ68" s="412"/>
      <c r="BGR68" s="412"/>
      <c r="BGS68" s="412"/>
      <c r="BGT68" s="412"/>
      <c r="BGU68" s="412"/>
      <c r="BGV68" s="412"/>
      <c r="BGW68" s="412"/>
      <c r="BGX68" s="412"/>
      <c r="BGY68" s="412"/>
      <c r="BGZ68" s="412"/>
      <c r="BHA68" s="412"/>
      <c r="BHB68" s="412"/>
      <c r="BHC68" s="412"/>
      <c r="BHD68" s="412"/>
      <c r="BHE68" s="412"/>
      <c r="BHF68" s="412"/>
      <c r="BHG68" s="412"/>
      <c r="BHH68" s="412"/>
      <c r="BHI68" s="412"/>
      <c r="BHJ68" s="412"/>
      <c r="BHK68" s="412"/>
      <c r="BHL68" s="412"/>
      <c r="BHM68" s="412"/>
      <c r="BHN68" s="412"/>
      <c r="BHO68" s="412"/>
      <c r="BHP68" s="412"/>
      <c r="BHQ68" s="412"/>
      <c r="BHR68" s="412"/>
      <c r="BHS68" s="412"/>
      <c r="BHT68" s="412"/>
      <c r="BHU68" s="412"/>
      <c r="BHV68" s="412"/>
      <c r="BHW68" s="412"/>
      <c r="BHX68" s="412"/>
      <c r="BHY68" s="412"/>
      <c r="BHZ68" s="412"/>
      <c r="BIA68" s="412"/>
      <c r="BIB68" s="412"/>
      <c r="BIC68" s="412"/>
      <c r="BID68" s="412"/>
      <c r="BIE68" s="412"/>
      <c r="BIF68" s="412"/>
      <c r="BIG68" s="412"/>
      <c r="BIH68" s="412"/>
      <c r="BII68" s="412"/>
      <c r="BIJ68" s="412"/>
      <c r="BIK68" s="412"/>
      <c r="BIL68" s="412"/>
      <c r="BIM68" s="412"/>
      <c r="BIN68" s="412"/>
      <c r="BIO68" s="412"/>
      <c r="BIP68" s="412"/>
      <c r="BIQ68" s="412"/>
      <c r="BIR68" s="412"/>
      <c r="BIS68" s="412"/>
      <c r="BIT68" s="412"/>
      <c r="BIU68" s="412"/>
      <c r="BIV68" s="412"/>
      <c r="BIW68" s="412"/>
      <c r="BIX68" s="412"/>
      <c r="BIY68" s="412"/>
      <c r="BIZ68" s="412"/>
      <c r="BJA68" s="412"/>
      <c r="BJB68" s="412"/>
      <c r="BJC68" s="412"/>
      <c r="BJD68" s="412"/>
      <c r="BJE68" s="412"/>
      <c r="BJF68" s="412"/>
      <c r="BJG68" s="412"/>
      <c r="BJH68" s="412"/>
      <c r="BJI68" s="412"/>
      <c r="BJJ68" s="412"/>
      <c r="BJK68" s="412"/>
      <c r="BJL68" s="412"/>
      <c r="BJM68" s="412"/>
      <c r="BJN68" s="412"/>
      <c r="BJO68" s="412"/>
      <c r="BJP68" s="412"/>
      <c r="BJQ68" s="412"/>
      <c r="BJR68" s="412"/>
      <c r="BJS68" s="412"/>
      <c r="BJT68" s="412"/>
      <c r="BJU68" s="412"/>
      <c r="BJV68" s="412"/>
      <c r="BJW68" s="412"/>
      <c r="BJX68" s="412"/>
      <c r="BJY68" s="412"/>
      <c r="BJZ68" s="412"/>
      <c r="BKA68" s="412"/>
      <c r="BKB68" s="412"/>
      <c r="BKC68" s="412"/>
      <c r="BKD68" s="412"/>
      <c r="BKE68" s="412"/>
      <c r="BKF68" s="412"/>
      <c r="BKG68" s="412"/>
      <c r="BKH68" s="412"/>
      <c r="BKI68" s="412"/>
      <c r="BKJ68" s="412"/>
      <c r="BKK68" s="412"/>
      <c r="BKL68" s="412"/>
      <c r="BKM68" s="412"/>
      <c r="BKN68" s="412"/>
      <c r="BKO68" s="412"/>
      <c r="BKP68" s="412"/>
      <c r="BKQ68" s="412"/>
      <c r="BKR68" s="412"/>
      <c r="BKS68" s="412"/>
      <c r="BKT68" s="412"/>
      <c r="BKU68" s="412"/>
      <c r="BKV68" s="412"/>
      <c r="BKW68" s="412"/>
      <c r="BKX68" s="412"/>
      <c r="BKY68" s="412"/>
      <c r="BKZ68" s="412"/>
      <c r="BLA68" s="412"/>
      <c r="BLB68" s="412"/>
      <c r="BLC68" s="412"/>
      <c r="BLD68" s="412"/>
      <c r="BLE68" s="412"/>
      <c r="BLF68" s="412"/>
      <c r="BLG68" s="412"/>
      <c r="BLH68" s="412"/>
      <c r="BLI68" s="412"/>
      <c r="BLJ68" s="412"/>
      <c r="BLK68" s="412"/>
      <c r="BLL68" s="412"/>
      <c r="BLM68" s="412"/>
      <c r="BLN68" s="412"/>
      <c r="BLO68" s="412"/>
      <c r="BLP68" s="412"/>
      <c r="BLQ68" s="412"/>
      <c r="BLR68" s="412"/>
      <c r="BLS68" s="412"/>
      <c r="BLT68" s="412"/>
      <c r="BLU68" s="412"/>
      <c r="BLV68" s="412"/>
      <c r="BLW68" s="412"/>
      <c r="BLX68" s="412"/>
      <c r="BLY68" s="412"/>
      <c r="BLZ68" s="412"/>
      <c r="BMA68" s="412"/>
      <c r="BMB68" s="412"/>
      <c r="BMC68" s="412"/>
      <c r="BMD68" s="412"/>
      <c r="BME68" s="412"/>
      <c r="BMF68" s="412"/>
      <c r="BMG68" s="412"/>
      <c r="BMH68" s="412"/>
      <c r="BMI68" s="412"/>
      <c r="BMJ68" s="412"/>
      <c r="BMK68" s="412"/>
      <c r="BML68" s="412"/>
      <c r="BMM68" s="412"/>
      <c r="BMN68" s="412"/>
      <c r="BMO68" s="412"/>
      <c r="BMP68" s="412"/>
      <c r="BMQ68" s="412"/>
      <c r="BMR68" s="412"/>
      <c r="BMS68" s="412"/>
      <c r="BMT68" s="412"/>
      <c r="BMU68" s="412"/>
      <c r="BMV68" s="412"/>
      <c r="BMW68" s="412"/>
      <c r="BMX68" s="412"/>
      <c r="BMY68" s="412"/>
      <c r="BMZ68" s="412"/>
      <c r="BNA68" s="412"/>
      <c r="BNB68" s="412"/>
      <c r="BNC68" s="412"/>
      <c r="BND68" s="412"/>
      <c r="BNE68" s="412"/>
      <c r="BNF68" s="412"/>
      <c r="BNG68" s="412"/>
      <c r="BNH68" s="412"/>
      <c r="BNI68" s="412"/>
      <c r="BNJ68" s="412"/>
      <c r="BNK68" s="412"/>
      <c r="BNL68" s="412"/>
      <c r="BNM68" s="412"/>
      <c r="BNN68" s="412"/>
      <c r="BNO68" s="412"/>
      <c r="BNP68" s="412"/>
      <c r="BNQ68" s="412"/>
      <c r="BNR68" s="412"/>
      <c r="BNS68" s="412"/>
      <c r="BNT68" s="412"/>
      <c r="BNU68" s="412"/>
      <c r="BNV68" s="412"/>
      <c r="BNW68" s="412"/>
      <c r="BNX68" s="412"/>
      <c r="BNY68" s="412"/>
      <c r="BNZ68" s="412"/>
      <c r="BOA68" s="412"/>
      <c r="BOB68" s="412"/>
      <c r="BOC68" s="412"/>
      <c r="BOD68" s="412"/>
      <c r="BOE68" s="412"/>
      <c r="BOF68" s="412"/>
      <c r="BOG68" s="412"/>
      <c r="BOH68" s="412"/>
      <c r="BOI68" s="412"/>
      <c r="BOJ68" s="412"/>
      <c r="BOK68" s="412"/>
      <c r="BOL68" s="412"/>
      <c r="BOM68" s="412"/>
      <c r="BON68" s="412"/>
      <c r="BOO68" s="412"/>
      <c r="BOP68" s="412"/>
      <c r="BOQ68" s="412"/>
      <c r="BOR68" s="412"/>
      <c r="BOS68" s="412"/>
      <c r="BOT68" s="412"/>
      <c r="BOU68" s="412"/>
      <c r="BOV68" s="412"/>
      <c r="BOW68" s="412"/>
      <c r="BOX68" s="412"/>
      <c r="BOY68" s="412"/>
      <c r="BOZ68" s="412"/>
      <c r="BPA68" s="412"/>
      <c r="BPB68" s="412"/>
      <c r="BPC68" s="412"/>
      <c r="BPD68" s="412"/>
      <c r="BPE68" s="412"/>
      <c r="BPF68" s="412"/>
      <c r="BPG68" s="412"/>
      <c r="BPH68" s="412"/>
      <c r="BPI68" s="412"/>
      <c r="BPJ68" s="412"/>
      <c r="BPK68" s="412"/>
      <c r="BPL68" s="412"/>
      <c r="BPM68" s="412"/>
      <c r="BPN68" s="412"/>
      <c r="BPO68" s="412"/>
      <c r="BPP68" s="412"/>
      <c r="BPQ68" s="412"/>
      <c r="BPR68" s="412"/>
      <c r="BPS68" s="412"/>
      <c r="BPT68" s="412"/>
      <c r="BPU68" s="412"/>
      <c r="BPV68" s="412"/>
      <c r="BPW68" s="412"/>
      <c r="BPX68" s="412"/>
      <c r="BPY68" s="412"/>
      <c r="BPZ68" s="412"/>
      <c r="BQA68" s="412"/>
      <c r="BQB68" s="412"/>
      <c r="BQC68" s="412"/>
      <c r="BQD68" s="412"/>
      <c r="BQE68" s="412"/>
      <c r="BQF68" s="412"/>
      <c r="BQG68" s="412"/>
      <c r="BQH68" s="412"/>
      <c r="BQI68" s="412"/>
      <c r="BQJ68" s="412"/>
      <c r="BQK68" s="412"/>
      <c r="BQL68" s="412"/>
      <c r="BQM68" s="412"/>
      <c r="BQN68" s="412"/>
      <c r="BQO68" s="412"/>
      <c r="BQP68" s="412"/>
      <c r="BQQ68" s="412"/>
      <c r="BQR68" s="412"/>
      <c r="BQS68" s="412"/>
      <c r="BQT68" s="412"/>
      <c r="BQU68" s="412"/>
      <c r="BQV68" s="412"/>
      <c r="BQW68" s="412"/>
      <c r="BQX68" s="412"/>
      <c r="BQY68" s="412"/>
      <c r="BQZ68" s="412"/>
      <c r="BRA68" s="412"/>
      <c r="BRB68" s="412"/>
      <c r="BRC68" s="412"/>
      <c r="BRD68" s="412"/>
      <c r="BRE68" s="412"/>
      <c r="BRF68" s="412"/>
      <c r="BRG68" s="412"/>
      <c r="BRH68" s="412"/>
      <c r="BRI68" s="412"/>
      <c r="BRJ68" s="412"/>
      <c r="BRK68" s="412"/>
      <c r="BRL68" s="412"/>
      <c r="BRM68" s="412"/>
      <c r="BRN68" s="412"/>
      <c r="BRO68" s="412"/>
      <c r="BRP68" s="412"/>
      <c r="BRQ68" s="412"/>
      <c r="BRR68" s="412"/>
      <c r="BRS68" s="412"/>
      <c r="BRT68" s="412"/>
      <c r="BRU68" s="412"/>
      <c r="BRV68" s="412"/>
      <c r="BRW68" s="412"/>
      <c r="BRX68" s="412"/>
      <c r="BRY68" s="412"/>
      <c r="BRZ68" s="412"/>
      <c r="BSA68" s="412"/>
      <c r="BSB68" s="412"/>
      <c r="BSC68" s="412"/>
      <c r="BSD68" s="412"/>
      <c r="BSE68" s="412"/>
      <c r="BSF68" s="412"/>
      <c r="BSG68" s="412"/>
      <c r="BSH68" s="412"/>
      <c r="BSI68" s="412"/>
      <c r="BSJ68" s="412"/>
      <c r="BSK68" s="412"/>
      <c r="BSL68" s="412"/>
      <c r="BSM68" s="412"/>
      <c r="BSN68" s="412"/>
      <c r="BSO68" s="412"/>
      <c r="BSP68" s="412"/>
      <c r="BSQ68" s="412"/>
      <c r="BSR68" s="412"/>
      <c r="BSS68" s="412"/>
      <c r="BST68" s="412"/>
      <c r="BSU68" s="412"/>
      <c r="BSV68" s="412"/>
      <c r="BSW68" s="412"/>
      <c r="BSX68" s="412"/>
      <c r="BSY68" s="412"/>
      <c r="BSZ68" s="412"/>
      <c r="BTA68" s="412"/>
      <c r="BTB68" s="412"/>
      <c r="BTC68" s="412"/>
      <c r="BTD68" s="412"/>
      <c r="BTE68" s="412"/>
      <c r="BTF68" s="412"/>
      <c r="BTG68" s="412"/>
      <c r="BTH68" s="412"/>
      <c r="BTI68" s="412"/>
    </row>
    <row r="69" spans="1:1881" ht="69" customHeight="1" thickBot="1" x14ac:dyDescent="0.3">
      <c r="A69" s="189">
        <v>22</v>
      </c>
      <c r="B69" s="64" t="s">
        <v>67</v>
      </c>
      <c r="C69" s="160" t="s">
        <v>167</v>
      </c>
      <c r="D69" s="176" t="s">
        <v>623</v>
      </c>
      <c r="E69" s="32" t="e">
        <f>HLOOKUP($D$2,'2019 Data(H)'!$C$1:$CG$300,17,FALSE)</f>
        <v>#N/A</v>
      </c>
      <c r="F69" s="647"/>
      <c r="G69" s="319"/>
      <c r="H69" s="13"/>
      <c r="I69" s="31"/>
      <c r="J69" s="368"/>
      <c r="L69" s="865" t="s">
        <v>1166</v>
      </c>
      <c r="M69" s="633"/>
      <c r="N69" s="656"/>
    </row>
    <row r="70" spans="1:1881" ht="72" customHeight="1" thickBot="1" x14ac:dyDescent="0.3">
      <c r="A70" s="189">
        <v>23</v>
      </c>
      <c r="B70" s="64" t="s">
        <v>67</v>
      </c>
      <c r="C70" s="160" t="s">
        <v>167</v>
      </c>
      <c r="D70" s="166" t="s">
        <v>165</v>
      </c>
      <c r="E70" s="32" t="e">
        <f>HLOOKUP($D$2,'2019 Data(H)'!$C$1:$CG$300,18,FALSE)</f>
        <v>#N/A</v>
      </c>
      <c r="F70" s="647"/>
      <c r="G70" s="413">
        <f>IF(H70=0,,"Error: Total revenues less total expenditures do not equal total change in fund balance.  Account numbers 16-532+17-20+533+22+508-509-23=0  The amount of the formula is located in the cell to the right")</f>
        <v>0</v>
      </c>
      <c r="H70" s="193">
        <f>+F61-F63+F64-F65+F66+F69+F67-F68-F70</f>
        <v>0</v>
      </c>
      <c r="I70" s="31"/>
      <c r="J70" s="368"/>
      <c r="L70" s="865" t="s">
        <v>1167</v>
      </c>
      <c r="M70" s="633"/>
      <c r="N70" s="656"/>
    </row>
    <row r="71" spans="1:1881" s="226" customFormat="1" ht="140.25" customHeight="1" thickBot="1" x14ac:dyDescent="0.55000000000000004">
      <c r="A71" s="189">
        <v>590</v>
      </c>
      <c r="B71" s="64" t="s">
        <v>702</v>
      </c>
      <c r="C71" s="160"/>
      <c r="D71" s="166" t="s">
        <v>1203</v>
      </c>
      <c r="E71" s="313"/>
      <c r="F71" s="647"/>
      <c r="G71" s="314"/>
      <c r="H71" s="193"/>
      <c r="I71" s="31"/>
      <c r="J71" s="412"/>
      <c r="K71" s="453"/>
      <c r="L71" s="865" t="s">
        <v>1168</v>
      </c>
      <c r="M71" s="633"/>
      <c r="N71" s="656"/>
      <c r="O71" s="412"/>
      <c r="P71" s="412"/>
      <c r="Q71" s="412"/>
      <c r="R71" s="412"/>
      <c r="S71" s="412"/>
      <c r="T71" s="412"/>
      <c r="U71" s="412"/>
      <c r="V71" s="412"/>
      <c r="W71" s="412"/>
      <c r="X71" s="412"/>
      <c r="Y71" s="412"/>
      <c r="Z71" s="412"/>
      <c r="AA71" s="412"/>
      <c r="AB71" s="412"/>
      <c r="AC71" s="412"/>
      <c r="AD71" s="412"/>
      <c r="AE71" s="412"/>
      <c r="AF71" s="412"/>
      <c r="AG71" s="412"/>
      <c r="AH71" s="412"/>
      <c r="AI71" s="412"/>
      <c r="AJ71" s="412"/>
      <c r="AK71" s="412"/>
      <c r="AL71" s="412"/>
      <c r="AM71" s="412"/>
      <c r="AN71" s="412"/>
      <c r="AO71" s="412"/>
      <c r="AP71" s="412"/>
      <c r="AQ71" s="412"/>
      <c r="AR71" s="412"/>
      <c r="AS71" s="412"/>
      <c r="AT71" s="412"/>
      <c r="AU71" s="412"/>
      <c r="AV71" s="412"/>
      <c r="AW71" s="412"/>
      <c r="AX71" s="412"/>
      <c r="AY71" s="412"/>
      <c r="AZ71" s="412"/>
      <c r="BA71" s="412"/>
      <c r="BB71" s="412"/>
      <c r="BC71" s="412"/>
      <c r="BD71" s="412"/>
      <c r="BE71" s="412"/>
      <c r="BF71" s="412"/>
      <c r="BG71" s="412"/>
      <c r="BH71" s="412"/>
      <c r="BI71" s="412"/>
      <c r="BJ71" s="412"/>
      <c r="BK71" s="412"/>
      <c r="BL71" s="412"/>
      <c r="BM71" s="412"/>
      <c r="BN71" s="412"/>
      <c r="BO71" s="412"/>
      <c r="BP71" s="412"/>
      <c r="BQ71" s="412"/>
      <c r="BR71" s="412"/>
      <c r="BS71" s="412"/>
      <c r="BT71" s="412"/>
      <c r="BU71" s="412"/>
      <c r="BV71" s="412"/>
      <c r="BW71" s="412"/>
      <c r="BX71" s="412"/>
      <c r="BY71" s="412"/>
      <c r="BZ71" s="412"/>
      <c r="CA71" s="412"/>
      <c r="CB71" s="412"/>
      <c r="CC71" s="412"/>
      <c r="CD71" s="412"/>
      <c r="CE71" s="412"/>
      <c r="CF71" s="412"/>
      <c r="CG71" s="412"/>
      <c r="CH71" s="412"/>
      <c r="CI71" s="412"/>
      <c r="CJ71" s="412"/>
      <c r="CK71" s="412"/>
      <c r="CL71" s="412"/>
      <c r="CM71" s="412"/>
      <c r="CN71" s="412"/>
      <c r="CO71" s="412"/>
      <c r="CP71" s="412"/>
      <c r="CQ71" s="412"/>
      <c r="CR71" s="412"/>
      <c r="CS71" s="412"/>
      <c r="CT71" s="412"/>
      <c r="CU71" s="412"/>
      <c r="CV71" s="412"/>
      <c r="CW71" s="412"/>
      <c r="CX71" s="412"/>
      <c r="CY71" s="412"/>
      <c r="CZ71" s="412"/>
      <c r="DA71" s="412"/>
      <c r="DB71" s="412"/>
      <c r="DC71" s="412"/>
      <c r="DD71" s="412"/>
      <c r="DE71" s="412"/>
      <c r="DF71" s="412"/>
      <c r="DG71" s="412"/>
      <c r="DH71" s="412"/>
      <c r="DI71" s="412"/>
      <c r="DJ71" s="412"/>
      <c r="DK71" s="412"/>
      <c r="DL71" s="412"/>
      <c r="DM71" s="412"/>
      <c r="DN71" s="412"/>
      <c r="DO71" s="412"/>
      <c r="DP71" s="412"/>
      <c r="DQ71" s="412"/>
      <c r="DR71" s="412"/>
      <c r="DS71" s="412"/>
      <c r="DT71" s="412"/>
      <c r="DU71" s="412"/>
      <c r="DV71" s="412"/>
      <c r="DW71" s="412"/>
      <c r="DX71" s="412"/>
      <c r="DY71" s="412"/>
      <c r="DZ71" s="412"/>
      <c r="EA71" s="412"/>
      <c r="EB71" s="412"/>
      <c r="EC71" s="412"/>
      <c r="ED71" s="412"/>
      <c r="EE71" s="412"/>
      <c r="EF71" s="412"/>
      <c r="EG71" s="412"/>
      <c r="EH71" s="412"/>
      <c r="EI71" s="412"/>
      <c r="EJ71" s="412"/>
      <c r="EK71" s="412"/>
      <c r="EL71" s="412"/>
      <c r="EM71" s="412"/>
      <c r="EN71" s="412"/>
      <c r="EO71" s="412"/>
      <c r="EP71" s="412"/>
      <c r="EQ71" s="412"/>
      <c r="ER71" s="412"/>
      <c r="ES71" s="412"/>
      <c r="ET71" s="412"/>
      <c r="EU71" s="412"/>
      <c r="EV71" s="412"/>
      <c r="EW71" s="412"/>
      <c r="EX71" s="412"/>
      <c r="EY71" s="412"/>
      <c r="EZ71" s="412"/>
      <c r="FA71" s="412"/>
      <c r="FB71" s="412"/>
      <c r="FC71" s="412"/>
      <c r="FD71" s="412"/>
      <c r="FE71" s="412"/>
      <c r="FF71" s="412"/>
      <c r="FG71" s="412"/>
      <c r="FH71" s="412"/>
      <c r="FI71" s="412"/>
      <c r="FJ71" s="412"/>
      <c r="FK71" s="412"/>
      <c r="FL71" s="412"/>
      <c r="FM71" s="412"/>
      <c r="FN71" s="412"/>
      <c r="FO71" s="412"/>
      <c r="FP71" s="412"/>
      <c r="FQ71" s="412"/>
      <c r="FR71" s="412"/>
      <c r="FS71" s="412"/>
      <c r="FT71" s="412"/>
      <c r="FU71" s="412"/>
      <c r="FV71" s="412"/>
      <c r="FW71" s="412"/>
      <c r="FX71" s="412"/>
      <c r="FY71" s="412"/>
      <c r="FZ71" s="412"/>
      <c r="GA71" s="412"/>
      <c r="GB71" s="412"/>
      <c r="GC71" s="412"/>
      <c r="GD71" s="412"/>
      <c r="GE71" s="412"/>
      <c r="GF71" s="412"/>
      <c r="GG71" s="412"/>
      <c r="GH71" s="412"/>
      <c r="GI71" s="412"/>
      <c r="GJ71" s="412"/>
      <c r="GK71" s="412"/>
      <c r="GL71" s="412"/>
      <c r="GM71" s="412"/>
      <c r="GN71" s="412"/>
      <c r="GO71" s="412"/>
      <c r="GP71" s="412"/>
      <c r="GQ71" s="412"/>
      <c r="GR71" s="412"/>
      <c r="GS71" s="412"/>
      <c r="GT71" s="412"/>
      <c r="GU71" s="412"/>
      <c r="GV71" s="412"/>
      <c r="GW71" s="412"/>
      <c r="GX71" s="412"/>
      <c r="GY71" s="412"/>
      <c r="GZ71" s="412"/>
      <c r="HA71" s="412"/>
      <c r="HB71" s="412"/>
      <c r="HC71" s="412"/>
      <c r="HD71" s="412"/>
      <c r="HE71" s="412"/>
      <c r="HF71" s="412"/>
      <c r="HG71" s="412"/>
      <c r="HH71" s="412"/>
      <c r="HI71" s="412"/>
      <c r="HJ71" s="412"/>
      <c r="HK71" s="412"/>
      <c r="HL71" s="412"/>
      <c r="HM71" s="412"/>
      <c r="HN71" s="412"/>
      <c r="HO71" s="412"/>
      <c r="HP71" s="412"/>
      <c r="HQ71" s="412"/>
      <c r="HR71" s="412"/>
      <c r="HS71" s="412"/>
      <c r="HT71" s="412"/>
      <c r="HU71" s="412"/>
      <c r="HV71" s="412"/>
      <c r="HW71" s="412"/>
      <c r="HX71" s="412"/>
      <c r="HY71" s="412"/>
      <c r="HZ71" s="412"/>
      <c r="IA71" s="412"/>
      <c r="IB71" s="412"/>
      <c r="IC71" s="412"/>
      <c r="ID71" s="412"/>
      <c r="IE71" s="412"/>
      <c r="IF71" s="412"/>
      <c r="IG71" s="412"/>
      <c r="IH71" s="412"/>
      <c r="II71" s="412"/>
      <c r="IJ71" s="412"/>
      <c r="IK71" s="412"/>
      <c r="IL71" s="412"/>
      <c r="IM71" s="412"/>
      <c r="IN71" s="412"/>
      <c r="IO71" s="412"/>
      <c r="IP71" s="412"/>
      <c r="IQ71" s="412"/>
      <c r="IR71" s="412"/>
      <c r="IS71" s="412"/>
      <c r="IT71" s="412"/>
      <c r="IU71" s="412"/>
      <c r="IV71" s="412"/>
      <c r="IW71" s="412"/>
      <c r="IX71" s="412"/>
      <c r="IY71" s="412"/>
      <c r="IZ71" s="412"/>
      <c r="JA71" s="412"/>
      <c r="JB71" s="412"/>
      <c r="JC71" s="412"/>
      <c r="JD71" s="412"/>
      <c r="JE71" s="412"/>
      <c r="JF71" s="412"/>
      <c r="JG71" s="412"/>
      <c r="JH71" s="412"/>
      <c r="JI71" s="412"/>
      <c r="JJ71" s="412"/>
      <c r="JK71" s="412"/>
      <c r="JL71" s="412"/>
      <c r="JM71" s="412"/>
      <c r="JN71" s="412"/>
      <c r="JO71" s="412"/>
      <c r="JP71" s="412"/>
      <c r="JQ71" s="412"/>
      <c r="JR71" s="412"/>
      <c r="JS71" s="412"/>
      <c r="JT71" s="412"/>
      <c r="JU71" s="412"/>
      <c r="JV71" s="412"/>
      <c r="JW71" s="412"/>
      <c r="JX71" s="412"/>
      <c r="JY71" s="412"/>
      <c r="JZ71" s="412"/>
      <c r="KA71" s="412"/>
      <c r="KB71" s="412"/>
      <c r="KC71" s="412"/>
      <c r="KD71" s="412"/>
      <c r="KE71" s="412"/>
      <c r="KF71" s="412"/>
      <c r="KG71" s="412"/>
      <c r="KH71" s="412"/>
      <c r="KI71" s="412"/>
      <c r="KJ71" s="412"/>
      <c r="KK71" s="412"/>
      <c r="KL71" s="412"/>
      <c r="KM71" s="412"/>
      <c r="KN71" s="412"/>
      <c r="KO71" s="412"/>
      <c r="KP71" s="412"/>
      <c r="KQ71" s="412"/>
      <c r="KR71" s="412"/>
      <c r="KS71" s="412"/>
      <c r="KT71" s="412"/>
      <c r="KU71" s="412"/>
      <c r="KV71" s="412"/>
      <c r="KW71" s="412"/>
      <c r="KX71" s="412"/>
      <c r="KY71" s="412"/>
      <c r="KZ71" s="412"/>
      <c r="LA71" s="412"/>
      <c r="LB71" s="412"/>
      <c r="LC71" s="412"/>
      <c r="LD71" s="412"/>
      <c r="LE71" s="412"/>
      <c r="LF71" s="412"/>
      <c r="LG71" s="412"/>
      <c r="LH71" s="412"/>
      <c r="LI71" s="412"/>
      <c r="LJ71" s="412"/>
      <c r="LK71" s="412"/>
      <c r="LL71" s="412"/>
      <c r="LM71" s="412"/>
      <c r="LN71" s="412"/>
      <c r="LO71" s="412"/>
      <c r="LP71" s="412"/>
      <c r="LQ71" s="412"/>
      <c r="LR71" s="412"/>
      <c r="LS71" s="412"/>
      <c r="LT71" s="412"/>
      <c r="LU71" s="412"/>
      <c r="LV71" s="412"/>
      <c r="LW71" s="412"/>
      <c r="LX71" s="412"/>
      <c r="LY71" s="412"/>
      <c r="LZ71" s="412"/>
      <c r="MA71" s="412"/>
      <c r="MB71" s="412"/>
      <c r="MC71" s="412"/>
      <c r="MD71" s="412"/>
      <c r="ME71" s="412"/>
      <c r="MF71" s="412"/>
      <c r="MG71" s="412"/>
      <c r="MH71" s="412"/>
      <c r="MI71" s="412"/>
      <c r="MJ71" s="412"/>
      <c r="MK71" s="412"/>
      <c r="ML71" s="412"/>
      <c r="MM71" s="412"/>
      <c r="MN71" s="412"/>
      <c r="MO71" s="412"/>
      <c r="MP71" s="412"/>
      <c r="MQ71" s="412"/>
      <c r="MR71" s="412"/>
      <c r="MS71" s="412"/>
      <c r="MT71" s="412"/>
      <c r="MU71" s="412"/>
      <c r="MV71" s="412"/>
      <c r="MW71" s="412"/>
      <c r="MX71" s="412"/>
      <c r="MY71" s="412"/>
      <c r="MZ71" s="412"/>
      <c r="NA71" s="412"/>
      <c r="NB71" s="412"/>
      <c r="NC71" s="412"/>
      <c r="ND71" s="412"/>
      <c r="NE71" s="412"/>
      <c r="NF71" s="412"/>
      <c r="NG71" s="412"/>
      <c r="NH71" s="412"/>
      <c r="NI71" s="412"/>
      <c r="NJ71" s="412"/>
      <c r="NK71" s="412"/>
      <c r="NL71" s="412"/>
      <c r="NM71" s="412"/>
      <c r="NN71" s="412"/>
      <c r="NO71" s="412"/>
      <c r="NP71" s="412"/>
      <c r="NQ71" s="412"/>
      <c r="NR71" s="412"/>
      <c r="NS71" s="412"/>
      <c r="NT71" s="412"/>
      <c r="NU71" s="412"/>
      <c r="NV71" s="412"/>
      <c r="NW71" s="412"/>
      <c r="NX71" s="412"/>
      <c r="NY71" s="412"/>
      <c r="NZ71" s="412"/>
      <c r="OA71" s="412"/>
      <c r="OB71" s="412"/>
      <c r="OC71" s="412"/>
      <c r="OD71" s="412"/>
      <c r="OE71" s="412"/>
      <c r="OF71" s="412"/>
      <c r="OG71" s="412"/>
      <c r="OH71" s="412"/>
      <c r="OI71" s="412"/>
      <c r="OJ71" s="412"/>
      <c r="OK71" s="412"/>
      <c r="OL71" s="412"/>
      <c r="OM71" s="412"/>
      <c r="ON71" s="412"/>
      <c r="OO71" s="412"/>
      <c r="OP71" s="412"/>
      <c r="OQ71" s="412"/>
      <c r="OR71" s="412"/>
      <c r="OS71" s="412"/>
      <c r="OT71" s="412"/>
      <c r="OU71" s="412"/>
      <c r="OV71" s="412"/>
      <c r="OW71" s="412"/>
      <c r="OX71" s="412"/>
      <c r="OY71" s="412"/>
      <c r="OZ71" s="412"/>
      <c r="PA71" s="412"/>
      <c r="PB71" s="412"/>
      <c r="PC71" s="412"/>
      <c r="PD71" s="412"/>
      <c r="PE71" s="412"/>
      <c r="PF71" s="412"/>
      <c r="PG71" s="412"/>
      <c r="PH71" s="412"/>
      <c r="PI71" s="412"/>
      <c r="PJ71" s="412"/>
      <c r="PK71" s="412"/>
      <c r="PL71" s="412"/>
      <c r="PM71" s="412"/>
      <c r="PN71" s="412"/>
      <c r="PO71" s="412"/>
      <c r="PP71" s="412"/>
      <c r="PQ71" s="412"/>
      <c r="PR71" s="412"/>
      <c r="PS71" s="412"/>
      <c r="PT71" s="412"/>
      <c r="PU71" s="412"/>
      <c r="PV71" s="412"/>
      <c r="PW71" s="412"/>
      <c r="PX71" s="412"/>
      <c r="PY71" s="412"/>
      <c r="PZ71" s="412"/>
      <c r="QA71" s="412"/>
      <c r="QB71" s="412"/>
      <c r="QC71" s="412"/>
      <c r="QD71" s="412"/>
      <c r="QE71" s="412"/>
      <c r="QF71" s="412"/>
      <c r="QG71" s="412"/>
      <c r="QH71" s="412"/>
      <c r="QI71" s="412"/>
      <c r="QJ71" s="412"/>
      <c r="QK71" s="412"/>
      <c r="QL71" s="412"/>
      <c r="QM71" s="412"/>
      <c r="QN71" s="412"/>
      <c r="QO71" s="412"/>
      <c r="QP71" s="412"/>
      <c r="QQ71" s="412"/>
      <c r="QR71" s="412"/>
      <c r="QS71" s="412"/>
      <c r="QT71" s="412"/>
      <c r="QU71" s="412"/>
      <c r="QV71" s="412"/>
      <c r="QW71" s="412"/>
      <c r="QX71" s="412"/>
      <c r="QY71" s="412"/>
      <c r="QZ71" s="412"/>
      <c r="RA71" s="412"/>
      <c r="RB71" s="412"/>
      <c r="RC71" s="412"/>
      <c r="RD71" s="412"/>
      <c r="RE71" s="412"/>
      <c r="RF71" s="412"/>
      <c r="RG71" s="412"/>
      <c r="RH71" s="412"/>
      <c r="RI71" s="412"/>
      <c r="RJ71" s="412"/>
      <c r="RK71" s="412"/>
      <c r="RL71" s="412"/>
      <c r="RM71" s="412"/>
      <c r="RN71" s="412"/>
      <c r="RO71" s="412"/>
      <c r="RP71" s="412"/>
      <c r="RQ71" s="412"/>
      <c r="RR71" s="412"/>
      <c r="RS71" s="412"/>
      <c r="RT71" s="412"/>
      <c r="RU71" s="412"/>
      <c r="RV71" s="412"/>
      <c r="RW71" s="412"/>
      <c r="RX71" s="412"/>
      <c r="RY71" s="412"/>
      <c r="RZ71" s="412"/>
      <c r="SA71" s="412"/>
      <c r="SB71" s="412"/>
      <c r="SC71" s="412"/>
      <c r="SD71" s="412"/>
      <c r="SE71" s="412"/>
      <c r="SF71" s="412"/>
      <c r="SG71" s="412"/>
      <c r="SH71" s="412"/>
      <c r="SI71" s="412"/>
      <c r="SJ71" s="412"/>
      <c r="SK71" s="412"/>
      <c r="SL71" s="412"/>
      <c r="SM71" s="412"/>
      <c r="SN71" s="412"/>
      <c r="SO71" s="412"/>
      <c r="SP71" s="412"/>
      <c r="SQ71" s="412"/>
      <c r="SR71" s="412"/>
      <c r="SS71" s="412"/>
      <c r="ST71" s="412"/>
      <c r="SU71" s="412"/>
      <c r="SV71" s="412"/>
      <c r="SW71" s="412"/>
      <c r="SX71" s="412"/>
      <c r="SY71" s="412"/>
      <c r="SZ71" s="412"/>
      <c r="TA71" s="412"/>
      <c r="TB71" s="412"/>
      <c r="TC71" s="412"/>
      <c r="TD71" s="412"/>
      <c r="TE71" s="412"/>
      <c r="TF71" s="412"/>
      <c r="TG71" s="412"/>
      <c r="TH71" s="412"/>
      <c r="TI71" s="412"/>
      <c r="TJ71" s="412"/>
      <c r="TK71" s="412"/>
      <c r="TL71" s="412"/>
      <c r="TM71" s="412"/>
      <c r="TN71" s="412"/>
      <c r="TO71" s="412"/>
      <c r="TP71" s="412"/>
      <c r="TQ71" s="412"/>
      <c r="TR71" s="412"/>
      <c r="TS71" s="412"/>
      <c r="TT71" s="412"/>
      <c r="TU71" s="412"/>
      <c r="TV71" s="412"/>
      <c r="TW71" s="412"/>
      <c r="TX71" s="412"/>
      <c r="TY71" s="412"/>
      <c r="TZ71" s="412"/>
      <c r="UA71" s="412"/>
      <c r="UB71" s="412"/>
      <c r="UC71" s="412"/>
      <c r="UD71" s="412"/>
      <c r="UE71" s="412"/>
      <c r="UF71" s="412"/>
      <c r="UG71" s="412"/>
      <c r="UH71" s="412"/>
      <c r="UI71" s="412"/>
      <c r="UJ71" s="412"/>
      <c r="UK71" s="412"/>
      <c r="UL71" s="412"/>
      <c r="UM71" s="412"/>
      <c r="UN71" s="412"/>
      <c r="UO71" s="412"/>
      <c r="UP71" s="412"/>
      <c r="UQ71" s="412"/>
      <c r="UR71" s="412"/>
      <c r="US71" s="412"/>
      <c r="UT71" s="412"/>
      <c r="UU71" s="412"/>
      <c r="UV71" s="412"/>
      <c r="UW71" s="412"/>
      <c r="UX71" s="412"/>
      <c r="UY71" s="412"/>
      <c r="UZ71" s="412"/>
      <c r="VA71" s="412"/>
      <c r="VB71" s="412"/>
      <c r="VC71" s="412"/>
      <c r="VD71" s="412"/>
      <c r="VE71" s="412"/>
      <c r="VF71" s="412"/>
      <c r="VG71" s="412"/>
      <c r="VH71" s="412"/>
      <c r="VI71" s="412"/>
      <c r="VJ71" s="412"/>
      <c r="VK71" s="412"/>
      <c r="VL71" s="412"/>
      <c r="VM71" s="412"/>
      <c r="VN71" s="412"/>
      <c r="VO71" s="412"/>
      <c r="VP71" s="412"/>
      <c r="VQ71" s="412"/>
      <c r="VR71" s="412"/>
      <c r="VS71" s="412"/>
      <c r="VT71" s="412"/>
      <c r="VU71" s="412"/>
      <c r="VV71" s="412"/>
      <c r="VW71" s="412"/>
      <c r="VX71" s="412"/>
      <c r="VY71" s="412"/>
      <c r="VZ71" s="412"/>
      <c r="WA71" s="412"/>
      <c r="WB71" s="412"/>
      <c r="WC71" s="412"/>
      <c r="WD71" s="412"/>
      <c r="WE71" s="412"/>
      <c r="WF71" s="412"/>
      <c r="WG71" s="412"/>
      <c r="WH71" s="412"/>
      <c r="WI71" s="412"/>
      <c r="WJ71" s="412"/>
      <c r="WK71" s="412"/>
      <c r="WL71" s="412"/>
      <c r="WM71" s="412"/>
      <c r="WN71" s="412"/>
      <c r="WO71" s="412"/>
      <c r="WP71" s="412"/>
      <c r="WQ71" s="412"/>
      <c r="WR71" s="412"/>
      <c r="WS71" s="412"/>
      <c r="WT71" s="412"/>
      <c r="WU71" s="412"/>
      <c r="WV71" s="412"/>
      <c r="WW71" s="412"/>
      <c r="WX71" s="412"/>
      <c r="WY71" s="412"/>
      <c r="WZ71" s="412"/>
      <c r="XA71" s="412"/>
      <c r="XB71" s="412"/>
      <c r="XC71" s="412"/>
      <c r="XD71" s="412"/>
      <c r="XE71" s="412"/>
      <c r="XF71" s="412"/>
      <c r="XG71" s="412"/>
      <c r="XH71" s="412"/>
      <c r="XI71" s="412"/>
      <c r="XJ71" s="412"/>
      <c r="XK71" s="412"/>
      <c r="XL71" s="412"/>
      <c r="XM71" s="412"/>
      <c r="XN71" s="412"/>
      <c r="XO71" s="412"/>
      <c r="XP71" s="412"/>
      <c r="XQ71" s="412"/>
      <c r="XR71" s="412"/>
      <c r="XS71" s="412"/>
      <c r="XT71" s="412"/>
      <c r="XU71" s="412"/>
      <c r="XV71" s="412"/>
      <c r="XW71" s="412"/>
      <c r="XX71" s="412"/>
      <c r="XY71" s="412"/>
      <c r="XZ71" s="412"/>
      <c r="YA71" s="412"/>
      <c r="YB71" s="412"/>
      <c r="YC71" s="412"/>
      <c r="YD71" s="412"/>
      <c r="YE71" s="412"/>
      <c r="YF71" s="412"/>
      <c r="YG71" s="412"/>
      <c r="YH71" s="412"/>
      <c r="YI71" s="412"/>
      <c r="YJ71" s="412"/>
      <c r="YK71" s="412"/>
      <c r="YL71" s="412"/>
      <c r="YM71" s="412"/>
      <c r="YN71" s="412"/>
      <c r="YO71" s="412"/>
      <c r="YP71" s="412"/>
      <c r="YQ71" s="412"/>
      <c r="YR71" s="412"/>
      <c r="YS71" s="412"/>
      <c r="YT71" s="412"/>
      <c r="YU71" s="412"/>
      <c r="YV71" s="412"/>
      <c r="YW71" s="412"/>
      <c r="YX71" s="412"/>
      <c r="YY71" s="412"/>
      <c r="YZ71" s="412"/>
      <c r="ZA71" s="412"/>
      <c r="ZB71" s="412"/>
      <c r="ZC71" s="412"/>
      <c r="ZD71" s="412"/>
      <c r="ZE71" s="412"/>
      <c r="ZF71" s="412"/>
      <c r="ZG71" s="412"/>
      <c r="ZH71" s="412"/>
      <c r="ZI71" s="412"/>
      <c r="ZJ71" s="412"/>
      <c r="ZK71" s="412"/>
      <c r="ZL71" s="412"/>
      <c r="ZM71" s="412"/>
      <c r="ZN71" s="412"/>
      <c r="ZO71" s="412"/>
      <c r="ZP71" s="412"/>
      <c r="ZQ71" s="412"/>
      <c r="ZR71" s="412"/>
      <c r="ZS71" s="412"/>
      <c r="ZT71" s="412"/>
      <c r="ZU71" s="412"/>
      <c r="ZV71" s="412"/>
      <c r="ZW71" s="412"/>
      <c r="ZX71" s="412"/>
      <c r="ZY71" s="412"/>
      <c r="ZZ71" s="412"/>
      <c r="AAA71" s="412"/>
      <c r="AAB71" s="412"/>
      <c r="AAC71" s="412"/>
      <c r="AAD71" s="412"/>
      <c r="AAE71" s="412"/>
      <c r="AAF71" s="412"/>
      <c r="AAG71" s="412"/>
      <c r="AAH71" s="412"/>
      <c r="AAI71" s="412"/>
      <c r="AAJ71" s="412"/>
      <c r="AAK71" s="412"/>
      <c r="AAL71" s="412"/>
      <c r="AAM71" s="412"/>
      <c r="AAN71" s="412"/>
      <c r="AAO71" s="412"/>
      <c r="AAP71" s="412"/>
      <c r="AAQ71" s="412"/>
      <c r="AAR71" s="412"/>
      <c r="AAS71" s="412"/>
      <c r="AAT71" s="412"/>
      <c r="AAU71" s="412"/>
      <c r="AAV71" s="412"/>
      <c r="AAW71" s="412"/>
      <c r="AAX71" s="412"/>
      <c r="AAY71" s="412"/>
      <c r="AAZ71" s="412"/>
      <c r="ABA71" s="412"/>
      <c r="ABB71" s="412"/>
      <c r="ABC71" s="412"/>
      <c r="ABD71" s="412"/>
      <c r="ABE71" s="412"/>
      <c r="ABF71" s="412"/>
      <c r="ABG71" s="412"/>
      <c r="ABH71" s="412"/>
      <c r="ABI71" s="412"/>
      <c r="ABJ71" s="412"/>
      <c r="ABK71" s="412"/>
      <c r="ABL71" s="412"/>
      <c r="ABM71" s="412"/>
      <c r="ABN71" s="412"/>
      <c r="ABO71" s="412"/>
      <c r="ABP71" s="412"/>
      <c r="ABQ71" s="412"/>
      <c r="ABR71" s="412"/>
      <c r="ABS71" s="412"/>
      <c r="ABT71" s="412"/>
      <c r="ABU71" s="412"/>
      <c r="ABV71" s="412"/>
      <c r="ABW71" s="412"/>
      <c r="ABX71" s="412"/>
      <c r="ABY71" s="412"/>
      <c r="ABZ71" s="412"/>
      <c r="ACA71" s="412"/>
      <c r="ACB71" s="412"/>
      <c r="ACC71" s="412"/>
      <c r="ACD71" s="412"/>
      <c r="ACE71" s="412"/>
      <c r="ACF71" s="412"/>
      <c r="ACG71" s="412"/>
      <c r="ACH71" s="412"/>
      <c r="ACI71" s="412"/>
      <c r="ACJ71" s="412"/>
      <c r="ACK71" s="412"/>
      <c r="ACL71" s="412"/>
      <c r="ACM71" s="412"/>
      <c r="ACN71" s="412"/>
      <c r="ACO71" s="412"/>
      <c r="ACP71" s="412"/>
      <c r="ACQ71" s="412"/>
      <c r="ACR71" s="412"/>
      <c r="ACS71" s="412"/>
      <c r="ACT71" s="412"/>
      <c r="ACU71" s="412"/>
      <c r="ACV71" s="412"/>
      <c r="ACW71" s="412"/>
      <c r="ACX71" s="412"/>
      <c r="ACY71" s="412"/>
      <c r="ACZ71" s="412"/>
      <c r="ADA71" s="412"/>
      <c r="ADB71" s="412"/>
      <c r="ADC71" s="412"/>
      <c r="ADD71" s="412"/>
      <c r="ADE71" s="412"/>
      <c r="ADF71" s="412"/>
      <c r="ADG71" s="412"/>
      <c r="ADH71" s="412"/>
      <c r="ADI71" s="412"/>
      <c r="ADJ71" s="412"/>
      <c r="ADK71" s="412"/>
      <c r="ADL71" s="412"/>
      <c r="ADM71" s="412"/>
      <c r="ADN71" s="412"/>
      <c r="ADO71" s="412"/>
      <c r="ADP71" s="412"/>
      <c r="ADQ71" s="412"/>
      <c r="ADR71" s="412"/>
      <c r="ADS71" s="412"/>
      <c r="ADT71" s="412"/>
      <c r="ADU71" s="412"/>
      <c r="ADV71" s="412"/>
      <c r="ADW71" s="412"/>
      <c r="ADX71" s="412"/>
      <c r="ADY71" s="412"/>
      <c r="ADZ71" s="412"/>
      <c r="AEA71" s="412"/>
      <c r="AEB71" s="412"/>
      <c r="AEC71" s="412"/>
      <c r="AED71" s="412"/>
      <c r="AEE71" s="412"/>
      <c r="AEF71" s="412"/>
      <c r="AEG71" s="412"/>
      <c r="AEH71" s="412"/>
      <c r="AEI71" s="412"/>
      <c r="AEJ71" s="412"/>
      <c r="AEK71" s="412"/>
      <c r="AEL71" s="412"/>
      <c r="AEM71" s="412"/>
      <c r="AEN71" s="412"/>
      <c r="AEO71" s="412"/>
      <c r="AEP71" s="412"/>
      <c r="AEQ71" s="412"/>
      <c r="AER71" s="412"/>
      <c r="AES71" s="412"/>
      <c r="AET71" s="412"/>
      <c r="AEU71" s="412"/>
      <c r="AEV71" s="412"/>
      <c r="AEW71" s="412"/>
      <c r="AEX71" s="412"/>
      <c r="AEY71" s="412"/>
      <c r="AEZ71" s="412"/>
      <c r="AFA71" s="412"/>
      <c r="AFB71" s="412"/>
      <c r="AFC71" s="412"/>
      <c r="AFD71" s="412"/>
      <c r="AFE71" s="412"/>
      <c r="AFF71" s="412"/>
      <c r="AFG71" s="412"/>
      <c r="AFH71" s="412"/>
      <c r="AFI71" s="412"/>
      <c r="AFJ71" s="412"/>
      <c r="AFK71" s="412"/>
      <c r="AFL71" s="412"/>
      <c r="AFM71" s="412"/>
      <c r="AFN71" s="412"/>
      <c r="AFO71" s="412"/>
      <c r="AFP71" s="412"/>
      <c r="AFQ71" s="412"/>
      <c r="AFR71" s="412"/>
      <c r="AFS71" s="412"/>
      <c r="AFT71" s="412"/>
      <c r="AFU71" s="412"/>
      <c r="AFV71" s="412"/>
      <c r="AFW71" s="412"/>
      <c r="AFX71" s="412"/>
      <c r="AFY71" s="412"/>
      <c r="AFZ71" s="412"/>
      <c r="AGA71" s="412"/>
      <c r="AGB71" s="412"/>
      <c r="AGC71" s="412"/>
      <c r="AGD71" s="412"/>
      <c r="AGE71" s="412"/>
      <c r="AGF71" s="412"/>
      <c r="AGG71" s="412"/>
      <c r="AGH71" s="412"/>
      <c r="AGI71" s="412"/>
      <c r="AGJ71" s="412"/>
      <c r="AGK71" s="412"/>
      <c r="AGL71" s="412"/>
      <c r="AGM71" s="412"/>
      <c r="AGN71" s="412"/>
      <c r="AGO71" s="412"/>
      <c r="AGP71" s="412"/>
      <c r="AGQ71" s="412"/>
      <c r="AGR71" s="412"/>
      <c r="AGS71" s="412"/>
      <c r="AGT71" s="412"/>
      <c r="AGU71" s="412"/>
      <c r="AGV71" s="412"/>
      <c r="AGW71" s="412"/>
      <c r="AGX71" s="412"/>
      <c r="AGY71" s="412"/>
      <c r="AGZ71" s="412"/>
      <c r="AHA71" s="412"/>
      <c r="AHB71" s="412"/>
      <c r="AHC71" s="412"/>
      <c r="AHD71" s="412"/>
      <c r="AHE71" s="412"/>
      <c r="AHF71" s="412"/>
      <c r="AHG71" s="412"/>
      <c r="AHH71" s="412"/>
      <c r="AHI71" s="412"/>
      <c r="AHJ71" s="412"/>
      <c r="AHK71" s="412"/>
      <c r="AHL71" s="412"/>
      <c r="AHM71" s="412"/>
      <c r="AHN71" s="412"/>
      <c r="AHO71" s="412"/>
      <c r="AHP71" s="412"/>
      <c r="AHQ71" s="412"/>
      <c r="AHR71" s="412"/>
      <c r="AHS71" s="412"/>
      <c r="AHT71" s="412"/>
      <c r="AHU71" s="412"/>
      <c r="AHV71" s="412"/>
      <c r="AHW71" s="412"/>
      <c r="AHX71" s="412"/>
      <c r="AHY71" s="412"/>
      <c r="AHZ71" s="412"/>
      <c r="AIA71" s="412"/>
      <c r="AIB71" s="412"/>
      <c r="AIC71" s="412"/>
      <c r="AID71" s="412"/>
      <c r="AIE71" s="412"/>
      <c r="AIF71" s="412"/>
      <c r="AIG71" s="412"/>
      <c r="AIH71" s="412"/>
      <c r="AII71" s="412"/>
      <c r="AIJ71" s="412"/>
      <c r="AIK71" s="412"/>
      <c r="AIL71" s="412"/>
      <c r="AIM71" s="412"/>
      <c r="AIN71" s="412"/>
      <c r="AIO71" s="412"/>
      <c r="AIP71" s="412"/>
      <c r="AIQ71" s="412"/>
      <c r="AIR71" s="412"/>
      <c r="AIS71" s="412"/>
      <c r="AIT71" s="412"/>
      <c r="AIU71" s="412"/>
      <c r="AIV71" s="412"/>
      <c r="AIW71" s="412"/>
      <c r="AIX71" s="412"/>
      <c r="AIY71" s="412"/>
      <c r="AIZ71" s="412"/>
      <c r="AJA71" s="412"/>
      <c r="AJB71" s="412"/>
      <c r="AJC71" s="412"/>
      <c r="AJD71" s="412"/>
      <c r="AJE71" s="412"/>
      <c r="AJF71" s="412"/>
      <c r="AJG71" s="412"/>
      <c r="AJH71" s="412"/>
      <c r="AJI71" s="412"/>
      <c r="AJJ71" s="412"/>
      <c r="AJK71" s="412"/>
      <c r="AJL71" s="412"/>
      <c r="AJM71" s="412"/>
      <c r="AJN71" s="412"/>
      <c r="AJO71" s="412"/>
      <c r="AJP71" s="412"/>
      <c r="AJQ71" s="412"/>
      <c r="AJR71" s="412"/>
      <c r="AJS71" s="412"/>
      <c r="AJT71" s="412"/>
      <c r="AJU71" s="412"/>
      <c r="AJV71" s="412"/>
      <c r="AJW71" s="412"/>
      <c r="AJX71" s="412"/>
      <c r="AJY71" s="412"/>
      <c r="AJZ71" s="412"/>
      <c r="AKA71" s="412"/>
      <c r="AKB71" s="412"/>
      <c r="AKC71" s="412"/>
      <c r="AKD71" s="412"/>
      <c r="AKE71" s="412"/>
      <c r="AKF71" s="412"/>
      <c r="AKG71" s="412"/>
      <c r="AKH71" s="412"/>
      <c r="AKI71" s="412"/>
      <c r="AKJ71" s="412"/>
      <c r="AKK71" s="412"/>
      <c r="AKL71" s="412"/>
      <c r="AKM71" s="412"/>
      <c r="AKN71" s="412"/>
      <c r="AKO71" s="412"/>
      <c r="AKP71" s="412"/>
      <c r="AKQ71" s="412"/>
      <c r="AKR71" s="412"/>
      <c r="AKS71" s="412"/>
      <c r="AKT71" s="412"/>
      <c r="AKU71" s="412"/>
      <c r="AKV71" s="412"/>
      <c r="AKW71" s="412"/>
      <c r="AKX71" s="412"/>
      <c r="AKY71" s="412"/>
      <c r="AKZ71" s="412"/>
      <c r="ALA71" s="412"/>
      <c r="ALB71" s="412"/>
      <c r="ALC71" s="412"/>
      <c r="ALD71" s="412"/>
      <c r="ALE71" s="412"/>
      <c r="ALF71" s="412"/>
      <c r="ALG71" s="412"/>
      <c r="ALH71" s="412"/>
      <c r="ALI71" s="412"/>
      <c r="ALJ71" s="412"/>
      <c r="ALK71" s="412"/>
      <c r="ALL71" s="412"/>
      <c r="ALM71" s="412"/>
      <c r="ALN71" s="412"/>
      <c r="ALO71" s="412"/>
      <c r="ALP71" s="412"/>
      <c r="ALQ71" s="412"/>
      <c r="ALR71" s="412"/>
      <c r="ALS71" s="412"/>
      <c r="ALT71" s="412"/>
      <c r="ALU71" s="412"/>
      <c r="ALV71" s="412"/>
      <c r="ALW71" s="412"/>
      <c r="ALX71" s="412"/>
      <c r="ALY71" s="412"/>
      <c r="ALZ71" s="412"/>
      <c r="AMA71" s="412"/>
      <c r="AMB71" s="412"/>
      <c r="AMC71" s="412"/>
      <c r="AMD71" s="412"/>
      <c r="AME71" s="412"/>
      <c r="AMF71" s="412"/>
      <c r="AMG71" s="412"/>
      <c r="AMH71" s="412"/>
      <c r="AMI71" s="412"/>
      <c r="AMJ71" s="412"/>
      <c r="AMK71" s="412"/>
      <c r="AML71" s="412"/>
      <c r="AMM71" s="412"/>
      <c r="AMN71" s="412"/>
      <c r="AMO71" s="412"/>
      <c r="AMP71" s="412"/>
      <c r="AMQ71" s="412"/>
      <c r="AMR71" s="412"/>
      <c r="AMS71" s="412"/>
      <c r="AMT71" s="412"/>
      <c r="AMU71" s="412"/>
      <c r="AMV71" s="412"/>
      <c r="AMW71" s="412"/>
      <c r="AMX71" s="412"/>
      <c r="AMY71" s="412"/>
      <c r="AMZ71" s="412"/>
      <c r="ANA71" s="412"/>
      <c r="ANB71" s="412"/>
      <c r="ANC71" s="412"/>
      <c r="AND71" s="412"/>
      <c r="ANE71" s="412"/>
      <c r="ANF71" s="412"/>
      <c r="ANG71" s="412"/>
      <c r="ANH71" s="412"/>
      <c r="ANI71" s="412"/>
      <c r="ANJ71" s="412"/>
      <c r="ANK71" s="412"/>
      <c r="ANL71" s="412"/>
      <c r="ANM71" s="412"/>
      <c r="ANN71" s="412"/>
      <c r="ANO71" s="412"/>
      <c r="ANP71" s="412"/>
      <c r="ANQ71" s="412"/>
      <c r="ANR71" s="412"/>
      <c r="ANS71" s="412"/>
      <c r="ANT71" s="412"/>
      <c r="ANU71" s="412"/>
      <c r="ANV71" s="412"/>
      <c r="ANW71" s="412"/>
      <c r="ANX71" s="412"/>
      <c r="ANY71" s="412"/>
      <c r="ANZ71" s="412"/>
      <c r="AOA71" s="412"/>
      <c r="AOB71" s="412"/>
      <c r="AOC71" s="412"/>
      <c r="AOD71" s="412"/>
      <c r="AOE71" s="412"/>
      <c r="AOF71" s="412"/>
      <c r="AOG71" s="412"/>
      <c r="AOH71" s="412"/>
      <c r="AOI71" s="412"/>
      <c r="AOJ71" s="412"/>
      <c r="AOK71" s="412"/>
      <c r="AOL71" s="412"/>
      <c r="AOM71" s="412"/>
      <c r="AON71" s="412"/>
      <c r="AOO71" s="412"/>
      <c r="AOP71" s="412"/>
      <c r="AOQ71" s="412"/>
      <c r="AOR71" s="412"/>
      <c r="AOS71" s="412"/>
      <c r="AOT71" s="412"/>
      <c r="AOU71" s="412"/>
      <c r="AOV71" s="412"/>
      <c r="AOW71" s="412"/>
      <c r="AOX71" s="412"/>
      <c r="AOY71" s="412"/>
      <c r="AOZ71" s="412"/>
      <c r="APA71" s="412"/>
      <c r="APB71" s="412"/>
      <c r="APC71" s="412"/>
      <c r="APD71" s="412"/>
      <c r="APE71" s="412"/>
      <c r="APF71" s="412"/>
      <c r="APG71" s="412"/>
      <c r="APH71" s="412"/>
      <c r="API71" s="412"/>
      <c r="APJ71" s="412"/>
      <c r="APK71" s="412"/>
      <c r="APL71" s="412"/>
      <c r="APM71" s="412"/>
      <c r="APN71" s="412"/>
      <c r="APO71" s="412"/>
      <c r="APP71" s="412"/>
      <c r="APQ71" s="412"/>
      <c r="APR71" s="412"/>
      <c r="APS71" s="412"/>
      <c r="APT71" s="412"/>
      <c r="APU71" s="412"/>
      <c r="APV71" s="412"/>
      <c r="APW71" s="412"/>
      <c r="APX71" s="412"/>
      <c r="APY71" s="412"/>
      <c r="APZ71" s="412"/>
      <c r="AQA71" s="412"/>
      <c r="AQB71" s="412"/>
      <c r="AQC71" s="412"/>
      <c r="AQD71" s="412"/>
      <c r="AQE71" s="412"/>
      <c r="AQF71" s="412"/>
      <c r="AQG71" s="412"/>
      <c r="AQH71" s="412"/>
      <c r="AQI71" s="412"/>
      <c r="AQJ71" s="412"/>
      <c r="AQK71" s="412"/>
      <c r="AQL71" s="412"/>
      <c r="AQM71" s="412"/>
      <c r="AQN71" s="412"/>
      <c r="AQO71" s="412"/>
      <c r="AQP71" s="412"/>
      <c r="AQQ71" s="412"/>
      <c r="AQR71" s="412"/>
      <c r="AQS71" s="412"/>
      <c r="AQT71" s="412"/>
      <c r="AQU71" s="412"/>
      <c r="AQV71" s="412"/>
      <c r="AQW71" s="412"/>
      <c r="AQX71" s="412"/>
      <c r="AQY71" s="412"/>
      <c r="AQZ71" s="412"/>
      <c r="ARA71" s="412"/>
      <c r="ARB71" s="412"/>
      <c r="ARC71" s="412"/>
      <c r="ARD71" s="412"/>
      <c r="ARE71" s="412"/>
      <c r="ARF71" s="412"/>
      <c r="ARG71" s="412"/>
      <c r="ARH71" s="412"/>
      <c r="ARI71" s="412"/>
      <c r="ARJ71" s="412"/>
      <c r="ARK71" s="412"/>
      <c r="ARL71" s="412"/>
      <c r="ARM71" s="412"/>
      <c r="ARN71" s="412"/>
      <c r="ARO71" s="412"/>
      <c r="ARP71" s="412"/>
      <c r="ARQ71" s="412"/>
      <c r="ARR71" s="412"/>
      <c r="ARS71" s="412"/>
      <c r="ART71" s="412"/>
      <c r="ARU71" s="412"/>
      <c r="ARV71" s="412"/>
      <c r="ARW71" s="412"/>
      <c r="ARX71" s="412"/>
      <c r="ARY71" s="412"/>
      <c r="ARZ71" s="412"/>
      <c r="ASA71" s="412"/>
      <c r="ASB71" s="412"/>
      <c r="ASC71" s="412"/>
      <c r="ASD71" s="412"/>
      <c r="ASE71" s="412"/>
      <c r="ASF71" s="412"/>
      <c r="ASG71" s="412"/>
      <c r="ASH71" s="412"/>
      <c r="ASI71" s="412"/>
      <c r="ASJ71" s="412"/>
      <c r="ASK71" s="412"/>
      <c r="ASL71" s="412"/>
      <c r="ASM71" s="412"/>
      <c r="ASN71" s="412"/>
      <c r="ASO71" s="412"/>
      <c r="ASP71" s="412"/>
      <c r="ASQ71" s="412"/>
      <c r="ASR71" s="412"/>
      <c r="ASS71" s="412"/>
      <c r="AST71" s="412"/>
      <c r="ASU71" s="412"/>
      <c r="ASV71" s="412"/>
      <c r="ASW71" s="412"/>
      <c r="ASX71" s="412"/>
      <c r="ASY71" s="412"/>
      <c r="ASZ71" s="412"/>
      <c r="ATA71" s="412"/>
      <c r="ATB71" s="412"/>
      <c r="ATC71" s="412"/>
      <c r="ATD71" s="412"/>
      <c r="ATE71" s="412"/>
      <c r="ATF71" s="412"/>
      <c r="ATG71" s="412"/>
      <c r="ATH71" s="412"/>
      <c r="ATI71" s="412"/>
      <c r="ATJ71" s="412"/>
      <c r="ATK71" s="412"/>
      <c r="ATL71" s="412"/>
      <c r="ATM71" s="412"/>
      <c r="ATN71" s="412"/>
      <c r="ATO71" s="412"/>
      <c r="ATP71" s="412"/>
      <c r="ATQ71" s="412"/>
      <c r="ATR71" s="412"/>
      <c r="ATS71" s="412"/>
      <c r="ATT71" s="412"/>
      <c r="ATU71" s="412"/>
      <c r="ATV71" s="412"/>
      <c r="ATW71" s="412"/>
      <c r="ATX71" s="412"/>
      <c r="ATY71" s="412"/>
      <c r="ATZ71" s="412"/>
      <c r="AUA71" s="412"/>
      <c r="AUB71" s="412"/>
      <c r="AUC71" s="412"/>
      <c r="AUD71" s="412"/>
      <c r="AUE71" s="412"/>
      <c r="AUF71" s="412"/>
      <c r="AUG71" s="412"/>
      <c r="AUH71" s="412"/>
      <c r="AUI71" s="412"/>
      <c r="AUJ71" s="412"/>
      <c r="AUK71" s="412"/>
      <c r="AUL71" s="412"/>
      <c r="AUM71" s="412"/>
      <c r="AUN71" s="412"/>
      <c r="AUO71" s="412"/>
      <c r="AUP71" s="412"/>
      <c r="AUQ71" s="412"/>
      <c r="AUR71" s="412"/>
      <c r="AUS71" s="412"/>
      <c r="AUT71" s="412"/>
      <c r="AUU71" s="412"/>
      <c r="AUV71" s="412"/>
      <c r="AUW71" s="412"/>
      <c r="AUX71" s="412"/>
      <c r="AUY71" s="412"/>
      <c r="AUZ71" s="412"/>
      <c r="AVA71" s="412"/>
      <c r="AVB71" s="412"/>
      <c r="AVC71" s="412"/>
      <c r="AVD71" s="412"/>
      <c r="AVE71" s="412"/>
      <c r="AVF71" s="412"/>
      <c r="AVG71" s="412"/>
      <c r="AVH71" s="412"/>
      <c r="AVI71" s="412"/>
      <c r="AVJ71" s="412"/>
      <c r="AVK71" s="412"/>
      <c r="AVL71" s="412"/>
      <c r="AVM71" s="412"/>
      <c r="AVN71" s="412"/>
      <c r="AVO71" s="412"/>
      <c r="AVP71" s="412"/>
      <c r="AVQ71" s="412"/>
      <c r="AVR71" s="412"/>
      <c r="AVS71" s="412"/>
      <c r="AVT71" s="412"/>
      <c r="AVU71" s="412"/>
      <c r="AVV71" s="412"/>
      <c r="AVW71" s="412"/>
      <c r="AVX71" s="412"/>
      <c r="AVY71" s="412"/>
      <c r="AVZ71" s="412"/>
      <c r="AWA71" s="412"/>
      <c r="AWB71" s="412"/>
      <c r="AWC71" s="412"/>
      <c r="AWD71" s="412"/>
      <c r="AWE71" s="412"/>
      <c r="AWF71" s="412"/>
      <c r="AWG71" s="412"/>
      <c r="AWH71" s="412"/>
      <c r="AWI71" s="412"/>
      <c r="AWJ71" s="412"/>
      <c r="AWK71" s="412"/>
      <c r="AWL71" s="412"/>
      <c r="AWM71" s="412"/>
      <c r="AWN71" s="412"/>
      <c r="AWO71" s="412"/>
      <c r="AWP71" s="412"/>
      <c r="AWQ71" s="412"/>
      <c r="AWR71" s="412"/>
      <c r="AWS71" s="412"/>
      <c r="AWT71" s="412"/>
      <c r="AWU71" s="412"/>
      <c r="AWV71" s="412"/>
      <c r="AWW71" s="412"/>
      <c r="AWX71" s="412"/>
      <c r="AWY71" s="412"/>
      <c r="AWZ71" s="412"/>
      <c r="AXA71" s="412"/>
      <c r="AXB71" s="412"/>
      <c r="AXC71" s="412"/>
      <c r="AXD71" s="412"/>
      <c r="AXE71" s="412"/>
      <c r="AXF71" s="412"/>
      <c r="AXG71" s="412"/>
      <c r="AXH71" s="412"/>
      <c r="AXI71" s="412"/>
      <c r="AXJ71" s="412"/>
      <c r="AXK71" s="412"/>
      <c r="AXL71" s="412"/>
      <c r="AXM71" s="412"/>
      <c r="AXN71" s="412"/>
      <c r="AXO71" s="412"/>
      <c r="AXP71" s="412"/>
      <c r="AXQ71" s="412"/>
      <c r="AXR71" s="412"/>
      <c r="AXS71" s="412"/>
      <c r="AXT71" s="412"/>
      <c r="AXU71" s="412"/>
      <c r="AXV71" s="412"/>
      <c r="AXW71" s="412"/>
      <c r="AXX71" s="412"/>
      <c r="AXY71" s="412"/>
      <c r="AXZ71" s="412"/>
      <c r="AYA71" s="412"/>
      <c r="AYB71" s="412"/>
      <c r="AYC71" s="412"/>
      <c r="AYD71" s="412"/>
      <c r="AYE71" s="412"/>
      <c r="AYF71" s="412"/>
      <c r="AYG71" s="412"/>
      <c r="AYH71" s="412"/>
      <c r="AYI71" s="412"/>
      <c r="AYJ71" s="412"/>
      <c r="AYK71" s="412"/>
      <c r="AYL71" s="412"/>
      <c r="AYM71" s="412"/>
      <c r="AYN71" s="412"/>
      <c r="AYO71" s="412"/>
      <c r="AYP71" s="412"/>
      <c r="AYQ71" s="412"/>
      <c r="AYR71" s="412"/>
      <c r="AYS71" s="412"/>
      <c r="AYT71" s="412"/>
      <c r="AYU71" s="412"/>
      <c r="AYV71" s="412"/>
      <c r="AYW71" s="412"/>
      <c r="AYX71" s="412"/>
      <c r="AYY71" s="412"/>
      <c r="AYZ71" s="412"/>
      <c r="AZA71" s="412"/>
      <c r="AZB71" s="412"/>
      <c r="AZC71" s="412"/>
      <c r="AZD71" s="412"/>
      <c r="AZE71" s="412"/>
      <c r="AZF71" s="412"/>
      <c r="AZG71" s="412"/>
      <c r="AZH71" s="412"/>
      <c r="AZI71" s="412"/>
      <c r="AZJ71" s="412"/>
      <c r="AZK71" s="412"/>
      <c r="AZL71" s="412"/>
      <c r="AZM71" s="412"/>
      <c r="AZN71" s="412"/>
      <c r="AZO71" s="412"/>
      <c r="AZP71" s="412"/>
      <c r="AZQ71" s="412"/>
      <c r="AZR71" s="412"/>
      <c r="AZS71" s="412"/>
      <c r="AZT71" s="412"/>
      <c r="AZU71" s="412"/>
      <c r="AZV71" s="412"/>
      <c r="AZW71" s="412"/>
      <c r="AZX71" s="412"/>
      <c r="AZY71" s="412"/>
      <c r="AZZ71" s="412"/>
      <c r="BAA71" s="412"/>
      <c r="BAB71" s="412"/>
      <c r="BAC71" s="412"/>
      <c r="BAD71" s="412"/>
      <c r="BAE71" s="412"/>
      <c r="BAF71" s="412"/>
      <c r="BAG71" s="412"/>
      <c r="BAH71" s="412"/>
      <c r="BAI71" s="412"/>
      <c r="BAJ71" s="412"/>
      <c r="BAK71" s="412"/>
      <c r="BAL71" s="412"/>
      <c r="BAM71" s="412"/>
      <c r="BAN71" s="412"/>
      <c r="BAO71" s="412"/>
      <c r="BAP71" s="412"/>
      <c r="BAQ71" s="412"/>
      <c r="BAR71" s="412"/>
      <c r="BAS71" s="412"/>
      <c r="BAT71" s="412"/>
      <c r="BAU71" s="412"/>
      <c r="BAV71" s="412"/>
      <c r="BAW71" s="412"/>
      <c r="BAX71" s="412"/>
      <c r="BAY71" s="412"/>
      <c r="BAZ71" s="412"/>
      <c r="BBA71" s="412"/>
      <c r="BBB71" s="412"/>
      <c r="BBC71" s="412"/>
      <c r="BBD71" s="412"/>
      <c r="BBE71" s="412"/>
      <c r="BBF71" s="412"/>
      <c r="BBG71" s="412"/>
      <c r="BBH71" s="412"/>
      <c r="BBI71" s="412"/>
      <c r="BBJ71" s="412"/>
      <c r="BBK71" s="412"/>
      <c r="BBL71" s="412"/>
      <c r="BBM71" s="412"/>
      <c r="BBN71" s="412"/>
      <c r="BBO71" s="412"/>
      <c r="BBP71" s="412"/>
      <c r="BBQ71" s="412"/>
      <c r="BBR71" s="412"/>
      <c r="BBS71" s="412"/>
      <c r="BBT71" s="412"/>
      <c r="BBU71" s="412"/>
      <c r="BBV71" s="412"/>
      <c r="BBW71" s="412"/>
      <c r="BBX71" s="412"/>
      <c r="BBY71" s="412"/>
      <c r="BBZ71" s="412"/>
      <c r="BCA71" s="412"/>
      <c r="BCB71" s="412"/>
      <c r="BCC71" s="412"/>
      <c r="BCD71" s="412"/>
      <c r="BCE71" s="412"/>
      <c r="BCF71" s="412"/>
      <c r="BCG71" s="412"/>
      <c r="BCH71" s="412"/>
      <c r="BCI71" s="412"/>
      <c r="BCJ71" s="412"/>
      <c r="BCK71" s="412"/>
      <c r="BCL71" s="412"/>
      <c r="BCM71" s="412"/>
      <c r="BCN71" s="412"/>
      <c r="BCO71" s="412"/>
      <c r="BCP71" s="412"/>
      <c r="BCQ71" s="412"/>
      <c r="BCR71" s="412"/>
      <c r="BCS71" s="412"/>
      <c r="BCT71" s="412"/>
      <c r="BCU71" s="412"/>
      <c r="BCV71" s="412"/>
      <c r="BCW71" s="412"/>
      <c r="BCX71" s="412"/>
      <c r="BCY71" s="412"/>
      <c r="BCZ71" s="412"/>
      <c r="BDA71" s="412"/>
      <c r="BDB71" s="412"/>
      <c r="BDC71" s="412"/>
      <c r="BDD71" s="412"/>
      <c r="BDE71" s="412"/>
      <c r="BDF71" s="412"/>
      <c r="BDG71" s="412"/>
      <c r="BDH71" s="412"/>
      <c r="BDI71" s="412"/>
      <c r="BDJ71" s="412"/>
      <c r="BDK71" s="412"/>
      <c r="BDL71" s="412"/>
      <c r="BDM71" s="412"/>
      <c r="BDN71" s="412"/>
      <c r="BDO71" s="412"/>
      <c r="BDP71" s="412"/>
      <c r="BDQ71" s="412"/>
      <c r="BDR71" s="412"/>
      <c r="BDS71" s="412"/>
      <c r="BDT71" s="412"/>
      <c r="BDU71" s="412"/>
      <c r="BDV71" s="412"/>
      <c r="BDW71" s="412"/>
      <c r="BDX71" s="412"/>
      <c r="BDY71" s="412"/>
      <c r="BDZ71" s="412"/>
      <c r="BEA71" s="412"/>
      <c r="BEB71" s="412"/>
      <c r="BEC71" s="412"/>
      <c r="BED71" s="412"/>
      <c r="BEE71" s="412"/>
      <c r="BEF71" s="412"/>
      <c r="BEG71" s="412"/>
      <c r="BEH71" s="412"/>
      <c r="BEI71" s="412"/>
      <c r="BEJ71" s="412"/>
      <c r="BEK71" s="412"/>
      <c r="BEL71" s="412"/>
      <c r="BEM71" s="412"/>
      <c r="BEN71" s="412"/>
      <c r="BEO71" s="412"/>
      <c r="BEP71" s="412"/>
      <c r="BEQ71" s="412"/>
      <c r="BER71" s="412"/>
      <c r="BES71" s="412"/>
      <c r="BET71" s="412"/>
      <c r="BEU71" s="412"/>
      <c r="BEV71" s="412"/>
      <c r="BEW71" s="412"/>
      <c r="BEX71" s="412"/>
      <c r="BEY71" s="412"/>
      <c r="BEZ71" s="412"/>
      <c r="BFA71" s="412"/>
      <c r="BFB71" s="412"/>
      <c r="BFC71" s="412"/>
      <c r="BFD71" s="412"/>
      <c r="BFE71" s="412"/>
      <c r="BFF71" s="412"/>
      <c r="BFG71" s="412"/>
      <c r="BFH71" s="412"/>
      <c r="BFI71" s="412"/>
      <c r="BFJ71" s="412"/>
      <c r="BFK71" s="412"/>
      <c r="BFL71" s="412"/>
      <c r="BFM71" s="412"/>
      <c r="BFN71" s="412"/>
      <c r="BFO71" s="412"/>
      <c r="BFP71" s="412"/>
      <c r="BFQ71" s="412"/>
      <c r="BFR71" s="412"/>
      <c r="BFS71" s="412"/>
      <c r="BFT71" s="412"/>
      <c r="BFU71" s="412"/>
      <c r="BFV71" s="412"/>
      <c r="BFW71" s="412"/>
      <c r="BFX71" s="412"/>
      <c r="BFY71" s="412"/>
      <c r="BFZ71" s="412"/>
      <c r="BGA71" s="412"/>
      <c r="BGB71" s="412"/>
      <c r="BGC71" s="412"/>
      <c r="BGD71" s="412"/>
      <c r="BGE71" s="412"/>
      <c r="BGF71" s="412"/>
      <c r="BGG71" s="412"/>
      <c r="BGH71" s="412"/>
      <c r="BGI71" s="412"/>
      <c r="BGJ71" s="412"/>
      <c r="BGK71" s="412"/>
      <c r="BGL71" s="412"/>
      <c r="BGM71" s="412"/>
      <c r="BGN71" s="412"/>
      <c r="BGO71" s="412"/>
      <c r="BGP71" s="412"/>
      <c r="BGQ71" s="412"/>
      <c r="BGR71" s="412"/>
      <c r="BGS71" s="412"/>
      <c r="BGT71" s="412"/>
      <c r="BGU71" s="412"/>
      <c r="BGV71" s="412"/>
      <c r="BGW71" s="412"/>
      <c r="BGX71" s="412"/>
      <c r="BGY71" s="412"/>
      <c r="BGZ71" s="412"/>
      <c r="BHA71" s="412"/>
      <c r="BHB71" s="412"/>
      <c r="BHC71" s="412"/>
      <c r="BHD71" s="412"/>
      <c r="BHE71" s="412"/>
      <c r="BHF71" s="412"/>
      <c r="BHG71" s="412"/>
      <c r="BHH71" s="412"/>
      <c r="BHI71" s="412"/>
      <c r="BHJ71" s="412"/>
      <c r="BHK71" s="412"/>
      <c r="BHL71" s="412"/>
      <c r="BHM71" s="412"/>
      <c r="BHN71" s="412"/>
      <c r="BHO71" s="412"/>
      <c r="BHP71" s="412"/>
      <c r="BHQ71" s="412"/>
      <c r="BHR71" s="412"/>
      <c r="BHS71" s="412"/>
      <c r="BHT71" s="412"/>
      <c r="BHU71" s="412"/>
      <c r="BHV71" s="412"/>
      <c r="BHW71" s="412"/>
      <c r="BHX71" s="412"/>
      <c r="BHY71" s="412"/>
      <c r="BHZ71" s="412"/>
      <c r="BIA71" s="412"/>
      <c r="BIB71" s="412"/>
      <c r="BIC71" s="412"/>
      <c r="BID71" s="412"/>
      <c r="BIE71" s="412"/>
      <c r="BIF71" s="412"/>
      <c r="BIG71" s="412"/>
      <c r="BIH71" s="412"/>
      <c r="BII71" s="412"/>
      <c r="BIJ71" s="412"/>
      <c r="BIK71" s="412"/>
      <c r="BIL71" s="412"/>
      <c r="BIM71" s="412"/>
      <c r="BIN71" s="412"/>
      <c r="BIO71" s="412"/>
      <c r="BIP71" s="412"/>
      <c r="BIQ71" s="412"/>
      <c r="BIR71" s="412"/>
      <c r="BIS71" s="412"/>
      <c r="BIT71" s="412"/>
      <c r="BIU71" s="412"/>
      <c r="BIV71" s="412"/>
      <c r="BIW71" s="412"/>
      <c r="BIX71" s="412"/>
      <c r="BIY71" s="412"/>
      <c r="BIZ71" s="412"/>
      <c r="BJA71" s="412"/>
      <c r="BJB71" s="412"/>
      <c r="BJC71" s="412"/>
      <c r="BJD71" s="412"/>
      <c r="BJE71" s="412"/>
      <c r="BJF71" s="412"/>
      <c r="BJG71" s="412"/>
      <c r="BJH71" s="412"/>
      <c r="BJI71" s="412"/>
      <c r="BJJ71" s="412"/>
      <c r="BJK71" s="412"/>
      <c r="BJL71" s="412"/>
      <c r="BJM71" s="412"/>
      <c r="BJN71" s="412"/>
      <c r="BJO71" s="412"/>
      <c r="BJP71" s="412"/>
      <c r="BJQ71" s="412"/>
      <c r="BJR71" s="412"/>
      <c r="BJS71" s="412"/>
      <c r="BJT71" s="412"/>
      <c r="BJU71" s="412"/>
      <c r="BJV71" s="412"/>
      <c r="BJW71" s="412"/>
      <c r="BJX71" s="412"/>
      <c r="BJY71" s="412"/>
      <c r="BJZ71" s="412"/>
      <c r="BKA71" s="412"/>
      <c r="BKB71" s="412"/>
      <c r="BKC71" s="412"/>
      <c r="BKD71" s="412"/>
      <c r="BKE71" s="412"/>
      <c r="BKF71" s="412"/>
      <c r="BKG71" s="412"/>
      <c r="BKH71" s="412"/>
      <c r="BKI71" s="412"/>
      <c r="BKJ71" s="412"/>
      <c r="BKK71" s="412"/>
      <c r="BKL71" s="412"/>
      <c r="BKM71" s="412"/>
      <c r="BKN71" s="412"/>
      <c r="BKO71" s="412"/>
      <c r="BKP71" s="412"/>
      <c r="BKQ71" s="412"/>
      <c r="BKR71" s="412"/>
      <c r="BKS71" s="412"/>
      <c r="BKT71" s="412"/>
      <c r="BKU71" s="412"/>
      <c r="BKV71" s="412"/>
      <c r="BKW71" s="412"/>
      <c r="BKX71" s="412"/>
      <c r="BKY71" s="412"/>
      <c r="BKZ71" s="412"/>
      <c r="BLA71" s="412"/>
      <c r="BLB71" s="412"/>
      <c r="BLC71" s="412"/>
      <c r="BLD71" s="412"/>
      <c r="BLE71" s="412"/>
      <c r="BLF71" s="412"/>
      <c r="BLG71" s="412"/>
      <c r="BLH71" s="412"/>
      <c r="BLI71" s="412"/>
      <c r="BLJ71" s="412"/>
      <c r="BLK71" s="412"/>
      <c r="BLL71" s="412"/>
      <c r="BLM71" s="412"/>
      <c r="BLN71" s="412"/>
      <c r="BLO71" s="412"/>
      <c r="BLP71" s="412"/>
      <c r="BLQ71" s="412"/>
      <c r="BLR71" s="412"/>
      <c r="BLS71" s="412"/>
      <c r="BLT71" s="412"/>
      <c r="BLU71" s="412"/>
      <c r="BLV71" s="412"/>
      <c r="BLW71" s="412"/>
      <c r="BLX71" s="412"/>
      <c r="BLY71" s="412"/>
      <c r="BLZ71" s="412"/>
      <c r="BMA71" s="412"/>
      <c r="BMB71" s="412"/>
      <c r="BMC71" s="412"/>
      <c r="BMD71" s="412"/>
      <c r="BME71" s="412"/>
      <c r="BMF71" s="412"/>
      <c r="BMG71" s="412"/>
      <c r="BMH71" s="412"/>
      <c r="BMI71" s="412"/>
      <c r="BMJ71" s="412"/>
      <c r="BMK71" s="412"/>
      <c r="BML71" s="412"/>
      <c r="BMM71" s="412"/>
      <c r="BMN71" s="412"/>
      <c r="BMO71" s="412"/>
      <c r="BMP71" s="412"/>
      <c r="BMQ71" s="412"/>
      <c r="BMR71" s="412"/>
      <c r="BMS71" s="412"/>
      <c r="BMT71" s="412"/>
      <c r="BMU71" s="412"/>
      <c r="BMV71" s="412"/>
      <c r="BMW71" s="412"/>
      <c r="BMX71" s="412"/>
      <c r="BMY71" s="412"/>
      <c r="BMZ71" s="412"/>
      <c r="BNA71" s="412"/>
      <c r="BNB71" s="412"/>
      <c r="BNC71" s="412"/>
      <c r="BND71" s="412"/>
      <c r="BNE71" s="412"/>
      <c r="BNF71" s="412"/>
      <c r="BNG71" s="412"/>
      <c r="BNH71" s="412"/>
      <c r="BNI71" s="412"/>
      <c r="BNJ71" s="412"/>
      <c r="BNK71" s="412"/>
      <c r="BNL71" s="412"/>
      <c r="BNM71" s="412"/>
      <c r="BNN71" s="412"/>
      <c r="BNO71" s="412"/>
      <c r="BNP71" s="412"/>
      <c r="BNQ71" s="412"/>
      <c r="BNR71" s="412"/>
      <c r="BNS71" s="412"/>
      <c r="BNT71" s="412"/>
      <c r="BNU71" s="412"/>
      <c r="BNV71" s="412"/>
      <c r="BNW71" s="412"/>
      <c r="BNX71" s="412"/>
      <c r="BNY71" s="412"/>
      <c r="BNZ71" s="412"/>
      <c r="BOA71" s="412"/>
      <c r="BOB71" s="412"/>
      <c r="BOC71" s="412"/>
      <c r="BOD71" s="412"/>
      <c r="BOE71" s="412"/>
      <c r="BOF71" s="412"/>
      <c r="BOG71" s="412"/>
      <c r="BOH71" s="412"/>
      <c r="BOI71" s="412"/>
      <c r="BOJ71" s="412"/>
      <c r="BOK71" s="412"/>
      <c r="BOL71" s="412"/>
      <c r="BOM71" s="412"/>
      <c r="BON71" s="412"/>
      <c r="BOO71" s="412"/>
      <c r="BOP71" s="412"/>
      <c r="BOQ71" s="412"/>
      <c r="BOR71" s="412"/>
      <c r="BOS71" s="412"/>
      <c r="BOT71" s="412"/>
      <c r="BOU71" s="412"/>
      <c r="BOV71" s="412"/>
      <c r="BOW71" s="412"/>
      <c r="BOX71" s="412"/>
      <c r="BOY71" s="412"/>
      <c r="BOZ71" s="412"/>
      <c r="BPA71" s="412"/>
      <c r="BPB71" s="412"/>
      <c r="BPC71" s="412"/>
      <c r="BPD71" s="412"/>
      <c r="BPE71" s="412"/>
      <c r="BPF71" s="412"/>
      <c r="BPG71" s="412"/>
      <c r="BPH71" s="412"/>
      <c r="BPI71" s="412"/>
      <c r="BPJ71" s="412"/>
      <c r="BPK71" s="412"/>
      <c r="BPL71" s="412"/>
      <c r="BPM71" s="412"/>
      <c r="BPN71" s="412"/>
      <c r="BPO71" s="412"/>
      <c r="BPP71" s="412"/>
      <c r="BPQ71" s="412"/>
      <c r="BPR71" s="412"/>
      <c r="BPS71" s="412"/>
      <c r="BPT71" s="412"/>
      <c r="BPU71" s="412"/>
      <c r="BPV71" s="412"/>
      <c r="BPW71" s="412"/>
      <c r="BPX71" s="412"/>
      <c r="BPY71" s="412"/>
      <c r="BPZ71" s="412"/>
      <c r="BQA71" s="412"/>
      <c r="BQB71" s="412"/>
      <c r="BQC71" s="412"/>
      <c r="BQD71" s="412"/>
      <c r="BQE71" s="412"/>
      <c r="BQF71" s="412"/>
      <c r="BQG71" s="412"/>
      <c r="BQH71" s="412"/>
      <c r="BQI71" s="412"/>
      <c r="BQJ71" s="412"/>
      <c r="BQK71" s="412"/>
      <c r="BQL71" s="412"/>
      <c r="BQM71" s="412"/>
      <c r="BQN71" s="412"/>
      <c r="BQO71" s="412"/>
      <c r="BQP71" s="412"/>
      <c r="BQQ71" s="412"/>
      <c r="BQR71" s="412"/>
      <c r="BQS71" s="412"/>
      <c r="BQT71" s="412"/>
      <c r="BQU71" s="412"/>
      <c r="BQV71" s="412"/>
      <c r="BQW71" s="412"/>
      <c r="BQX71" s="412"/>
      <c r="BQY71" s="412"/>
      <c r="BQZ71" s="412"/>
      <c r="BRA71" s="412"/>
      <c r="BRB71" s="412"/>
      <c r="BRC71" s="412"/>
      <c r="BRD71" s="412"/>
      <c r="BRE71" s="412"/>
      <c r="BRF71" s="412"/>
      <c r="BRG71" s="412"/>
      <c r="BRH71" s="412"/>
      <c r="BRI71" s="412"/>
      <c r="BRJ71" s="412"/>
      <c r="BRK71" s="412"/>
      <c r="BRL71" s="412"/>
      <c r="BRM71" s="412"/>
      <c r="BRN71" s="412"/>
      <c r="BRO71" s="412"/>
      <c r="BRP71" s="412"/>
      <c r="BRQ71" s="412"/>
      <c r="BRR71" s="412"/>
      <c r="BRS71" s="412"/>
      <c r="BRT71" s="412"/>
      <c r="BRU71" s="412"/>
      <c r="BRV71" s="412"/>
      <c r="BRW71" s="412"/>
      <c r="BRX71" s="412"/>
      <c r="BRY71" s="412"/>
      <c r="BRZ71" s="412"/>
      <c r="BSA71" s="412"/>
      <c r="BSB71" s="412"/>
      <c r="BSC71" s="412"/>
      <c r="BSD71" s="412"/>
      <c r="BSE71" s="412"/>
      <c r="BSF71" s="412"/>
      <c r="BSG71" s="412"/>
      <c r="BSH71" s="412"/>
      <c r="BSI71" s="412"/>
      <c r="BSJ71" s="412"/>
      <c r="BSK71" s="412"/>
      <c r="BSL71" s="412"/>
      <c r="BSM71" s="412"/>
      <c r="BSN71" s="412"/>
      <c r="BSO71" s="412"/>
      <c r="BSP71" s="412"/>
      <c r="BSQ71" s="412"/>
      <c r="BSR71" s="412"/>
      <c r="BSS71" s="412"/>
      <c r="BST71" s="412"/>
      <c r="BSU71" s="412"/>
      <c r="BSV71" s="412"/>
      <c r="BSW71" s="412"/>
      <c r="BSX71" s="412"/>
      <c r="BSY71" s="412"/>
      <c r="BSZ71" s="412"/>
      <c r="BTA71" s="412"/>
      <c r="BTB71" s="412"/>
      <c r="BTC71" s="412"/>
      <c r="BTD71" s="412"/>
      <c r="BTE71" s="412"/>
      <c r="BTF71" s="412"/>
      <c r="BTG71" s="412"/>
      <c r="BTH71" s="412"/>
      <c r="BTI71" s="412"/>
    </row>
    <row r="72" spans="1:1881" ht="115.5" customHeight="1" thickBot="1" x14ac:dyDescent="0.3">
      <c r="A72" s="189">
        <v>507</v>
      </c>
      <c r="B72" s="64" t="s">
        <v>67</v>
      </c>
      <c r="C72" s="160" t="s">
        <v>167</v>
      </c>
      <c r="D72" s="338" t="s">
        <v>780</v>
      </c>
      <c r="E72" s="32" t="e">
        <f>HLOOKUP($D$2,'2019 Data(H)'!$C$1:$CG$300,157,FALSE)</f>
        <v>#N/A</v>
      </c>
      <c r="F72" s="647"/>
      <c r="G72" s="413" t="e">
        <f>IF(F57-F70-F72=E57,,"Error: Beginning Balance does not agree with our records.  Cell F57-F70-F72=E57  The amount of the formula is in the cell to the right")</f>
        <v>#N/A</v>
      </c>
      <c r="H72" s="193" t="e">
        <f>+F57-F70-F72-E57</f>
        <v>#N/A</v>
      </c>
      <c r="I72" s="31"/>
      <c r="L72" s="865" t="s">
        <v>1169</v>
      </c>
      <c r="M72" s="633"/>
      <c r="N72" s="656"/>
    </row>
    <row r="73" spans="1:1881" s="393" customFormat="1" ht="82.5" customHeight="1" thickBot="1" x14ac:dyDescent="0.3">
      <c r="A73" s="473">
        <v>647</v>
      </c>
      <c r="B73" s="474" t="s">
        <v>835</v>
      </c>
      <c r="C73" s="470" t="s">
        <v>838</v>
      </c>
      <c r="D73" s="476" t="s">
        <v>839</v>
      </c>
      <c r="E73" s="472" t="s">
        <v>837</v>
      </c>
      <c r="F73" s="647"/>
      <c r="G73" s="413">
        <f>IF(F73&lt;0,"Error: Enter as positive.",)</f>
        <v>0</v>
      </c>
      <c r="H73" s="477"/>
      <c r="I73" s="322"/>
      <c r="J73" s="412"/>
      <c r="K73" s="412"/>
      <c r="L73" s="865" t="s">
        <v>1170</v>
      </c>
      <c r="M73" s="633"/>
      <c r="N73" s="656"/>
      <c r="O73" s="412"/>
      <c r="P73" s="412"/>
      <c r="Q73" s="412"/>
      <c r="R73" s="412"/>
      <c r="S73" s="412"/>
      <c r="T73" s="412"/>
      <c r="U73" s="412"/>
      <c r="V73" s="412"/>
      <c r="W73" s="412"/>
      <c r="X73" s="412"/>
      <c r="Y73" s="412"/>
      <c r="Z73" s="412"/>
      <c r="AA73" s="412"/>
      <c r="AB73" s="412"/>
      <c r="AC73" s="412"/>
      <c r="AD73" s="412"/>
      <c r="AE73" s="412"/>
      <c r="AF73" s="412"/>
      <c r="AG73" s="412"/>
      <c r="AH73" s="412"/>
      <c r="AI73" s="412"/>
      <c r="AJ73" s="412"/>
      <c r="AK73" s="412"/>
      <c r="AL73" s="412"/>
      <c r="AM73" s="412"/>
      <c r="AN73" s="412"/>
      <c r="AO73" s="412"/>
      <c r="AP73" s="412"/>
      <c r="AQ73" s="412"/>
      <c r="AR73" s="412"/>
      <c r="AS73" s="412"/>
      <c r="AT73" s="412"/>
      <c r="AU73" s="412"/>
      <c r="AV73" s="412"/>
      <c r="AW73" s="412"/>
      <c r="AX73" s="412"/>
      <c r="AY73" s="412"/>
      <c r="AZ73" s="412"/>
      <c r="BA73" s="412"/>
      <c r="BB73" s="412"/>
      <c r="BC73" s="412"/>
      <c r="BD73" s="412"/>
      <c r="BE73" s="412"/>
      <c r="BF73" s="412"/>
      <c r="BG73" s="412"/>
      <c r="BH73" s="412"/>
      <c r="BI73" s="412"/>
      <c r="BJ73" s="412"/>
      <c r="BK73" s="412"/>
      <c r="BL73" s="412"/>
      <c r="BM73" s="412"/>
      <c r="BN73" s="412"/>
      <c r="BO73" s="412"/>
      <c r="BP73" s="412"/>
      <c r="BQ73" s="412"/>
      <c r="BR73" s="412"/>
      <c r="BS73" s="412"/>
      <c r="BT73" s="412"/>
      <c r="BU73" s="412"/>
      <c r="BV73" s="412"/>
      <c r="BW73" s="412"/>
      <c r="BX73" s="412"/>
      <c r="BY73" s="412"/>
      <c r="BZ73" s="412"/>
      <c r="CA73" s="412"/>
      <c r="CB73" s="412"/>
      <c r="CC73" s="412"/>
      <c r="CD73" s="412"/>
      <c r="CE73" s="412"/>
      <c r="CF73" s="412"/>
      <c r="CG73" s="412"/>
      <c r="CH73" s="412"/>
      <c r="CI73" s="412"/>
      <c r="CJ73" s="412"/>
      <c r="CK73" s="412"/>
      <c r="CL73" s="412"/>
      <c r="CM73" s="412"/>
      <c r="CN73" s="412"/>
      <c r="CO73" s="412"/>
      <c r="CP73" s="412"/>
      <c r="CQ73" s="412"/>
      <c r="CR73" s="412"/>
      <c r="CS73" s="412"/>
      <c r="CT73" s="412"/>
      <c r="CU73" s="412"/>
      <c r="CV73" s="412"/>
      <c r="CW73" s="412"/>
      <c r="CX73" s="412"/>
      <c r="CY73" s="412"/>
      <c r="CZ73" s="412"/>
      <c r="DA73" s="412"/>
      <c r="DB73" s="412"/>
      <c r="DC73" s="412"/>
      <c r="DD73" s="412"/>
      <c r="DE73" s="412"/>
      <c r="DF73" s="412"/>
      <c r="DG73" s="412"/>
      <c r="DH73" s="412"/>
      <c r="DI73" s="412"/>
      <c r="DJ73" s="412"/>
      <c r="DK73" s="412"/>
      <c r="DL73" s="412"/>
      <c r="DM73" s="412"/>
      <c r="DN73" s="412"/>
      <c r="DO73" s="412"/>
      <c r="DP73" s="412"/>
      <c r="DQ73" s="412"/>
      <c r="DR73" s="412"/>
      <c r="DS73" s="412"/>
      <c r="DT73" s="412"/>
      <c r="DU73" s="412"/>
      <c r="DV73" s="412"/>
      <c r="DW73" s="412"/>
      <c r="DX73" s="412"/>
      <c r="DY73" s="412"/>
      <c r="DZ73" s="412"/>
      <c r="EA73" s="412"/>
      <c r="EB73" s="412"/>
      <c r="EC73" s="412"/>
      <c r="ED73" s="412"/>
      <c r="EE73" s="412"/>
      <c r="EF73" s="412"/>
      <c r="EG73" s="412"/>
      <c r="EH73" s="412"/>
      <c r="EI73" s="412"/>
      <c r="EJ73" s="412"/>
      <c r="EK73" s="412"/>
      <c r="EL73" s="412"/>
      <c r="EM73" s="412"/>
      <c r="EN73" s="412"/>
      <c r="EO73" s="412"/>
      <c r="EP73" s="412"/>
      <c r="EQ73" s="412"/>
      <c r="ER73" s="412"/>
      <c r="ES73" s="412"/>
      <c r="ET73" s="412"/>
      <c r="EU73" s="412"/>
      <c r="EV73" s="412"/>
      <c r="EW73" s="412"/>
      <c r="EX73" s="412"/>
      <c r="EY73" s="412"/>
      <c r="EZ73" s="412"/>
      <c r="FA73" s="412"/>
      <c r="FB73" s="412"/>
      <c r="FC73" s="412"/>
      <c r="FD73" s="412"/>
      <c r="FE73" s="412"/>
      <c r="FF73" s="412"/>
      <c r="FG73" s="412"/>
      <c r="FH73" s="412"/>
      <c r="FI73" s="412"/>
      <c r="FJ73" s="412"/>
      <c r="FK73" s="412"/>
      <c r="FL73" s="412"/>
      <c r="FM73" s="412"/>
      <c r="FN73" s="412"/>
      <c r="FO73" s="412"/>
      <c r="FP73" s="412"/>
      <c r="FQ73" s="412"/>
      <c r="FR73" s="412"/>
      <c r="FS73" s="412"/>
      <c r="FT73" s="412"/>
      <c r="FU73" s="412"/>
      <c r="FV73" s="412"/>
      <c r="FW73" s="412"/>
      <c r="FX73" s="412"/>
      <c r="FY73" s="412"/>
      <c r="FZ73" s="412"/>
      <c r="GA73" s="412"/>
      <c r="GB73" s="412"/>
      <c r="GC73" s="412"/>
      <c r="GD73" s="412"/>
      <c r="GE73" s="412"/>
      <c r="GF73" s="412"/>
      <c r="GG73" s="412"/>
      <c r="GH73" s="412"/>
      <c r="GI73" s="412"/>
      <c r="GJ73" s="412"/>
      <c r="GK73" s="412"/>
      <c r="GL73" s="412"/>
      <c r="GM73" s="412"/>
      <c r="GN73" s="412"/>
      <c r="GO73" s="412"/>
      <c r="GP73" s="412"/>
      <c r="GQ73" s="412"/>
      <c r="GR73" s="412"/>
      <c r="GS73" s="412"/>
      <c r="GT73" s="412"/>
      <c r="GU73" s="412"/>
      <c r="GV73" s="412"/>
      <c r="GW73" s="412"/>
      <c r="GX73" s="412"/>
      <c r="GY73" s="412"/>
      <c r="GZ73" s="412"/>
      <c r="HA73" s="412"/>
      <c r="HB73" s="412"/>
      <c r="HC73" s="412"/>
      <c r="HD73" s="412"/>
      <c r="HE73" s="412"/>
      <c r="HF73" s="412"/>
      <c r="HG73" s="412"/>
      <c r="HH73" s="412"/>
      <c r="HI73" s="412"/>
      <c r="HJ73" s="412"/>
      <c r="HK73" s="412"/>
      <c r="HL73" s="412"/>
      <c r="HM73" s="412"/>
      <c r="HN73" s="412"/>
      <c r="HO73" s="412"/>
      <c r="HP73" s="412"/>
      <c r="HQ73" s="412"/>
      <c r="HR73" s="412"/>
      <c r="HS73" s="412"/>
      <c r="HT73" s="412"/>
      <c r="HU73" s="412"/>
      <c r="HV73" s="412"/>
      <c r="HW73" s="412"/>
      <c r="HX73" s="412"/>
      <c r="HY73" s="412"/>
      <c r="HZ73" s="412"/>
      <c r="IA73" s="412"/>
      <c r="IB73" s="412"/>
      <c r="IC73" s="412"/>
      <c r="ID73" s="412"/>
      <c r="IE73" s="412"/>
      <c r="IF73" s="412"/>
      <c r="IG73" s="412"/>
      <c r="IH73" s="412"/>
      <c r="II73" s="412"/>
      <c r="IJ73" s="412"/>
      <c r="IK73" s="412"/>
      <c r="IL73" s="412"/>
      <c r="IM73" s="412"/>
      <c r="IN73" s="412"/>
      <c r="IO73" s="412"/>
      <c r="IP73" s="412"/>
      <c r="IQ73" s="412"/>
      <c r="IR73" s="412"/>
      <c r="IS73" s="412"/>
      <c r="IT73" s="412"/>
      <c r="IU73" s="412"/>
      <c r="IV73" s="412"/>
      <c r="IW73" s="412"/>
      <c r="IX73" s="412"/>
      <c r="IY73" s="412"/>
      <c r="IZ73" s="412"/>
      <c r="JA73" s="412"/>
      <c r="JB73" s="412"/>
      <c r="JC73" s="412"/>
      <c r="JD73" s="412"/>
      <c r="JE73" s="412"/>
      <c r="JF73" s="412"/>
      <c r="JG73" s="412"/>
      <c r="JH73" s="412"/>
      <c r="JI73" s="412"/>
      <c r="JJ73" s="412"/>
      <c r="JK73" s="412"/>
      <c r="JL73" s="412"/>
      <c r="JM73" s="412"/>
      <c r="JN73" s="412"/>
      <c r="JO73" s="412"/>
      <c r="JP73" s="412"/>
      <c r="JQ73" s="412"/>
      <c r="JR73" s="412"/>
      <c r="JS73" s="412"/>
      <c r="JT73" s="412"/>
      <c r="JU73" s="412"/>
      <c r="JV73" s="412"/>
      <c r="JW73" s="412"/>
      <c r="JX73" s="412"/>
      <c r="JY73" s="412"/>
      <c r="JZ73" s="412"/>
      <c r="KA73" s="412"/>
      <c r="KB73" s="412"/>
      <c r="KC73" s="412"/>
      <c r="KD73" s="412"/>
      <c r="KE73" s="412"/>
      <c r="KF73" s="412"/>
      <c r="KG73" s="412"/>
      <c r="KH73" s="412"/>
      <c r="KI73" s="412"/>
      <c r="KJ73" s="412"/>
      <c r="KK73" s="412"/>
      <c r="KL73" s="412"/>
      <c r="KM73" s="412"/>
      <c r="KN73" s="412"/>
      <c r="KO73" s="412"/>
      <c r="KP73" s="412"/>
      <c r="KQ73" s="412"/>
      <c r="KR73" s="412"/>
      <c r="KS73" s="412"/>
      <c r="KT73" s="412"/>
      <c r="KU73" s="412"/>
      <c r="KV73" s="412"/>
      <c r="KW73" s="412"/>
      <c r="KX73" s="412"/>
      <c r="KY73" s="412"/>
      <c r="KZ73" s="412"/>
      <c r="LA73" s="412"/>
      <c r="LB73" s="412"/>
      <c r="LC73" s="412"/>
      <c r="LD73" s="412"/>
      <c r="LE73" s="412"/>
      <c r="LF73" s="412"/>
      <c r="LG73" s="412"/>
      <c r="LH73" s="412"/>
      <c r="LI73" s="412"/>
      <c r="LJ73" s="412"/>
      <c r="LK73" s="412"/>
      <c r="LL73" s="412"/>
      <c r="LM73" s="412"/>
      <c r="LN73" s="412"/>
      <c r="LO73" s="412"/>
      <c r="LP73" s="412"/>
      <c r="LQ73" s="412"/>
      <c r="LR73" s="412"/>
      <c r="LS73" s="412"/>
      <c r="LT73" s="412"/>
      <c r="LU73" s="412"/>
      <c r="LV73" s="412"/>
      <c r="LW73" s="412"/>
      <c r="LX73" s="412"/>
      <c r="LY73" s="412"/>
      <c r="LZ73" s="412"/>
      <c r="MA73" s="412"/>
      <c r="MB73" s="412"/>
      <c r="MC73" s="412"/>
      <c r="MD73" s="412"/>
      <c r="ME73" s="412"/>
      <c r="MF73" s="412"/>
      <c r="MG73" s="412"/>
      <c r="MH73" s="412"/>
      <c r="MI73" s="412"/>
      <c r="MJ73" s="412"/>
      <c r="MK73" s="412"/>
      <c r="ML73" s="412"/>
      <c r="MM73" s="412"/>
      <c r="MN73" s="412"/>
      <c r="MO73" s="412"/>
      <c r="MP73" s="412"/>
      <c r="MQ73" s="412"/>
      <c r="MR73" s="412"/>
      <c r="MS73" s="412"/>
      <c r="MT73" s="412"/>
      <c r="MU73" s="412"/>
      <c r="MV73" s="412"/>
      <c r="MW73" s="412"/>
      <c r="MX73" s="412"/>
      <c r="MY73" s="412"/>
      <c r="MZ73" s="412"/>
      <c r="NA73" s="412"/>
      <c r="NB73" s="412"/>
      <c r="NC73" s="412"/>
      <c r="ND73" s="412"/>
      <c r="NE73" s="412"/>
      <c r="NF73" s="412"/>
      <c r="NG73" s="412"/>
      <c r="NH73" s="412"/>
      <c r="NI73" s="412"/>
      <c r="NJ73" s="412"/>
      <c r="NK73" s="412"/>
      <c r="NL73" s="412"/>
      <c r="NM73" s="412"/>
      <c r="NN73" s="412"/>
      <c r="NO73" s="412"/>
      <c r="NP73" s="412"/>
      <c r="NQ73" s="412"/>
      <c r="NR73" s="412"/>
      <c r="NS73" s="412"/>
      <c r="NT73" s="412"/>
      <c r="NU73" s="412"/>
      <c r="NV73" s="412"/>
      <c r="NW73" s="412"/>
      <c r="NX73" s="412"/>
      <c r="NY73" s="412"/>
      <c r="NZ73" s="412"/>
      <c r="OA73" s="412"/>
      <c r="OB73" s="412"/>
      <c r="OC73" s="412"/>
      <c r="OD73" s="412"/>
      <c r="OE73" s="412"/>
      <c r="OF73" s="412"/>
      <c r="OG73" s="412"/>
      <c r="OH73" s="412"/>
      <c r="OI73" s="412"/>
      <c r="OJ73" s="412"/>
      <c r="OK73" s="412"/>
      <c r="OL73" s="412"/>
      <c r="OM73" s="412"/>
      <c r="ON73" s="412"/>
      <c r="OO73" s="412"/>
      <c r="OP73" s="412"/>
      <c r="OQ73" s="412"/>
      <c r="OR73" s="412"/>
      <c r="OS73" s="412"/>
      <c r="OT73" s="412"/>
      <c r="OU73" s="412"/>
      <c r="OV73" s="412"/>
      <c r="OW73" s="412"/>
      <c r="OX73" s="412"/>
      <c r="OY73" s="412"/>
      <c r="OZ73" s="412"/>
      <c r="PA73" s="412"/>
      <c r="PB73" s="412"/>
      <c r="PC73" s="412"/>
      <c r="PD73" s="412"/>
      <c r="PE73" s="412"/>
      <c r="PF73" s="412"/>
      <c r="PG73" s="412"/>
      <c r="PH73" s="412"/>
      <c r="PI73" s="412"/>
      <c r="PJ73" s="412"/>
      <c r="PK73" s="412"/>
      <c r="PL73" s="412"/>
      <c r="PM73" s="412"/>
      <c r="PN73" s="412"/>
      <c r="PO73" s="412"/>
      <c r="PP73" s="412"/>
      <c r="PQ73" s="412"/>
      <c r="PR73" s="412"/>
      <c r="PS73" s="412"/>
      <c r="PT73" s="412"/>
      <c r="PU73" s="412"/>
      <c r="PV73" s="412"/>
      <c r="PW73" s="412"/>
      <c r="PX73" s="412"/>
      <c r="PY73" s="412"/>
      <c r="PZ73" s="412"/>
      <c r="QA73" s="412"/>
      <c r="QB73" s="412"/>
      <c r="QC73" s="412"/>
      <c r="QD73" s="412"/>
      <c r="QE73" s="412"/>
      <c r="QF73" s="412"/>
      <c r="QG73" s="412"/>
      <c r="QH73" s="412"/>
      <c r="QI73" s="412"/>
      <c r="QJ73" s="412"/>
      <c r="QK73" s="412"/>
      <c r="QL73" s="412"/>
      <c r="QM73" s="412"/>
      <c r="QN73" s="412"/>
      <c r="QO73" s="412"/>
      <c r="QP73" s="412"/>
      <c r="QQ73" s="412"/>
      <c r="QR73" s="412"/>
      <c r="QS73" s="412"/>
      <c r="QT73" s="412"/>
      <c r="QU73" s="412"/>
      <c r="QV73" s="412"/>
      <c r="QW73" s="412"/>
      <c r="QX73" s="412"/>
      <c r="QY73" s="412"/>
      <c r="QZ73" s="412"/>
      <c r="RA73" s="412"/>
      <c r="RB73" s="412"/>
      <c r="RC73" s="412"/>
      <c r="RD73" s="412"/>
      <c r="RE73" s="412"/>
      <c r="RF73" s="412"/>
      <c r="RG73" s="412"/>
      <c r="RH73" s="412"/>
      <c r="RI73" s="412"/>
      <c r="RJ73" s="412"/>
      <c r="RK73" s="412"/>
      <c r="RL73" s="412"/>
      <c r="RM73" s="412"/>
      <c r="RN73" s="412"/>
      <c r="RO73" s="412"/>
      <c r="RP73" s="412"/>
      <c r="RQ73" s="412"/>
      <c r="RR73" s="412"/>
      <c r="RS73" s="412"/>
      <c r="RT73" s="412"/>
      <c r="RU73" s="412"/>
      <c r="RV73" s="412"/>
      <c r="RW73" s="412"/>
      <c r="RX73" s="412"/>
      <c r="RY73" s="412"/>
      <c r="RZ73" s="412"/>
      <c r="SA73" s="412"/>
      <c r="SB73" s="412"/>
      <c r="SC73" s="412"/>
      <c r="SD73" s="412"/>
      <c r="SE73" s="412"/>
      <c r="SF73" s="412"/>
      <c r="SG73" s="412"/>
      <c r="SH73" s="412"/>
      <c r="SI73" s="412"/>
      <c r="SJ73" s="412"/>
      <c r="SK73" s="412"/>
      <c r="SL73" s="412"/>
      <c r="SM73" s="412"/>
      <c r="SN73" s="412"/>
      <c r="SO73" s="412"/>
      <c r="SP73" s="412"/>
      <c r="SQ73" s="412"/>
      <c r="SR73" s="412"/>
      <c r="SS73" s="412"/>
      <c r="ST73" s="412"/>
      <c r="SU73" s="412"/>
      <c r="SV73" s="412"/>
      <c r="SW73" s="412"/>
      <c r="SX73" s="412"/>
      <c r="SY73" s="412"/>
      <c r="SZ73" s="412"/>
      <c r="TA73" s="412"/>
      <c r="TB73" s="412"/>
      <c r="TC73" s="412"/>
      <c r="TD73" s="412"/>
      <c r="TE73" s="412"/>
      <c r="TF73" s="412"/>
      <c r="TG73" s="412"/>
      <c r="TH73" s="412"/>
      <c r="TI73" s="412"/>
      <c r="TJ73" s="412"/>
      <c r="TK73" s="412"/>
      <c r="TL73" s="412"/>
      <c r="TM73" s="412"/>
      <c r="TN73" s="412"/>
      <c r="TO73" s="412"/>
      <c r="TP73" s="412"/>
      <c r="TQ73" s="412"/>
      <c r="TR73" s="412"/>
      <c r="TS73" s="412"/>
      <c r="TT73" s="412"/>
      <c r="TU73" s="412"/>
      <c r="TV73" s="412"/>
      <c r="TW73" s="412"/>
      <c r="TX73" s="412"/>
      <c r="TY73" s="412"/>
      <c r="TZ73" s="412"/>
      <c r="UA73" s="412"/>
      <c r="UB73" s="412"/>
      <c r="UC73" s="412"/>
      <c r="UD73" s="412"/>
      <c r="UE73" s="412"/>
      <c r="UF73" s="412"/>
      <c r="UG73" s="412"/>
      <c r="UH73" s="412"/>
      <c r="UI73" s="412"/>
      <c r="UJ73" s="412"/>
      <c r="UK73" s="412"/>
      <c r="UL73" s="412"/>
      <c r="UM73" s="412"/>
      <c r="UN73" s="412"/>
      <c r="UO73" s="412"/>
      <c r="UP73" s="412"/>
      <c r="UQ73" s="412"/>
      <c r="UR73" s="412"/>
      <c r="US73" s="412"/>
      <c r="UT73" s="412"/>
      <c r="UU73" s="412"/>
      <c r="UV73" s="412"/>
      <c r="UW73" s="412"/>
      <c r="UX73" s="412"/>
      <c r="UY73" s="412"/>
      <c r="UZ73" s="412"/>
      <c r="VA73" s="412"/>
      <c r="VB73" s="412"/>
      <c r="VC73" s="412"/>
      <c r="VD73" s="412"/>
      <c r="VE73" s="412"/>
      <c r="VF73" s="412"/>
      <c r="VG73" s="412"/>
      <c r="VH73" s="412"/>
      <c r="VI73" s="412"/>
      <c r="VJ73" s="412"/>
      <c r="VK73" s="412"/>
      <c r="VL73" s="412"/>
      <c r="VM73" s="412"/>
      <c r="VN73" s="412"/>
      <c r="VO73" s="412"/>
      <c r="VP73" s="412"/>
      <c r="VQ73" s="412"/>
      <c r="VR73" s="412"/>
      <c r="VS73" s="412"/>
      <c r="VT73" s="412"/>
      <c r="VU73" s="412"/>
      <c r="VV73" s="412"/>
      <c r="VW73" s="412"/>
      <c r="VX73" s="412"/>
      <c r="VY73" s="412"/>
      <c r="VZ73" s="412"/>
      <c r="WA73" s="412"/>
      <c r="WB73" s="412"/>
      <c r="WC73" s="412"/>
      <c r="WD73" s="412"/>
      <c r="WE73" s="412"/>
      <c r="WF73" s="412"/>
      <c r="WG73" s="412"/>
      <c r="WH73" s="412"/>
      <c r="WI73" s="412"/>
      <c r="WJ73" s="412"/>
      <c r="WK73" s="412"/>
      <c r="WL73" s="412"/>
      <c r="WM73" s="412"/>
      <c r="WN73" s="412"/>
      <c r="WO73" s="412"/>
      <c r="WP73" s="412"/>
      <c r="WQ73" s="412"/>
      <c r="WR73" s="412"/>
      <c r="WS73" s="412"/>
      <c r="WT73" s="412"/>
      <c r="WU73" s="412"/>
      <c r="WV73" s="412"/>
      <c r="WW73" s="412"/>
      <c r="WX73" s="412"/>
      <c r="WY73" s="412"/>
      <c r="WZ73" s="412"/>
      <c r="XA73" s="412"/>
      <c r="XB73" s="412"/>
      <c r="XC73" s="412"/>
      <c r="XD73" s="412"/>
      <c r="XE73" s="412"/>
      <c r="XF73" s="412"/>
      <c r="XG73" s="412"/>
      <c r="XH73" s="412"/>
      <c r="XI73" s="412"/>
      <c r="XJ73" s="412"/>
      <c r="XK73" s="412"/>
      <c r="XL73" s="412"/>
      <c r="XM73" s="412"/>
      <c r="XN73" s="412"/>
      <c r="XO73" s="412"/>
      <c r="XP73" s="412"/>
      <c r="XQ73" s="412"/>
      <c r="XR73" s="412"/>
      <c r="XS73" s="412"/>
      <c r="XT73" s="412"/>
      <c r="XU73" s="412"/>
      <c r="XV73" s="412"/>
      <c r="XW73" s="412"/>
      <c r="XX73" s="412"/>
      <c r="XY73" s="412"/>
      <c r="XZ73" s="412"/>
      <c r="YA73" s="412"/>
      <c r="YB73" s="412"/>
      <c r="YC73" s="412"/>
      <c r="YD73" s="412"/>
      <c r="YE73" s="412"/>
      <c r="YF73" s="412"/>
      <c r="YG73" s="412"/>
      <c r="YH73" s="412"/>
      <c r="YI73" s="412"/>
      <c r="YJ73" s="412"/>
      <c r="YK73" s="412"/>
      <c r="YL73" s="412"/>
      <c r="YM73" s="412"/>
      <c r="YN73" s="412"/>
      <c r="YO73" s="412"/>
      <c r="YP73" s="412"/>
      <c r="YQ73" s="412"/>
      <c r="YR73" s="412"/>
      <c r="YS73" s="412"/>
      <c r="YT73" s="412"/>
      <c r="YU73" s="412"/>
      <c r="YV73" s="412"/>
      <c r="YW73" s="412"/>
      <c r="YX73" s="412"/>
      <c r="YY73" s="412"/>
      <c r="YZ73" s="412"/>
      <c r="ZA73" s="412"/>
      <c r="ZB73" s="412"/>
      <c r="ZC73" s="412"/>
      <c r="ZD73" s="412"/>
      <c r="ZE73" s="412"/>
      <c r="ZF73" s="412"/>
      <c r="ZG73" s="412"/>
      <c r="ZH73" s="412"/>
      <c r="ZI73" s="412"/>
      <c r="ZJ73" s="412"/>
      <c r="ZK73" s="412"/>
      <c r="ZL73" s="412"/>
      <c r="ZM73" s="412"/>
      <c r="ZN73" s="412"/>
      <c r="ZO73" s="412"/>
      <c r="ZP73" s="412"/>
      <c r="ZQ73" s="412"/>
      <c r="ZR73" s="412"/>
      <c r="ZS73" s="412"/>
      <c r="ZT73" s="412"/>
      <c r="ZU73" s="412"/>
      <c r="ZV73" s="412"/>
      <c r="ZW73" s="412"/>
      <c r="ZX73" s="412"/>
      <c r="ZY73" s="412"/>
      <c r="ZZ73" s="412"/>
      <c r="AAA73" s="412"/>
      <c r="AAB73" s="412"/>
      <c r="AAC73" s="412"/>
      <c r="AAD73" s="412"/>
      <c r="AAE73" s="412"/>
      <c r="AAF73" s="412"/>
      <c r="AAG73" s="412"/>
      <c r="AAH73" s="412"/>
      <c r="AAI73" s="412"/>
      <c r="AAJ73" s="412"/>
      <c r="AAK73" s="412"/>
      <c r="AAL73" s="412"/>
      <c r="AAM73" s="412"/>
      <c r="AAN73" s="412"/>
      <c r="AAO73" s="412"/>
      <c r="AAP73" s="412"/>
      <c r="AAQ73" s="412"/>
      <c r="AAR73" s="412"/>
      <c r="AAS73" s="412"/>
      <c r="AAT73" s="412"/>
      <c r="AAU73" s="412"/>
      <c r="AAV73" s="412"/>
      <c r="AAW73" s="412"/>
      <c r="AAX73" s="412"/>
      <c r="AAY73" s="412"/>
      <c r="AAZ73" s="412"/>
      <c r="ABA73" s="412"/>
      <c r="ABB73" s="412"/>
      <c r="ABC73" s="412"/>
      <c r="ABD73" s="412"/>
      <c r="ABE73" s="412"/>
      <c r="ABF73" s="412"/>
      <c r="ABG73" s="412"/>
      <c r="ABH73" s="412"/>
      <c r="ABI73" s="412"/>
      <c r="ABJ73" s="412"/>
      <c r="ABK73" s="412"/>
      <c r="ABL73" s="412"/>
      <c r="ABM73" s="412"/>
      <c r="ABN73" s="412"/>
      <c r="ABO73" s="412"/>
      <c r="ABP73" s="412"/>
      <c r="ABQ73" s="412"/>
      <c r="ABR73" s="412"/>
      <c r="ABS73" s="412"/>
      <c r="ABT73" s="412"/>
      <c r="ABU73" s="412"/>
      <c r="ABV73" s="412"/>
      <c r="ABW73" s="412"/>
      <c r="ABX73" s="412"/>
      <c r="ABY73" s="412"/>
      <c r="ABZ73" s="412"/>
      <c r="ACA73" s="412"/>
      <c r="ACB73" s="412"/>
      <c r="ACC73" s="412"/>
      <c r="ACD73" s="412"/>
      <c r="ACE73" s="412"/>
      <c r="ACF73" s="412"/>
      <c r="ACG73" s="412"/>
      <c r="ACH73" s="412"/>
      <c r="ACI73" s="412"/>
      <c r="ACJ73" s="412"/>
      <c r="ACK73" s="412"/>
      <c r="ACL73" s="412"/>
      <c r="ACM73" s="412"/>
      <c r="ACN73" s="412"/>
      <c r="ACO73" s="412"/>
      <c r="ACP73" s="412"/>
      <c r="ACQ73" s="412"/>
      <c r="ACR73" s="412"/>
      <c r="ACS73" s="412"/>
      <c r="ACT73" s="412"/>
      <c r="ACU73" s="412"/>
      <c r="ACV73" s="412"/>
      <c r="ACW73" s="412"/>
      <c r="ACX73" s="412"/>
      <c r="ACY73" s="412"/>
      <c r="ACZ73" s="412"/>
      <c r="ADA73" s="412"/>
      <c r="ADB73" s="412"/>
      <c r="ADC73" s="412"/>
      <c r="ADD73" s="412"/>
      <c r="ADE73" s="412"/>
      <c r="ADF73" s="412"/>
      <c r="ADG73" s="412"/>
      <c r="ADH73" s="412"/>
      <c r="ADI73" s="412"/>
      <c r="ADJ73" s="412"/>
      <c r="ADK73" s="412"/>
      <c r="ADL73" s="412"/>
      <c r="ADM73" s="412"/>
      <c r="ADN73" s="412"/>
      <c r="ADO73" s="412"/>
      <c r="ADP73" s="412"/>
      <c r="ADQ73" s="412"/>
      <c r="ADR73" s="412"/>
      <c r="ADS73" s="412"/>
      <c r="ADT73" s="412"/>
      <c r="ADU73" s="412"/>
      <c r="ADV73" s="412"/>
      <c r="ADW73" s="412"/>
      <c r="ADX73" s="412"/>
      <c r="ADY73" s="412"/>
      <c r="ADZ73" s="412"/>
      <c r="AEA73" s="412"/>
      <c r="AEB73" s="412"/>
      <c r="AEC73" s="412"/>
      <c r="AED73" s="412"/>
      <c r="AEE73" s="412"/>
      <c r="AEF73" s="412"/>
      <c r="AEG73" s="412"/>
      <c r="AEH73" s="412"/>
      <c r="AEI73" s="412"/>
      <c r="AEJ73" s="412"/>
      <c r="AEK73" s="412"/>
      <c r="AEL73" s="412"/>
      <c r="AEM73" s="412"/>
      <c r="AEN73" s="412"/>
      <c r="AEO73" s="412"/>
      <c r="AEP73" s="412"/>
      <c r="AEQ73" s="412"/>
      <c r="AER73" s="412"/>
      <c r="AES73" s="412"/>
      <c r="AET73" s="412"/>
      <c r="AEU73" s="412"/>
      <c r="AEV73" s="412"/>
      <c r="AEW73" s="412"/>
      <c r="AEX73" s="412"/>
      <c r="AEY73" s="412"/>
      <c r="AEZ73" s="412"/>
      <c r="AFA73" s="412"/>
      <c r="AFB73" s="412"/>
      <c r="AFC73" s="412"/>
      <c r="AFD73" s="412"/>
      <c r="AFE73" s="412"/>
      <c r="AFF73" s="412"/>
      <c r="AFG73" s="412"/>
      <c r="AFH73" s="412"/>
      <c r="AFI73" s="412"/>
      <c r="AFJ73" s="412"/>
      <c r="AFK73" s="412"/>
      <c r="AFL73" s="412"/>
      <c r="AFM73" s="412"/>
      <c r="AFN73" s="412"/>
      <c r="AFO73" s="412"/>
      <c r="AFP73" s="412"/>
      <c r="AFQ73" s="412"/>
      <c r="AFR73" s="412"/>
      <c r="AFS73" s="412"/>
      <c r="AFT73" s="412"/>
      <c r="AFU73" s="412"/>
      <c r="AFV73" s="412"/>
      <c r="AFW73" s="412"/>
      <c r="AFX73" s="412"/>
      <c r="AFY73" s="412"/>
      <c r="AFZ73" s="412"/>
      <c r="AGA73" s="412"/>
      <c r="AGB73" s="412"/>
      <c r="AGC73" s="412"/>
      <c r="AGD73" s="412"/>
      <c r="AGE73" s="412"/>
      <c r="AGF73" s="412"/>
      <c r="AGG73" s="412"/>
      <c r="AGH73" s="412"/>
      <c r="AGI73" s="412"/>
      <c r="AGJ73" s="412"/>
      <c r="AGK73" s="412"/>
      <c r="AGL73" s="412"/>
      <c r="AGM73" s="412"/>
      <c r="AGN73" s="412"/>
      <c r="AGO73" s="412"/>
      <c r="AGP73" s="412"/>
      <c r="AGQ73" s="412"/>
      <c r="AGR73" s="412"/>
      <c r="AGS73" s="412"/>
      <c r="AGT73" s="412"/>
      <c r="AGU73" s="412"/>
      <c r="AGV73" s="412"/>
      <c r="AGW73" s="412"/>
      <c r="AGX73" s="412"/>
      <c r="AGY73" s="412"/>
      <c r="AGZ73" s="412"/>
      <c r="AHA73" s="412"/>
      <c r="AHB73" s="412"/>
      <c r="AHC73" s="412"/>
      <c r="AHD73" s="412"/>
      <c r="AHE73" s="412"/>
      <c r="AHF73" s="412"/>
      <c r="AHG73" s="412"/>
      <c r="AHH73" s="412"/>
      <c r="AHI73" s="412"/>
      <c r="AHJ73" s="412"/>
      <c r="AHK73" s="412"/>
      <c r="AHL73" s="412"/>
      <c r="AHM73" s="412"/>
      <c r="AHN73" s="412"/>
      <c r="AHO73" s="412"/>
      <c r="AHP73" s="412"/>
      <c r="AHQ73" s="412"/>
      <c r="AHR73" s="412"/>
      <c r="AHS73" s="412"/>
      <c r="AHT73" s="412"/>
      <c r="AHU73" s="412"/>
      <c r="AHV73" s="412"/>
      <c r="AHW73" s="412"/>
      <c r="AHX73" s="412"/>
      <c r="AHY73" s="412"/>
      <c r="AHZ73" s="412"/>
      <c r="AIA73" s="412"/>
      <c r="AIB73" s="412"/>
      <c r="AIC73" s="412"/>
      <c r="AID73" s="412"/>
      <c r="AIE73" s="412"/>
      <c r="AIF73" s="412"/>
      <c r="AIG73" s="412"/>
      <c r="AIH73" s="412"/>
      <c r="AII73" s="412"/>
      <c r="AIJ73" s="412"/>
      <c r="AIK73" s="412"/>
      <c r="AIL73" s="412"/>
      <c r="AIM73" s="412"/>
      <c r="AIN73" s="412"/>
      <c r="AIO73" s="412"/>
      <c r="AIP73" s="412"/>
      <c r="AIQ73" s="412"/>
      <c r="AIR73" s="412"/>
      <c r="AIS73" s="412"/>
      <c r="AIT73" s="412"/>
      <c r="AIU73" s="412"/>
      <c r="AIV73" s="412"/>
      <c r="AIW73" s="412"/>
      <c r="AIX73" s="412"/>
      <c r="AIY73" s="412"/>
      <c r="AIZ73" s="412"/>
      <c r="AJA73" s="412"/>
      <c r="AJB73" s="412"/>
      <c r="AJC73" s="412"/>
      <c r="AJD73" s="412"/>
      <c r="AJE73" s="412"/>
      <c r="AJF73" s="412"/>
      <c r="AJG73" s="412"/>
      <c r="AJH73" s="412"/>
      <c r="AJI73" s="412"/>
      <c r="AJJ73" s="412"/>
      <c r="AJK73" s="412"/>
      <c r="AJL73" s="412"/>
      <c r="AJM73" s="412"/>
      <c r="AJN73" s="412"/>
      <c r="AJO73" s="412"/>
      <c r="AJP73" s="412"/>
      <c r="AJQ73" s="412"/>
      <c r="AJR73" s="412"/>
      <c r="AJS73" s="412"/>
      <c r="AJT73" s="412"/>
      <c r="AJU73" s="412"/>
      <c r="AJV73" s="412"/>
      <c r="AJW73" s="412"/>
      <c r="AJX73" s="412"/>
      <c r="AJY73" s="412"/>
      <c r="AJZ73" s="412"/>
      <c r="AKA73" s="412"/>
      <c r="AKB73" s="412"/>
      <c r="AKC73" s="412"/>
      <c r="AKD73" s="412"/>
      <c r="AKE73" s="412"/>
      <c r="AKF73" s="412"/>
      <c r="AKG73" s="412"/>
      <c r="AKH73" s="412"/>
      <c r="AKI73" s="412"/>
      <c r="AKJ73" s="412"/>
      <c r="AKK73" s="412"/>
      <c r="AKL73" s="412"/>
      <c r="AKM73" s="412"/>
      <c r="AKN73" s="412"/>
      <c r="AKO73" s="412"/>
      <c r="AKP73" s="412"/>
      <c r="AKQ73" s="412"/>
      <c r="AKR73" s="412"/>
      <c r="AKS73" s="412"/>
      <c r="AKT73" s="412"/>
      <c r="AKU73" s="412"/>
      <c r="AKV73" s="412"/>
      <c r="AKW73" s="412"/>
      <c r="AKX73" s="412"/>
      <c r="AKY73" s="412"/>
      <c r="AKZ73" s="412"/>
      <c r="ALA73" s="412"/>
      <c r="ALB73" s="412"/>
      <c r="ALC73" s="412"/>
      <c r="ALD73" s="412"/>
      <c r="ALE73" s="412"/>
      <c r="ALF73" s="412"/>
      <c r="ALG73" s="412"/>
      <c r="ALH73" s="412"/>
      <c r="ALI73" s="412"/>
      <c r="ALJ73" s="412"/>
      <c r="ALK73" s="412"/>
      <c r="ALL73" s="412"/>
      <c r="ALM73" s="412"/>
      <c r="ALN73" s="412"/>
      <c r="ALO73" s="412"/>
      <c r="ALP73" s="412"/>
      <c r="ALQ73" s="412"/>
      <c r="ALR73" s="412"/>
      <c r="ALS73" s="412"/>
      <c r="ALT73" s="412"/>
      <c r="ALU73" s="412"/>
      <c r="ALV73" s="412"/>
      <c r="ALW73" s="412"/>
      <c r="ALX73" s="412"/>
      <c r="ALY73" s="412"/>
      <c r="ALZ73" s="412"/>
      <c r="AMA73" s="412"/>
      <c r="AMB73" s="412"/>
      <c r="AMC73" s="412"/>
      <c r="AMD73" s="412"/>
      <c r="AME73" s="412"/>
      <c r="AMF73" s="412"/>
      <c r="AMG73" s="412"/>
      <c r="AMH73" s="412"/>
      <c r="AMI73" s="412"/>
      <c r="AMJ73" s="412"/>
      <c r="AMK73" s="412"/>
      <c r="AML73" s="412"/>
      <c r="AMM73" s="412"/>
      <c r="AMN73" s="412"/>
      <c r="AMO73" s="412"/>
      <c r="AMP73" s="412"/>
      <c r="AMQ73" s="412"/>
      <c r="AMR73" s="412"/>
      <c r="AMS73" s="412"/>
      <c r="AMT73" s="412"/>
      <c r="AMU73" s="412"/>
      <c r="AMV73" s="412"/>
      <c r="AMW73" s="412"/>
      <c r="AMX73" s="412"/>
      <c r="AMY73" s="412"/>
      <c r="AMZ73" s="412"/>
      <c r="ANA73" s="412"/>
      <c r="ANB73" s="412"/>
      <c r="ANC73" s="412"/>
      <c r="AND73" s="412"/>
      <c r="ANE73" s="412"/>
      <c r="ANF73" s="412"/>
      <c r="ANG73" s="412"/>
      <c r="ANH73" s="412"/>
      <c r="ANI73" s="412"/>
      <c r="ANJ73" s="412"/>
      <c r="ANK73" s="412"/>
      <c r="ANL73" s="412"/>
      <c r="ANM73" s="412"/>
      <c r="ANN73" s="412"/>
      <c r="ANO73" s="412"/>
      <c r="ANP73" s="412"/>
      <c r="ANQ73" s="412"/>
      <c r="ANR73" s="412"/>
      <c r="ANS73" s="412"/>
      <c r="ANT73" s="412"/>
      <c r="ANU73" s="412"/>
      <c r="ANV73" s="412"/>
      <c r="ANW73" s="412"/>
      <c r="ANX73" s="412"/>
      <c r="ANY73" s="412"/>
      <c r="ANZ73" s="412"/>
      <c r="AOA73" s="412"/>
      <c r="AOB73" s="412"/>
      <c r="AOC73" s="412"/>
      <c r="AOD73" s="412"/>
      <c r="AOE73" s="412"/>
      <c r="AOF73" s="412"/>
      <c r="AOG73" s="412"/>
      <c r="AOH73" s="412"/>
      <c r="AOI73" s="412"/>
      <c r="AOJ73" s="412"/>
      <c r="AOK73" s="412"/>
      <c r="AOL73" s="412"/>
      <c r="AOM73" s="412"/>
      <c r="AON73" s="412"/>
      <c r="AOO73" s="412"/>
      <c r="AOP73" s="412"/>
      <c r="AOQ73" s="412"/>
      <c r="AOR73" s="412"/>
      <c r="AOS73" s="412"/>
      <c r="AOT73" s="412"/>
      <c r="AOU73" s="412"/>
      <c r="AOV73" s="412"/>
      <c r="AOW73" s="412"/>
      <c r="AOX73" s="412"/>
      <c r="AOY73" s="412"/>
      <c r="AOZ73" s="412"/>
      <c r="APA73" s="412"/>
      <c r="APB73" s="412"/>
      <c r="APC73" s="412"/>
      <c r="APD73" s="412"/>
      <c r="APE73" s="412"/>
      <c r="APF73" s="412"/>
      <c r="APG73" s="412"/>
      <c r="APH73" s="412"/>
      <c r="API73" s="412"/>
      <c r="APJ73" s="412"/>
      <c r="APK73" s="412"/>
      <c r="APL73" s="412"/>
      <c r="APM73" s="412"/>
      <c r="APN73" s="412"/>
      <c r="APO73" s="412"/>
      <c r="APP73" s="412"/>
      <c r="APQ73" s="412"/>
      <c r="APR73" s="412"/>
      <c r="APS73" s="412"/>
      <c r="APT73" s="412"/>
      <c r="APU73" s="412"/>
      <c r="APV73" s="412"/>
      <c r="APW73" s="412"/>
      <c r="APX73" s="412"/>
      <c r="APY73" s="412"/>
      <c r="APZ73" s="412"/>
      <c r="AQA73" s="412"/>
      <c r="AQB73" s="412"/>
      <c r="AQC73" s="412"/>
      <c r="AQD73" s="412"/>
      <c r="AQE73" s="412"/>
      <c r="AQF73" s="412"/>
      <c r="AQG73" s="412"/>
      <c r="AQH73" s="412"/>
      <c r="AQI73" s="412"/>
      <c r="AQJ73" s="412"/>
      <c r="AQK73" s="412"/>
      <c r="AQL73" s="412"/>
      <c r="AQM73" s="412"/>
      <c r="AQN73" s="412"/>
      <c r="AQO73" s="412"/>
      <c r="AQP73" s="412"/>
      <c r="AQQ73" s="412"/>
      <c r="AQR73" s="412"/>
      <c r="AQS73" s="412"/>
      <c r="AQT73" s="412"/>
      <c r="AQU73" s="412"/>
      <c r="AQV73" s="412"/>
      <c r="AQW73" s="412"/>
      <c r="AQX73" s="412"/>
      <c r="AQY73" s="412"/>
      <c r="AQZ73" s="412"/>
      <c r="ARA73" s="412"/>
      <c r="ARB73" s="412"/>
      <c r="ARC73" s="412"/>
      <c r="ARD73" s="412"/>
      <c r="ARE73" s="412"/>
      <c r="ARF73" s="412"/>
      <c r="ARG73" s="412"/>
      <c r="ARH73" s="412"/>
      <c r="ARI73" s="412"/>
      <c r="ARJ73" s="412"/>
      <c r="ARK73" s="412"/>
      <c r="ARL73" s="412"/>
      <c r="ARM73" s="412"/>
      <c r="ARN73" s="412"/>
      <c r="ARO73" s="412"/>
      <c r="ARP73" s="412"/>
      <c r="ARQ73" s="412"/>
      <c r="ARR73" s="412"/>
      <c r="ARS73" s="412"/>
      <c r="ART73" s="412"/>
      <c r="ARU73" s="412"/>
      <c r="ARV73" s="412"/>
      <c r="ARW73" s="412"/>
      <c r="ARX73" s="412"/>
      <c r="ARY73" s="412"/>
      <c r="ARZ73" s="412"/>
      <c r="ASA73" s="412"/>
      <c r="ASB73" s="412"/>
      <c r="ASC73" s="412"/>
      <c r="ASD73" s="412"/>
      <c r="ASE73" s="412"/>
      <c r="ASF73" s="412"/>
      <c r="ASG73" s="412"/>
      <c r="ASH73" s="412"/>
      <c r="ASI73" s="412"/>
      <c r="ASJ73" s="412"/>
      <c r="ASK73" s="412"/>
      <c r="ASL73" s="412"/>
      <c r="ASM73" s="412"/>
      <c r="ASN73" s="412"/>
      <c r="ASO73" s="412"/>
      <c r="ASP73" s="412"/>
      <c r="ASQ73" s="412"/>
      <c r="ASR73" s="412"/>
      <c r="ASS73" s="412"/>
      <c r="AST73" s="412"/>
      <c r="ASU73" s="412"/>
      <c r="ASV73" s="412"/>
      <c r="ASW73" s="412"/>
      <c r="ASX73" s="412"/>
      <c r="ASY73" s="412"/>
      <c r="ASZ73" s="412"/>
      <c r="ATA73" s="412"/>
      <c r="ATB73" s="412"/>
      <c r="ATC73" s="412"/>
      <c r="ATD73" s="412"/>
      <c r="ATE73" s="412"/>
      <c r="ATF73" s="412"/>
      <c r="ATG73" s="412"/>
      <c r="ATH73" s="412"/>
      <c r="ATI73" s="412"/>
      <c r="ATJ73" s="412"/>
      <c r="ATK73" s="412"/>
      <c r="ATL73" s="412"/>
      <c r="ATM73" s="412"/>
      <c r="ATN73" s="412"/>
      <c r="ATO73" s="412"/>
      <c r="ATP73" s="412"/>
      <c r="ATQ73" s="412"/>
      <c r="ATR73" s="412"/>
      <c r="ATS73" s="412"/>
      <c r="ATT73" s="412"/>
      <c r="ATU73" s="412"/>
      <c r="ATV73" s="412"/>
      <c r="ATW73" s="412"/>
      <c r="ATX73" s="412"/>
      <c r="ATY73" s="412"/>
      <c r="ATZ73" s="412"/>
      <c r="AUA73" s="412"/>
      <c r="AUB73" s="412"/>
      <c r="AUC73" s="412"/>
      <c r="AUD73" s="412"/>
      <c r="AUE73" s="412"/>
      <c r="AUF73" s="412"/>
      <c r="AUG73" s="412"/>
      <c r="AUH73" s="412"/>
      <c r="AUI73" s="412"/>
      <c r="AUJ73" s="412"/>
      <c r="AUK73" s="412"/>
      <c r="AUL73" s="412"/>
      <c r="AUM73" s="412"/>
      <c r="AUN73" s="412"/>
      <c r="AUO73" s="412"/>
      <c r="AUP73" s="412"/>
      <c r="AUQ73" s="412"/>
      <c r="AUR73" s="412"/>
      <c r="AUS73" s="412"/>
      <c r="AUT73" s="412"/>
      <c r="AUU73" s="412"/>
      <c r="AUV73" s="412"/>
      <c r="AUW73" s="412"/>
      <c r="AUX73" s="412"/>
      <c r="AUY73" s="412"/>
      <c r="AUZ73" s="412"/>
      <c r="AVA73" s="412"/>
      <c r="AVB73" s="412"/>
      <c r="AVC73" s="412"/>
      <c r="AVD73" s="412"/>
      <c r="AVE73" s="412"/>
      <c r="AVF73" s="412"/>
      <c r="AVG73" s="412"/>
      <c r="AVH73" s="412"/>
      <c r="AVI73" s="412"/>
      <c r="AVJ73" s="412"/>
      <c r="AVK73" s="412"/>
      <c r="AVL73" s="412"/>
      <c r="AVM73" s="412"/>
      <c r="AVN73" s="412"/>
      <c r="AVO73" s="412"/>
      <c r="AVP73" s="412"/>
      <c r="AVQ73" s="412"/>
      <c r="AVR73" s="412"/>
      <c r="AVS73" s="412"/>
      <c r="AVT73" s="412"/>
      <c r="AVU73" s="412"/>
      <c r="AVV73" s="412"/>
      <c r="AVW73" s="412"/>
      <c r="AVX73" s="412"/>
      <c r="AVY73" s="412"/>
      <c r="AVZ73" s="412"/>
      <c r="AWA73" s="412"/>
      <c r="AWB73" s="412"/>
      <c r="AWC73" s="412"/>
      <c r="AWD73" s="412"/>
      <c r="AWE73" s="412"/>
      <c r="AWF73" s="412"/>
      <c r="AWG73" s="412"/>
      <c r="AWH73" s="412"/>
      <c r="AWI73" s="412"/>
      <c r="AWJ73" s="412"/>
      <c r="AWK73" s="412"/>
      <c r="AWL73" s="412"/>
      <c r="AWM73" s="412"/>
      <c r="AWN73" s="412"/>
      <c r="AWO73" s="412"/>
      <c r="AWP73" s="412"/>
      <c r="AWQ73" s="412"/>
      <c r="AWR73" s="412"/>
      <c r="AWS73" s="412"/>
      <c r="AWT73" s="412"/>
      <c r="AWU73" s="412"/>
      <c r="AWV73" s="412"/>
      <c r="AWW73" s="412"/>
      <c r="AWX73" s="412"/>
      <c r="AWY73" s="412"/>
      <c r="AWZ73" s="412"/>
      <c r="AXA73" s="412"/>
      <c r="AXB73" s="412"/>
      <c r="AXC73" s="412"/>
      <c r="AXD73" s="412"/>
      <c r="AXE73" s="412"/>
      <c r="AXF73" s="412"/>
      <c r="AXG73" s="412"/>
      <c r="AXH73" s="412"/>
      <c r="AXI73" s="412"/>
      <c r="AXJ73" s="412"/>
      <c r="AXK73" s="412"/>
      <c r="AXL73" s="412"/>
      <c r="AXM73" s="412"/>
      <c r="AXN73" s="412"/>
      <c r="AXO73" s="412"/>
      <c r="AXP73" s="412"/>
      <c r="AXQ73" s="412"/>
      <c r="AXR73" s="412"/>
      <c r="AXS73" s="412"/>
      <c r="AXT73" s="412"/>
      <c r="AXU73" s="412"/>
      <c r="AXV73" s="412"/>
      <c r="AXW73" s="412"/>
      <c r="AXX73" s="412"/>
      <c r="AXY73" s="412"/>
      <c r="AXZ73" s="412"/>
      <c r="AYA73" s="412"/>
      <c r="AYB73" s="412"/>
      <c r="AYC73" s="412"/>
      <c r="AYD73" s="412"/>
      <c r="AYE73" s="412"/>
      <c r="AYF73" s="412"/>
      <c r="AYG73" s="412"/>
      <c r="AYH73" s="412"/>
      <c r="AYI73" s="412"/>
      <c r="AYJ73" s="412"/>
      <c r="AYK73" s="412"/>
      <c r="AYL73" s="412"/>
      <c r="AYM73" s="412"/>
      <c r="AYN73" s="412"/>
      <c r="AYO73" s="412"/>
      <c r="AYP73" s="412"/>
      <c r="AYQ73" s="412"/>
      <c r="AYR73" s="412"/>
      <c r="AYS73" s="412"/>
      <c r="AYT73" s="412"/>
      <c r="AYU73" s="412"/>
      <c r="AYV73" s="412"/>
      <c r="AYW73" s="412"/>
      <c r="AYX73" s="412"/>
      <c r="AYY73" s="412"/>
      <c r="AYZ73" s="412"/>
      <c r="AZA73" s="412"/>
      <c r="AZB73" s="412"/>
      <c r="AZC73" s="412"/>
      <c r="AZD73" s="412"/>
      <c r="AZE73" s="412"/>
      <c r="AZF73" s="412"/>
      <c r="AZG73" s="412"/>
      <c r="AZH73" s="412"/>
      <c r="AZI73" s="412"/>
      <c r="AZJ73" s="412"/>
      <c r="AZK73" s="412"/>
      <c r="AZL73" s="412"/>
      <c r="AZM73" s="412"/>
      <c r="AZN73" s="412"/>
      <c r="AZO73" s="412"/>
      <c r="AZP73" s="412"/>
      <c r="AZQ73" s="412"/>
      <c r="AZR73" s="412"/>
      <c r="AZS73" s="412"/>
      <c r="AZT73" s="412"/>
      <c r="AZU73" s="412"/>
      <c r="AZV73" s="412"/>
      <c r="AZW73" s="412"/>
      <c r="AZX73" s="412"/>
      <c r="AZY73" s="412"/>
      <c r="AZZ73" s="412"/>
      <c r="BAA73" s="412"/>
      <c r="BAB73" s="412"/>
      <c r="BAC73" s="412"/>
      <c r="BAD73" s="412"/>
      <c r="BAE73" s="412"/>
      <c r="BAF73" s="412"/>
      <c r="BAG73" s="412"/>
      <c r="BAH73" s="412"/>
      <c r="BAI73" s="412"/>
      <c r="BAJ73" s="412"/>
      <c r="BAK73" s="412"/>
      <c r="BAL73" s="412"/>
      <c r="BAM73" s="412"/>
      <c r="BAN73" s="412"/>
      <c r="BAO73" s="412"/>
      <c r="BAP73" s="412"/>
      <c r="BAQ73" s="412"/>
      <c r="BAR73" s="412"/>
      <c r="BAS73" s="412"/>
      <c r="BAT73" s="412"/>
      <c r="BAU73" s="412"/>
      <c r="BAV73" s="412"/>
      <c r="BAW73" s="412"/>
      <c r="BAX73" s="412"/>
      <c r="BAY73" s="412"/>
      <c r="BAZ73" s="412"/>
      <c r="BBA73" s="412"/>
      <c r="BBB73" s="412"/>
      <c r="BBC73" s="412"/>
      <c r="BBD73" s="412"/>
      <c r="BBE73" s="412"/>
      <c r="BBF73" s="412"/>
      <c r="BBG73" s="412"/>
      <c r="BBH73" s="412"/>
      <c r="BBI73" s="412"/>
      <c r="BBJ73" s="412"/>
      <c r="BBK73" s="412"/>
      <c r="BBL73" s="412"/>
      <c r="BBM73" s="412"/>
      <c r="BBN73" s="412"/>
      <c r="BBO73" s="412"/>
      <c r="BBP73" s="412"/>
      <c r="BBQ73" s="412"/>
      <c r="BBR73" s="412"/>
      <c r="BBS73" s="412"/>
      <c r="BBT73" s="412"/>
      <c r="BBU73" s="412"/>
      <c r="BBV73" s="412"/>
      <c r="BBW73" s="412"/>
      <c r="BBX73" s="412"/>
      <c r="BBY73" s="412"/>
      <c r="BBZ73" s="412"/>
      <c r="BCA73" s="412"/>
      <c r="BCB73" s="412"/>
      <c r="BCC73" s="412"/>
      <c r="BCD73" s="412"/>
      <c r="BCE73" s="412"/>
      <c r="BCF73" s="412"/>
      <c r="BCG73" s="412"/>
      <c r="BCH73" s="412"/>
      <c r="BCI73" s="412"/>
      <c r="BCJ73" s="412"/>
      <c r="BCK73" s="412"/>
      <c r="BCL73" s="412"/>
      <c r="BCM73" s="412"/>
      <c r="BCN73" s="412"/>
      <c r="BCO73" s="412"/>
      <c r="BCP73" s="412"/>
      <c r="BCQ73" s="412"/>
      <c r="BCR73" s="412"/>
      <c r="BCS73" s="412"/>
      <c r="BCT73" s="412"/>
      <c r="BCU73" s="412"/>
      <c r="BCV73" s="412"/>
      <c r="BCW73" s="412"/>
      <c r="BCX73" s="412"/>
      <c r="BCY73" s="412"/>
      <c r="BCZ73" s="412"/>
      <c r="BDA73" s="412"/>
      <c r="BDB73" s="412"/>
      <c r="BDC73" s="412"/>
      <c r="BDD73" s="412"/>
      <c r="BDE73" s="412"/>
      <c r="BDF73" s="412"/>
      <c r="BDG73" s="412"/>
      <c r="BDH73" s="412"/>
      <c r="BDI73" s="412"/>
      <c r="BDJ73" s="412"/>
      <c r="BDK73" s="412"/>
      <c r="BDL73" s="412"/>
      <c r="BDM73" s="412"/>
      <c r="BDN73" s="412"/>
      <c r="BDO73" s="412"/>
      <c r="BDP73" s="412"/>
      <c r="BDQ73" s="412"/>
      <c r="BDR73" s="412"/>
      <c r="BDS73" s="412"/>
      <c r="BDT73" s="412"/>
      <c r="BDU73" s="412"/>
      <c r="BDV73" s="412"/>
      <c r="BDW73" s="412"/>
      <c r="BDX73" s="412"/>
      <c r="BDY73" s="412"/>
      <c r="BDZ73" s="412"/>
      <c r="BEA73" s="412"/>
      <c r="BEB73" s="412"/>
      <c r="BEC73" s="412"/>
      <c r="BED73" s="412"/>
      <c r="BEE73" s="412"/>
      <c r="BEF73" s="412"/>
      <c r="BEG73" s="412"/>
      <c r="BEH73" s="412"/>
      <c r="BEI73" s="412"/>
      <c r="BEJ73" s="412"/>
      <c r="BEK73" s="412"/>
      <c r="BEL73" s="412"/>
      <c r="BEM73" s="412"/>
      <c r="BEN73" s="412"/>
      <c r="BEO73" s="412"/>
      <c r="BEP73" s="412"/>
      <c r="BEQ73" s="412"/>
      <c r="BER73" s="412"/>
      <c r="BES73" s="412"/>
      <c r="BET73" s="412"/>
      <c r="BEU73" s="412"/>
      <c r="BEV73" s="412"/>
      <c r="BEW73" s="412"/>
      <c r="BEX73" s="412"/>
      <c r="BEY73" s="412"/>
      <c r="BEZ73" s="412"/>
      <c r="BFA73" s="412"/>
      <c r="BFB73" s="412"/>
      <c r="BFC73" s="412"/>
      <c r="BFD73" s="412"/>
      <c r="BFE73" s="412"/>
      <c r="BFF73" s="412"/>
      <c r="BFG73" s="412"/>
      <c r="BFH73" s="412"/>
      <c r="BFI73" s="412"/>
      <c r="BFJ73" s="412"/>
      <c r="BFK73" s="412"/>
      <c r="BFL73" s="412"/>
      <c r="BFM73" s="412"/>
      <c r="BFN73" s="412"/>
      <c r="BFO73" s="412"/>
      <c r="BFP73" s="412"/>
      <c r="BFQ73" s="412"/>
      <c r="BFR73" s="412"/>
      <c r="BFS73" s="412"/>
      <c r="BFT73" s="412"/>
      <c r="BFU73" s="412"/>
      <c r="BFV73" s="412"/>
      <c r="BFW73" s="412"/>
      <c r="BFX73" s="412"/>
      <c r="BFY73" s="412"/>
      <c r="BFZ73" s="412"/>
      <c r="BGA73" s="412"/>
      <c r="BGB73" s="412"/>
      <c r="BGC73" s="412"/>
      <c r="BGD73" s="412"/>
      <c r="BGE73" s="412"/>
      <c r="BGF73" s="412"/>
      <c r="BGG73" s="412"/>
      <c r="BGH73" s="412"/>
      <c r="BGI73" s="412"/>
      <c r="BGJ73" s="412"/>
      <c r="BGK73" s="412"/>
      <c r="BGL73" s="412"/>
      <c r="BGM73" s="412"/>
      <c r="BGN73" s="412"/>
      <c r="BGO73" s="412"/>
      <c r="BGP73" s="412"/>
      <c r="BGQ73" s="412"/>
      <c r="BGR73" s="412"/>
      <c r="BGS73" s="412"/>
      <c r="BGT73" s="412"/>
      <c r="BGU73" s="412"/>
      <c r="BGV73" s="412"/>
      <c r="BGW73" s="412"/>
      <c r="BGX73" s="412"/>
      <c r="BGY73" s="412"/>
      <c r="BGZ73" s="412"/>
      <c r="BHA73" s="412"/>
      <c r="BHB73" s="412"/>
      <c r="BHC73" s="412"/>
      <c r="BHD73" s="412"/>
      <c r="BHE73" s="412"/>
      <c r="BHF73" s="412"/>
      <c r="BHG73" s="412"/>
      <c r="BHH73" s="412"/>
      <c r="BHI73" s="412"/>
      <c r="BHJ73" s="412"/>
      <c r="BHK73" s="412"/>
      <c r="BHL73" s="412"/>
      <c r="BHM73" s="412"/>
      <c r="BHN73" s="412"/>
      <c r="BHO73" s="412"/>
      <c r="BHP73" s="412"/>
      <c r="BHQ73" s="412"/>
      <c r="BHR73" s="412"/>
      <c r="BHS73" s="412"/>
      <c r="BHT73" s="412"/>
      <c r="BHU73" s="412"/>
      <c r="BHV73" s="412"/>
      <c r="BHW73" s="412"/>
      <c r="BHX73" s="412"/>
      <c r="BHY73" s="412"/>
      <c r="BHZ73" s="412"/>
      <c r="BIA73" s="412"/>
      <c r="BIB73" s="412"/>
      <c r="BIC73" s="412"/>
      <c r="BID73" s="412"/>
      <c r="BIE73" s="412"/>
      <c r="BIF73" s="412"/>
      <c r="BIG73" s="412"/>
      <c r="BIH73" s="412"/>
      <c r="BII73" s="412"/>
      <c r="BIJ73" s="412"/>
      <c r="BIK73" s="412"/>
      <c r="BIL73" s="412"/>
      <c r="BIM73" s="412"/>
      <c r="BIN73" s="412"/>
      <c r="BIO73" s="412"/>
      <c r="BIP73" s="412"/>
      <c r="BIQ73" s="412"/>
      <c r="BIR73" s="412"/>
      <c r="BIS73" s="412"/>
      <c r="BIT73" s="412"/>
      <c r="BIU73" s="412"/>
      <c r="BIV73" s="412"/>
      <c r="BIW73" s="412"/>
      <c r="BIX73" s="412"/>
      <c r="BIY73" s="412"/>
      <c r="BIZ73" s="412"/>
      <c r="BJA73" s="412"/>
      <c r="BJB73" s="412"/>
      <c r="BJC73" s="412"/>
      <c r="BJD73" s="412"/>
      <c r="BJE73" s="412"/>
      <c r="BJF73" s="412"/>
      <c r="BJG73" s="412"/>
      <c r="BJH73" s="412"/>
      <c r="BJI73" s="412"/>
      <c r="BJJ73" s="412"/>
      <c r="BJK73" s="412"/>
      <c r="BJL73" s="412"/>
      <c r="BJM73" s="412"/>
      <c r="BJN73" s="412"/>
      <c r="BJO73" s="412"/>
      <c r="BJP73" s="412"/>
      <c r="BJQ73" s="412"/>
      <c r="BJR73" s="412"/>
      <c r="BJS73" s="412"/>
      <c r="BJT73" s="412"/>
      <c r="BJU73" s="412"/>
      <c r="BJV73" s="412"/>
      <c r="BJW73" s="412"/>
      <c r="BJX73" s="412"/>
      <c r="BJY73" s="412"/>
      <c r="BJZ73" s="412"/>
      <c r="BKA73" s="412"/>
      <c r="BKB73" s="412"/>
      <c r="BKC73" s="412"/>
      <c r="BKD73" s="412"/>
      <c r="BKE73" s="412"/>
      <c r="BKF73" s="412"/>
      <c r="BKG73" s="412"/>
      <c r="BKH73" s="412"/>
      <c r="BKI73" s="412"/>
      <c r="BKJ73" s="412"/>
      <c r="BKK73" s="412"/>
      <c r="BKL73" s="412"/>
      <c r="BKM73" s="412"/>
      <c r="BKN73" s="412"/>
      <c r="BKO73" s="412"/>
      <c r="BKP73" s="412"/>
      <c r="BKQ73" s="412"/>
      <c r="BKR73" s="412"/>
      <c r="BKS73" s="412"/>
      <c r="BKT73" s="412"/>
      <c r="BKU73" s="412"/>
      <c r="BKV73" s="412"/>
      <c r="BKW73" s="412"/>
      <c r="BKX73" s="412"/>
      <c r="BKY73" s="412"/>
      <c r="BKZ73" s="412"/>
      <c r="BLA73" s="412"/>
      <c r="BLB73" s="412"/>
      <c r="BLC73" s="412"/>
      <c r="BLD73" s="412"/>
      <c r="BLE73" s="412"/>
      <c r="BLF73" s="412"/>
      <c r="BLG73" s="412"/>
      <c r="BLH73" s="412"/>
      <c r="BLI73" s="412"/>
      <c r="BLJ73" s="412"/>
      <c r="BLK73" s="412"/>
      <c r="BLL73" s="412"/>
      <c r="BLM73" s="412"/>
      <c r="BLN73" s="412"/>
      <c r="BLO73" s="412"/>
      <c r="BLP73" s="412"/>
      <c r="BLQ73" s="412"/>
      <c r="BLR73" s="412"/>
      <c r="BLS73" s="412"/>
      <c r="BLT73" s="412"/>
      <c r="BLU73" s="412"/>
      <c r="BLV73" s="412"/>
      <c r="BLW73" s="412"/>
      <c r="BLX73" s="412"/>
      <c r="BLY73" s="412"/>
      <c r="BLZ73" s="412"/>
      <c r="BMA73" s="412"/>
      <c r="BMB73" s="412"/>
      <c r="BMC73" s="412"/>
      <c r="BMD73" s="412"/>
      <c r="BME73" s="412"/>
      <c r="BMF73" s="412"/>
      <c r="BMG73" s="412"/>
      <c r="BMH73" s="412"/>
      <c r="BMI73" s="412"/>
      <c r="BMJ73" s="412"/>
      <c r="BMK73" s="412"/>
      <c r="BML73" s="412"/>
      <c r="BMM73" s="412"/>
      <c r="BMN73" s="412"/>
      <c r="BMO73" s="412"/>
      <c r="BMP73" s="412"/>
      <c r="BMQ73" s="412"/>
      <c r="BMR73" s="412"/>
      <c r="BMS73" s="412"/>
      <c r="BMT73" s="412"/>
      <c r="BMU73" s="412"/>
      <c r="BMV73" s="412"/>
      <c r="BMW73" s="412"/>
      <c r="BMX73" s="412"/>
      <c r="BMY73" s="412"/>
      <c r="BMZ73" s="412"/>
      <c r="BNA73" s="412"/>
      <c r="BNB73" s="412"/>
      <c r="BNC73" s="412"/>
      <c r="BND73" s="412"/>
      <c r="BNE73" s="412"/>
      <c r="BNF73" s="412"/>
      <c r="BNG73" s="412"/>
      <c r="BNH73" s="412"/>
      <c r="BNI73" s="412"/>
      <c r="BNJ73" s="412"/>
      <c r="BNK73" s="412"/>
      <c r="BNL73" s="412"/>
      <c r="BNM73" s="412"/>
      <c r="BNN73" s="412"/>
      <c r="BNO73" s="412"/>
      <c r="BNP73" s="412"/>
      <c r="BNQ73" s="412"/>
      <c r="BNR73" s="412"/>
      <c r="BNS73" s="412"/>
      <c r="BNT73" s="412"/>
      <c r="BNU73" s="412"/>
      <c r="BNV73" s="412"/>
      <c r="BNW73" s="412"/>
      <c r="BNX73" s="412"/>
      <c r="BNY73" s="412"/>
      <c r="BNZ73" s="412"/>
      <c r="BOA73" s="412"/>
      <c r="BOB73" s="412"/>
      <c r="BOC73" s="412"/>
      <c r="BOD73" s="412"/>
      <c r="BOE73" s="412"/>
      <c r="BOF73" s="412"/>
      <c r="BOG73" s="412"/>
      <c r="BOH73" s="412"/>
      <c r="BOI73" s="412"/>
      <c r="BOJ73" s="412"/>
      <c r="BOK73" s="412"/>
      <c r="BOL73" s="412"/>
      <c r="BOM73" s="412"/>
      <c r="BON73" s="412"/>
      <c r="BOO73" s="412"/>
      <c r="BOP73" s="412"/>
      <c r="BOQ73" s="412"/>
      <c r="BOR73" s="412"/>
      <c r="BOS73" s="412"/>
      <c r="BOT73" s="412"/>
      <c r="BOU73" s="412"/>
      <c r="BOV73" s="412"/>
      <c r="BOW73" s="412"/>
      <c r="BOX73" s="412"/>
      <c r="BOY73" s="412"/>
      <c r="BOZ73" s="412"/>
      <c r="BPA73" s="412"/>
      <c r="BPB73" s="412"/>
      <c r="BPC73" s="412"/>
      <c r="BPD73" s="412"/>
      <c r="BPE73" s="412"/>
      <c r="BPF73" s="412"/>
      <c r="BPG73" s="412"/>
      <c r="BPH73" s="412"/>
      <c r="BPI73" s="412"/>
      <c r="BPJ73" s="412"/>
      <c r="BPK73" s="412"/>
      <c r="BPL73" s="412"/>
      <c r="BPM73" s="412"/>
      <c r="BPN73" s="412"/>
      <c r="BPO73" s="412"/>
      <c r="BPP73" s="412"/>
      <c r="BPQ73" s="412"/>
      <c r="BPR73" s="412"/>
      <c r="BPS73" s="412"/>
      <c r="BPT73" s="412"/>
      <c r="BPU73" s="412"/>
      <c r="BPV73" s="412"/>
      <c r="BPW73" s="412"/>
      <c r="BPX73" s="412"/>
      <c r="BPY73" s="412"/>
      <c r="BPZ73" s="412"/>
      <c r="BQA73" s="412"/>
      <c r="BQB73" s="412"/>
      <c r="BQC73" s="412"/>
      <c r="BQD73" s="412"/>
      <c r="BQE73" s="412"/>
      <c r="BQF73" s="412"/>
      <c r="BQG73" s="412"/>
      <c r="BQH73" s="412"/>
      <c r="BQI73" s="412"/>
      <c r="BQJ73" s="412"/>
      <c r="BQK73" s="412"/>
      <c r="BQL73" s="412"/>
      <c r="BQM73" s="412"/>
      <c r="BQN73" s="412"/>
      <c r="BQO73" s="412"/>
      <c r="BQP73" s="412"/>
      <c r="BQQ73" s="412"/>
      <c r="BQR73" s="412"/>
      <c r="BQS73" s="412"/>
      <c r="BQT73" s="412"/>
      <c r="BQU73" s="412"/>
      <c r="BQV73" s="412"/>
      <c r="BQW73" s="412"/>
      <c r="BQX73" s="412"/>
      <c r="BQY73" s="412"/>
      <c r="BQZ73" s="412"/>
      <c r="BRA73" s="412"/>
      <c r="BRB73" s="412"/>
      <c r="BRC73" s="412"/>
      <c r="BRD73" s="412"/>
      <c r="BRE73" s="412"/>
      <c r="BRF73" s="412"/>
      <c r="BRG73" s="412"/>
      <c r="BRH73" s="412"/>
      <c r="BRI73" s="412"/>
      <c r="BRJ73" s="412"/>
      <c r="BRK73" s="412"/>
      <c r="BRL73" s="412"/>
      <c r="BRM73" s="412"/>
      <c r="BRN73" s="412"/>
      <c r="BRO73" s="412"/>
      <c r="BRP73" s="412"/>
      <c r="BRQ73" s="412"/>
      <c r="BRR73" s="412"/>
      <c r="BRS73" s="412"/>
      <c r="BRT73" s="412"/>
      <c r="BRU73" s="412"/>
      <c r="BRV73" s="412"/>
      <c r="BRW73" s="412"/>
      <c r="BRX73" s="412"/>
      <c r="BRY73" s="412"/>
      <c r="BRZ73" s="412"/>
      <c r="BSA73" s="412"/>
      <c r="BSB73" s="412"/>
      <c r="BSC73" s="412"/>
      <c r="BSD73" s="412"/>
      <c r="BSE73" s="412"/>
      <c r="BSF73" s="412"/>
      <c r="BSG73" s="412"/>
      <c r="BSH73" s="412"/>
      <c r="BSI73" s="412"/>
      <c r="BSJ73" s="412"/>
      <c r="BSK73" s="412"/>
      <c r="BSL73" s="412"/>
      <c r="BSM73" s="412"/>
      <c r="BSN73" s="412"/>
      <c r="BSO73" s="412"/>
      <c r="BSP73" s="412"/>
      <c r="BSQ73" s="412"/>
      <c r="BSR73" s="412"/>
      <c r="BSS73" s="412"/>
      <c r="BST73" s="412"/>
      <c r="BSU73" s="412"/>
      <c r="BSV73" s="412"/>
      <c r="BSW73" s="412"/>
      <c r="BSX73" s="412"/>
      <c r="BSY73" s="412"/>
      <c r="BSZ73" s="412"/>
      <c r="BTA73" s="412"/>
      <c r="BTB73" s="412"/>
      <c r="BTC73" s="412"/>
      <c r="BTD73" s="412"/>
      <c r="BTE73" s="412"/>
      <c r="BTF73" s="412"/>
      <c r="BTG73" s="412"/>
      <c r="BTH73" s="412"/>
      <c r="BTI73" s="412"/>
    </row>
    <row r="74" spans="1:1881" ht="25.5" customHeight="1" thickBot="1" x14ac:dyDescent="0.35">
      <c r="A74" s="190"/>
      <c r="B74" s="137" t="s">
        <v>13</v>
      </c>
      <c r="C74" s="140"/>
      <c r="D74" s="138"/>
      <c r="E74" s="138"/>
      <c r="F74" s="750"/>
      <c r="G74" s="574"/>
      <c r="H74" s="13"/>
      <c r="I74" s="31"/>
      <c r="L74" s="865" t="s">
        <v>1171</v>
      </c>
      <c r="M74" s="633"/>
      <c r="N74" s="656"/>
    </row>
    <row r="75" spans="1:1881" s="22" customFormat="1" ht="78" customHeight="1" thickBot="1" x14ac:dyDescent="0.3">
      <c r="A75" s="189">
        <v>171</v>
      </c>
      <c r="B75" s="64" t="s">
        <v>627</v>
      </c>
      <c r="C75" s="64" t="s">
        <v>626</v>
      </c>
      <c r="D75" s="139" t="s">
        <v>604</v>
      </c>
      <c r="E75" s="32" t="e">
        <f>HLOOKUP($D$2,'2019 Data(H)'!$C$1:$CG$300,71,FALSE)</f>
        <v>#N/A</v>
      </c>
      <c r="F75" s="519"/>
      <c r="G75" s="413">
        <f>IF(F75&lt;0,"Error: Enter as positive.",)</f>
        <v>0</v>
      </c>
      <c r="H75" s="62"/>
      <c r="I75" s="302"/>
      <c r="J75" s="368"/>
      <c r="K75" s="412"/>
      <c r="L75" s="865" t="s">
        <v>1172</v>
      </c>
      <c r="M75" s="63"/>
      <c r="N75" s="656"/>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c r="IF75" s="63"/>
      <c r="IG75" s="63"/>
      <c r="IH75" s="63"/>
      <c r="II75" s="63"/>
      <c r="IJ75" s="63"/>
      <c r="IK75" s="63"/>
      <c r="IL75" s="63"/>
      <c r="IM75" s="63"/>
      <c r="IN75" s="63"/>
      <c r="IO75" s="63"/>
      <c r="IP75" s="63"/>
      <c r="IQ75" s="63"/>
      <c r="IR75" s="63"/>
      <c r="IS75" s="63"/>
      <c r="IT75" s="63"/>
      <c r="IU75" s="63"/>
      <c r="IV75" s="63"/>
      <c r="IW75" s="63"/>
      <c r="IX75" s="63"/>
      <c r="IY75" s="63"/>
      <c r="IZ75" s="63"/>
      <c r="JA75" s="63"/>
      <c r="JB75" s="63"/>
      <c r="JC75" s="63"/>
      <c r="JD75" s="63"/>
      <c r="JE75" s="63"/>
      <c r="JF75" s="63"/>
      <c r="JG75" s="63"/>
      <c r="JH75" s="63"/>
      <c r="JI75" s="63"/>
      <c r="JJ75" s="63"/>
      <c r="JK75" s="63"/>
      <c r="JL75" s="63"/>
      <c r="JM75" s="63"/>
      <c r="JN75" s="63"/>
      <c r="JO75" s="63"/>
      <c r="JP75" s="63"/>
      <c r="JQ75" s="63"/>
      <c r="JR75" s="63"/>
      <c r="JS75" s="63"/>
      <c r="JT75" s="63"/>
      <c r="JU75" s="63"/>
      <c r="JV75" s="63"/>
      <c r="JW75" s="63"/>
      <c r="JX75" s="63"/>
      <c r="JY75" s="63"/>
      <c r="JZ75" s="63"/>
      <c r="KA75" s="63"/>
      <c r="KB75" s="63"/>
      <c r="KC75" s="63"/>
      <c r="KD75" s="63"/>
      <c r="KE75" s="63"/>
      <c r="KF75" s="63"/>
      <c r="KG75" s="63"/>
      <c r="KH75" s="63"/>
      <c r="KI75" s="63"/>
      <c r="KJ75" s="63"/>
      <c r="KK75" s="63"/>
      <c r="KL75" s="63"/>
      <c r="KM75" s="63"/>
      <c r="KN75" s="63"/>
      <c r="KO75" s="63"/>
      <c r="KP75" s="63"/>
      <c r="KQ75" s="63"/>
      <c r="KR75" s="63"/>
      <c r="KS75" s="63"/>
      <c r="KT75" s="63"/>
      <c r="KU75" s="63"/>
      <c r="KV75" s="63"/>
      <c r="KW75" s="63"/>
      <c r="KX75" s="63"/>
      <c r="KY75" s="63"/>
      <c r="KZ75" s="63"/>
      <c r="LA75" s="63"/>
      <c r="LB75" s="63"/>
      <c r="LC75" s="63"/>
      <c r="LD75" s="63"/>
      <c r="LE75" s="63"/>
      <c r="LF75" s="63"/>
      <c r="LG75" s="63"/>
      <c r="LH75" s="63"/>
      <c r="LI75" s="63"/>
      <c r="LJ75" s="63"/>
      <c r="LK75" s="63"/>
      <c r="LL75" s="63"/>
      <c r="LM75" s="63"/>
      <c r="LN75" s="63"/>
      <c r="LO75" s="63"/>
      <c r="LP75" s="63"/>
      <c r="LQ75" s="63"/>
      <c r="LR75" s="63"/>
      <c r="LS75" s="63"/>
      <c r="LT75" s="63"/>
      <c r="LU75" s="63"/>
      <c r="LV75" s="63"/>
      <c r="LW75" s="63"/>
      <c r="LX75" s="63"/>
      <c r="LY75" s="63"/>
      <c r="LZ75" s="63"/>
      <c r="MA75" s="63"/>
      <c r="MB75" s="63"/>
      <c r="MC75" s="63"/>
      <c r="MD75" s="63"/>
      <c r="ME75" s="63"/>
      <c r="MF75" s="63"/>
      <c r="MG75" s="63"/>
      <c r="MH75" s="63"/>
      <c r="MI75" s="63"/>
      <c r="MJ75" s="63"/>
      <c r="MK75" s="63"/>
      <c r="ML75" s="63"/>
      <c r="MM75" s="63"/>
      <c r="MN75" s="63"/>
      <c r="MO75" s="63"/>
      <c r="MP75" s="63"/>
      <c r="MQ75" s="63"/>
      <c r="MR75" s="63"/>
      <c r="MS75" s="63"/>
      <c r="MT75" s="63"/>
      <c r="MU75" s="63"/>
      <c r="MV75" s="63"/>
      <c r="MW75" s="63"/>
      <c r="MX75" s="63"/>
      <c r="MY75" s="63"/>
      <c r="MZ75" s="63"/>
      <c r="NA75" s="63"/>
      <c r="NB75" s="63"/>
      <c r="NC75" s="63"/>
      <c r="ND75" s="63"/>
      <c r="NE75" s="63"/>
      <c r="NF75" s="63"/>
      <c r="NG75" s="63"/>
      <c r="NH75" s="63"/>
      <c r="NI75" s="63"/>
      <c r="NJ75" s="63"/>
      <c r="NK75" s="63"/>
      <c r="NL75" s="63"/>
      <c r="NM75" s="63"/>
      <c r="NN75" s="63"/>
      <c r="NO75" s="63"/>
      <c r="NP75" s="63"/>
      <c r="NQ75" s="63"/>
      <c r="NR75" s="63"/>
      <c r="NS75" s="63"/>
      <c r="NT75" s="63"/>
      <c r="NU75" s="63"/>
      <c r="NV75" s="63"/>
      <c r="NW75" s="63"/>
      <c r="NX75" s="63"/>
      <c r="NY75" s="63"/>
      <c r="NZ75" s="63"/>
      <c r="OA75" s="63"/>
      <c r="OB75" s="63"/>
      <c r="OC75" s="63"/>
      <c r="OD75" s="63"/>
      <c r="OE75" s="63"/>
      <c r="OF75" s="63"/>
      <c r="OG75" s="63"/>
      <c r="OH75" s="63"/>
      <c r="OI75" s="63"/>
      <c r="OJ75" s="63"/>
      <c r="OK75" s="63"/>
      <c r="OL75" s="63"/>
      <c r="OM75" s="63"/>
      <c r="ON75" s="63"/>
      <c r="OO75" s="63"/>
      <c r="OP75" s="63"/>
      <c r="OQ75" s="63"/>
      <c r="OR75" s="63"/>
      <c r="OS75" s="63"/>
      <c r="OT75" s="63"/>
      <c r="OU75" s="63"/>
      <c r="OV75" s="63"/>
      <c r="OW75" s="63"/>
      <c r="OX75" s="63"/>
      <c r="OY75" s="63"/>
      <c r="OZ75" s="63"/>
      <c r="PA75" s="63"/>
      <c r="PB75" s="63"/>
      <c r="PC75" s="63"/>
      <c r="PD75" s="63"/>
      <c r="PE75" s="63"/>
      <c r="PF75" s="63"/>
      <c r="PG75" s="63"/>
      <c r="PH75" s="63"/>
      <c r="PI75" s="63"/>
      <c r="PJ75" s="63"/>
      <c r="PK75" s="63"/>
      <c r="PL75" s="63"/>
      <c r="PM75" s="63"/>
      <c r="PN75" s="63"/>
      <c r="PO75" s="63"/>
      <c r="PP75" s="63"/>
      <c r="PQ75" s="63"/>
      <c r="PR75" s="63"/>
      <c r="PS75" s="63"/>
      <c r="PT75" s="63"/>
      <c r="PU75" s="63"/>
      <c r="PV75" s="63"/>
      <c r="PW75" s="63"/>
      <c r="PX75" s="63"/>
      <c r="PY75" s="63"/>
      <c r="PZ75" s="63"/>
      <c r="QA75" s="63"/>
      <c r="QB75" s="63"/>
      <c r="QC75" s="63"/>
      <c r="QD75" s="63"/>
      <c r="QE75" s="63"/>
      <c r="QF75" s="63"/>
      <c r="QG75" s="63"/>
      <c r="QH75" s="63"/>
      <c r="QI75" s="63"/>
      <c r="QJ75" s="63"/>
      <c r="QK75" s="63"/>
      <c r="QL75" s="63"/>
      <c r="QM75" s="63"/>
      <c r="QN75" s="63"/>
      <c r="QO75" s="63"/>
      <c r="QP75" s="63"/>
      <c r="QQ75" s="63"/>
      <c r="QR75" s="63"/>
      <c r="QS75" s="63"/>
      <c r="QT75" s="63"/>
      <c r="QU75" s="63"/>
      <c r="QV75" s="63"/>
      <c r="QW75" s="63"/>
      <c r="QX75" s="63"/>
      <c r="QY75" s="63"/>
      <c r="QZ75" s="63"/>
      <c r="RA75" s="63"/>
      <c r="RB75" s="63"/>
      <c r="RC75" s="63"/>
      <c r="RD75" s="63"/>
      <c r="RE75" s="63"/>
      <c r="RF75" s="63"/>
      <c r="RG75" s="63"/>
      <c r="RH75" s="63"/>
      <c r="RI75" s="63"/>
      <c r="RJ75" s="63"/>
      <c r="RK75" s="63"/>
      <c r="RL75" s="63"/>
      <c r="RM75" s="63"/>
      <c r="RN75" s="63"/>
      <c r="RO75" s="63"/>
      <c r="RP75" s="63"/>
      <c r="RQ75" s="63"/>
      <c r="RR75" s="63"/>
      <c r="RS75" s="63"/>
      <c r="RT75" s="63"/>
      <c r="RU75" s="63"/>
      <c r="RV75" s="63"/>
      <c r="RW75" s="63"/>
      <c r="RX75" s="63"/>
      <c r="RY75" s="63"/>
      <c r="RZ75" s="63"/>
      <c r="SA75" s="63"/>
      <c r="SB75" s="63"/>
      <c r="SC75" s="63"/>
      <c r="SD75" s="63"/>
      <c r="SE75" s="63"/>
      <c r="SF75" s="63"/>
      <c r="SG75" s="63"/>
      <c r="SH75" s="63"/>
      <c r="SI75" s="63"/>
      <c r="SJ75" s="63"/>
      <c r="SK75" s="63"/>
      <c r="SL75" s="63"/>
      <c r="SM75" s="63"/>
      <c r="SN75" s="63"/>
      <c r="SO75" s="63"/>
      <c r="SP75" s="63"/>
      <c r="SQ75" s="63"/>
      <c r="SR75" s="63"/>
      <c r="SS75" s="63"/>
      <c r="ST75" s="63"/>
      <c r="SU75" s="63"/>
      <c r="SV75" s="63"/>
      <c r="SW75" s="63"/>
      <c r="SX75" s="63"/>
      <c r="SY75" s="63"/>
      <c r="SZ75" s="63"/>
      <c r="TA75" s="63"/>
      <c r="TB75" s="63"/>
      <c r="TC75" s="63"/>
      <c r="TD75" s="63"/>
      <c r="TE75" s="63"/>
      <c r="TF75" s="63"/>
      <c r="TG75" s="63"/>
      <c r="TH75" s="63"/>
      <c r="TI75" s="63"/>
      <c r="TJ75" s="63"/>
      <c r="TK75" s="63"/>
      <c r="TL75" s="63"/>
      <c r="TM75" s="63"/>
      <c r="TN75" s="63"/>
      <c r="TO75" s="63"/>
      <c r="TP75" s="63"/>
      <c r="TQ75" s="63"/>
      <c r="TR75" s="63"/>
      <c r="TS75" s="63"/>
      <c r="TT75" s="63"/>
      <c r="TU75" s="63"/>
      <c r="TV75" s="63"/>
      <c r="TW75" s="63"/>
      <c r="TX75" s="63"/>
      <c r="TY75" s="63"/>
      <c r="TZ75" s="63"/>
      <c r="UA75" s="63"/>
      <c r="UB75" s="63"/>
      <c r="UC75" s="63"/>
      <c r="UD75" s="63"/>
      <c r="UE75" s="63"/>
      <c r="UF75" s="63"/>
      <c r="UG75" s="63"/>
      <c r="UH75" s="63"/>
      <c r="UI75" s="63"/>
      <c r="UJ75" s="63"/>
      <c r="UK75" s="63"/>
      <c r="UL75" s="63"/>
      <c r="UM75" s="63"/>
      <c r="UN75" s="63"/>
      <c r="UO75" s="63"/>
      <c r="UP75" s="63"/>
      <c r="UQ75" s="63"/>
      <c r="UR75" s="63"/>
      <c r="US75" s="63"/>
      <c r="UT75" s="63"/>
      <c r="UU75" s="63"/>
      <c r="UV75" s="63"/>
      <c r="UW75" s="63"/>
      <c r="UX75" s="63"/>
      <c r="UY75" s="63"/>
      <c r="UZ75" s="63"/>
      <c r="VA75" s="63"/>
      <c r="VB75" s="63"/>
      <c r="VC75" s="63"/>
      <c r="VD75" s="63"/>
      <c r="VE75" s="63"/>
      <c r="VF75" s="63"/>
      <c r="VG75" s="63"/>
      <c r="VH75" s="63"/>
      <c r="VI75" s="63"/>
      <c r="VJ75" s="63"/>
      <c r="VK75" s="63"/>
      <c r="VL75" s="63"/>
      <c r="VM75" s="63"/>
      <c r="VN75" s="63"/>
      <c r="VO75" s="63"/>
      <c r="VP75" s="63"/>
      <c r="VQ75" s="63"/>
      <c r="VR75" s="63"/>
      <c r="VS75" s="63"/>
      <c r="VT75" s="63"/>
      <c r="VU75" s="63"/>
      <c r="VV75" s="63"/>
      <c r="VW75" s="63"/>
      <c r="VX75" s="63"/>
      <c r="VY75" s="63"/>
      <c r="VZ75" s="63"/>
      <c r="WA75" s="63"/>
      <c r="WB75" s="63"/>
      <c r="WC75" s="63"/>
      <c r="WD75" s="63"/>
      <c r="WE75" s="63"/>
      <c r="WF75" s="63"/>
      <c r="WG75" s="63"/>
      <c r="WH75" s="63"/>
      <c r="WI75" s="63"/>
      <c r="WJ75" s="63"/>
      <c r="WK75" s="63"/>
      <c r="WL75" s="63"/>
      <c r="WM75" s="63"/>
      <c r="WN75" s="63"/>
      <c r="WO75" s="63"/>
      <c r="WP75" s="63"/>
      <c r="WQ75" s="63"/>
      <c r="WR75" s="63"/>
      <c r="WS75" s="63"/>
      <c r="WT75" s="63"/>
      <c r="WU75" s="63"/>
      <c r="WV75" s="63"/>
      <c r="WW75" s="63"/>
      <c r="WX75" s="63"/>
      <c r="WY75" s="63"/>
      <c r="WZ75" s="63"/>
      <c r="XA75" s="63"/>
      <c r="XB75" s="63"/>
      <c r="XC75" s="63"/>
      <c r="XD75" s="63"/>
      <c r="XE75" s="63"/>
      <c r="XF75" s="63"/>
      <c r="XG75" s="63"/>
      <c r="XH75" s="63"/>
      <c r="XI75" s="63"/>
      <c r="XJ75" s="63"/>
      <c r="XK75" s="63"/>
      <c r="XL75" s="63"/>
      <c r="XM75" s="63"/>
      <c r="XN75" s="63"/>
      <c r="XO75" s="63"/>
      <c r="XP75" s="63"/>
      <c r="XQ75" s="63"/>
      <c r="XR75" s="63"/>
      <c r="XS75" s="63"/>
      <c r="XT75" s="63"/>
      <c r="XU75" s="63"/>
      <c r="XV75" s="63"/>
      <c r="XW75" s="63"/>
      <c r="XX75" s="63"/>
      <c r="XY75" s="63"/>
      <c r="XZ75" s="63"/>
      <c r="YA75" s="63"/>
      <c r="YB75" s="63"/>
      <c r="YC75" s="63"/>
      <c r="YD75" s="63"/>
      <c r="YE75" s="63"/>
      <c r="YF75" s="63"/>
      <c r="YG75" s="63"/>
      <c r="YH75" s="63"/>
      <c r="YI75" s="63"/>
      <c r="YJ75" s="63"/>
      <c r="YK75" s="63"/>
      <c r="YL75" s="63"/>
      <c r="YM75" s="63"/>
      <c r="YN75" s="63"/>
      <c r="YO75" s="63"/>
      <c r="YP75" s="63"/>
      <c r="YQ75" s="63"/>
      <c r="YR75" s="63"/>
      <c r="YS75" s="63"/>
      <c r="YT75" s="63"/>
      <c r="YU75" s="63"/>
      <c r="YV75" s="63"/>
      <c r="YW75" s="63"/>
      <c r="YX75" s="63"/>
      <c r="YY75" s="63"/>
      <c r="YZ75" s="63"/>
      <c r="ZA75" s="63"/>
      <c r="ZB75" s="63"/>
      <c r="ZC75" s="63"/>
      <c r="ZD75" s="63"/>
      <c r="ZE75" s="63"/>
      <c r="ZF75" s="63"/>
      <c r="ZG75" s="63"/>
      <c r="ZH75" s="63"/>
      <c r="ZI75" s="63"/>
      <c r="ZJ75" s="63"/>
      <c r="ZK75" s="63"/>
      <c r="ZL75" s="63"/>
      <c r="ZM75" s="63"/>
      <c r="ZN75" s="63"/>
      <c r="ZO75" s="63"/>
      <c r="ZP75" s="63"/>
      <c r="ZQ75" s="63"/>
      <c r="ZR75" s="63"/>
      <c r="ZS75" s="63"/>
      <c r="ZT75" s="63"/>
      <c r="ZU75" s="63"/>
      <c r="ZV75" s="63"/>
      <c r="ZW75" s="63"/>
      <c r="ZX75" s="63"/>
      <c r="ZY75" s="63"/>
      <c r="ZZ75" s="63"/>
      <c r="AAA75" s="63"/>
      <c r="AAB75" s="63"/>
      <c r="AAC75" s="63"/>
      <c r="AAD75" s="63"/>
      <c r="AAE75" s="63"/>
      <c r="AAF75" s="63"/>
      <c r="AAG75" s="63"/>
      <c r="AAH75" s="63"/>
      <c r="AAI75" s="63"/>
      <c r="AAJ75" s="63"/>
      <c r="AAK75" s="63"/>
      <c r="AAL75" s="63"/>
      <c r="AAM75" s="63"/>
      <c r="AAN75" s="63"/>
      <c r="AAO75" s="63"/>
      <c r="AAP75" s="63"/>
      <c r="AAQ75" s="63"/>
      <c r="AAR75" s="63"/>
      <c r="AAS75" s="63"/>
      <c r="AAT75" s="63"/>
      <c r="AAU75" s="63"/>
      <c r="AAV75" s="63"/>
      <c r="AAW75" s="63"/>
      <c r="AAX75" s="63"/>
      <c r="AAY75" s="63"/>
      <c r="AAZ75" s="63"/>
      <c r="ABA75" s="63"/>
      <c r="ABB75" s="63"/>
      <c r="ABC75" s="63"/>
      <c r="ABD75" s="63"/>
      <c r="ABE75" s="63"/>
      <c r="ABF75" s="63"/>
      <c r="ABG75" s="63"/>
      <c r="ABH75" s="63"/>
      <c r="ABI75" s="63"/>
      <c r="ABJ75" s="63"/>
      <c r="ABK75" s="63"/>
      <c r="ABL75" s="63"/>
      <c r="ABM75" s="63"/>
      <c r="ABN75" s="63"/>
      <c r="ABO75" s="63"/>
      <c r="ABP75" s="63"/>
      <c r="ABQ75" s="63"/>
      <c r="ABR75" s="63"/>
      <c r="ABS75" s="63"/>
      <c r="ABT75" s="63"/>
      <c r="ABU75" s="63"/>
      <c r="ABV75" s="63"/>
      <c r="ABW75" s="63"/>
      <c r="ABX75" s="63"/>
      <c r="ABY75" s="63"/>
      <c r="ABZ75" s="63"/>
      <c r="ACA75" s="63"/>
      <c r="ACB75" s="63"/>
      <c r="ACC75" s="63"/>
      <c r="ACD75" s="63"/>
      <c r="ACE75" s="63"/>
      <c r="ACF75" s="63"/>
      <c r="ACG75" s="63"/>
      <c r="ACH75" s="63"/>
      <c r="ACI75" s="63"/>
      <c r="ACJ75" s="63"/>
      <c r="ACK75" s="63"/>
      <c r="ACL75" s="63"/>
      <c r="ACM75" s="63"/>
      <c r="ACN75" s="63"/>
      <c r="ACO75" s="63"/>
      <c r="ACP75" s="63"/>
      <c r="ACQ75" s="63"/>
      <c r="ACR75" s="63"/>
      <c r="ACS75" s="63"/>
      <c r="ACT75" s="63"/>
      <c r="ACU75" s="63"/>
      <c r="ACV75" s="63"/>
      <c r="ACW75" s="63"/>
      <c r="ACX75" s="63"/>
      <c r="ACY75" s="63"/>
      <c r="ACZ75" s="63"/>
      <c r="ADA75" s="63"/>
      <c r="ADB75" s="63"/>
      <c r="ADC75" s="63"/>
      <c r="ADD75" s="63"/>
      <c r="ADE75" s="63"/>
      <c r="ADF75" s="63"/>
      <c r="ADG75" s="63"/>
      <c r="ADH75" s="63"/>
      <c r="ADI75" s="63"/>
      <c r="ADJ75" s="63"/>
      <c r="ADK75" s="63"/>
      <c r="ADL75" s="63"/>
      <c r="ADM75" s="63"/>
      <c r="ADN75" s="63"/>
      <c r="ADO75" s="63"/>
      <c r="ADP75" s="63"/>
      <c r="ADQ75" s="63"/>
      <c r="ADR75" s="63"/>
      <c r="ADS75" s="63"/>
      <c r="ADT75" s="63"/>
      <c r="ADU75" s="63"/>
      <c r="ADV75" s="63"/>
      <c r="ADW75" s="63"/>
      <c r="ADX75" s="63"/>
      <c r="ADY75" s="63"/>
      <c r="ADZ75" s="63"/>
      <c r="AEA75" s="63"/>
      <c r="AEB75" s="63"/>
      <c r="AEC75" s="63"/>
      <c r="AED75" s="63"/>
      <c r="AEE75" s="63"/>
      <c r="AEF75" s="63"/>
      <c r="AEG75" s="63"/>
      <c r="AEH75" s="63"/>
      <c r="AEI75" s="63"/>
      <c r="AEJ75" s="63"/>
      <c r="AEK75" s="63"/>
      <c r="AEL75" s="63"/>
      <c r="AEM75" s="63"/>
      <c r="AEN75" s="63"/>
      <c r="AEO75" s="63"/>
      <c r="AEP75" s="63"/>
      <c r="AEQ75" s="63"/>
      <c r="AER75" s="63"/>
      <c r="AES75" s="63"/>
      <c r="AET75" s="63"/>
      <c r="AEU75" s="63"/>
      <c r="AEV75" s="63"/>
      <c r="AEW75" s="63"/>
      <c r="AEX75" s="63"/>
      <c r="AEY75" s="63"/>
      <c r="AEZ75" s="63"/>
      <c r="AFA75" s="63"/>
      <c r="AFB75" s="63"/>
      <c r="AFC75" s="63"/>
      <c r="AFD75" s="63"/>
      <c r="AFE75" s="63"/>
      <c r="AFF75" s="63"/>
      <c r="AFG75" s="63"/>
      <c r="AFH75" s="63"/>
      <c r="AFI75" s="63"/>
      <c r="AFJ75" s="63"/>
      <c r="AFK75" s="63"/>
      <c r="AFL75" s="63"/>
      <c r="AFM75" s="63"/>
      <c r="AFN75" s="63"/>
      <c r="AFO75" s="63"/>
      <c r="AFP75" s="63"/>
      <c r="AFQ75" s="63"/>
      <c r="AFR75" s="63"/>
      <c r="AFS75" s="63"/>
      <c r="AFT75" s="63"/>
      <c r="AFU75" s="63"/>
      <c r="AFV75" s="63"/>
      <c r="AFW75" s="63"/>
      <c r="AFX75" s="63"/>
      <c r="AFY75" s="63"/>
      <c r="AFZ75" s="63"/>
      <c r="AGA75" s="63"/>
      <c r="AGB75" s="63"/>
      <c r="AGC75" s="63"/>
      <c r="AGD75" s="63"/>
      <c r="AGE75" s="63"/>
      <c r="AGF75" s="63"/>
      <c r="AGG75" s="63"/>
      <c r="AGH75" s="63"/>
      <c r="AGI75" s="63"/>
      <c r="AGJ75" s="63"/>
      <c r="AGK75" s="63"/>
      <c r="AGL75" s="63"/>
      <c r="AGM75" s="63"/>
      <c r="AGN75" s="63"/>
      <c r="AGO75" s="63"/>
      <c r="AGP75" s="63"/>
      <c r="AGQ75" s="63"/>
      <c r="AGR75" s="63"/>
      <c r="AGS75" s="63"/>
      <c r="AGT75" s="63"/>
      <c r="AGU75" s="63"/>
      <c r="AGV75" s="63"/>
      <c r="AGW75" s="63"/>
      <c r="AGX75" s="63"/>
      <c r="AGY75" s="63"/>
      <c r="AGZ75" s="63"/>
      <c r="AHA75" s="63"/>
      <c r="AHB75" s="63"/>
      <c r="AHC75" s="63"/>
      <c r="AHD75" s="63"/>
      <c r="AHE75" s="63"/>
      <c r="AHF75" s="63"/>
      <c r="AHG75" s="63"/>
      <c r="AHH75" s="63"/>
      <c r="AHI75" s="63"/>
      <c r="AHJ75" s="63"/>
      <c r="AHK75" s="63"/>
      <c r="AHL75" s="63"/>
      <c r="AHM75" s="63"/>
      <c r="AHN75" s="63"/>
      <c r="AHO75" s="63"/>
      <c r="AHP75" s="63"/>
      <c r="AHQ75" s="63"/>
      <c r="AHR75" s="63"/>
      <c r="AHS75" s="63"/>
      <c r="AHT75" s="63"/>
      <c r="AHU75" s="63"/>
      <c r="AHV75" s="63"/>
      <c r="AHW75" s="63"/>
      <c r="AHX75" s="63"/>
      <c r="AHY75" s="63"/>
      <c r="AHZ75" s="63"/>
      <c r="AIA75" s="63"/>
      <c r="AIB75" s="63"/>
      <c r="AIC75" s="63"/>
      <c r="AID75" s="63"/>
      <c r="AIE75" s="63"/>
      <c r="AIF75" s="63"/>
      <c r="AIG75" s="63"/>
      <c r="AIH75" s="63"/>
      <c r="AII75" s="63"/>
      <c r="AIJ75" s="63"/>
      <c r="AIK75" s="63"/>
      <c r="AIL75" s="63"/>
      <c r="AIM75" s="63"/>
      <c r="AIN75" s="63"/>
      <c r="AIO75" s="63"/>
      <c r="AIP75" s="63"/>
      <c r="AIQ75" s="63"/>
      <c r="AIR75" s="63"/>
      <c r="AIS75" s="63"/>
      <c r="AIT75" s="63"/>
      <c r="AIU75" s="63"/>
      <c r="AIV75" s="63"/>
      <c r="AIW75" s="63"/>
      <c r="AIX75" s="63"/>
      <c r="AIY75" s="63"/>
      <c r="AIZ75" s="63"/>
      <c r="AJA75" s="63"/>
      <c r="AJB75" s="63"/>
      <c r="AJC75" s="63"/>
      <c r="AJD75" s="63"/>
      <c r="AJE75" s="63"/>
      <c r="AJF75" s="63"/>
      <c r="AJG75" s="63"/>
      <c r="AJH75" s="63"/>
      <c r="AJI75" s="63"/>
      <c r="AJJ75" s="63"/>
      <c r="AJK75" s="63"/>
      <c r="AJL75" s="63"/>
      <c r="AJM75" s="63"/>
      <c r="AJN75" s="63"/>
      <c r="AJO75" s="63"/>
      <c r="AJP75" s="63"/>
      <c r="AJQ75" s="63"/>
      <c r="AJR75" s="63"/>
      <c r="AJS75" s="63"/>
      <c r="AJT75" s="63"/>
      <c r="AJU75" s="63"/>
      <c r="AJV75" s="63"/>
      <c r="AJW75" s="63"/>
      <c r="AJX75" s="63"/>
      <c r="AJY75" s="63"/>
      <c r="AJZ75" s="63"/>
      <c r="AKA75" s="63"/>
      <c r="AKB75" s="63"/>
      <c r="AKC75" s="63"/>
      <c r="AKD75" s="63"/>
      <c r="AKE75" s="63"/>
      <c r="AKF75" s="63"/>
      <c r="AKG75" s="63"/>
      <c r="AKH75" s="63"/>
      <c r="AKI75" s="63"/>
      <c r="AKJ75" s="63"/>
      <c r="AKK75" s="63"/>
      <c r="AKL75" s="63"/>
      <c r="AKM75" s="63"/>
      <c r="AKN75" s="63"/>
      <c r="AKO75" s="63"/>
      <c r="AKP75" s="63"/>
      <c r="AKQ75" s="63"/>
      <c r="AKR75" s="63"/>
      <c r="AKS75" s="63"/>
      <c r="AKT75" s="63"/>
      <c r="AKU75" s="63"/>
      <c r="AKV75" s="63"/>
      <c r="AKW75" s="63"/>
      <c r="AKX75" s="63"/>
      <c r="AKY75" s="63"/>
      <c r="AKZ75" s="63"/>
      <c r="ALA75" s="63"/>
      <c r="ALB75" s="63"/>
      <c r="ALC75" s="63"/>
      <c r="ALD75" s="63"/>
      <c r="ALE75" s="63"/>
      <c r="ALF75" s="63"/>
      <c r="ALG75" s="63"/>
      <c r="ALH75" s="63"/>
      <c r="ALI75" s="63"/>
      <c r="ALJ75" s="63"/>
      <c r="ALK75" s="63"/>
      <c r="ALL75" s="63"/>
      <c r="ALM75" s="63"/>
      <c r="ALN75" s="63"/>
      <c r="ALO75" s="63"/>
      <c r="ALP75" s="63"/>
      <c r="ALQ75" s="63"/>
      <c r="ALR75" s="63"/>
      <c r="ALS75" s="63"/>
      <c r="ALT75" s="63"/>
      <c r="ALU75" s="63"/>
      <c r="ALV75" s="63"/>
      <c r="ALW75" s="63"/>
      <c r="ALX75" s="63"/>
      <c r="ALY75" s="63"/>
      <c r="ALZ75" s="63"/>
      <c r="AMA75" s="63"/>
      <c r="AMB75" s="63"/>
      <c r="AMC75" s="63"/>
      <c r="AMD75" s="63"/>
      <c r="AME75" s="63"/>
      <c r="AMF75" s="63"/>
      <c r="AMG75" s="63"/>
      <c r="AMH75" s="63"/>
      <c r="AMI75" s="63"/>
      <c r="AMJ75" s="63"/>
      <c r="AMK75" s="63"/>
      <c r="AML75" s="63"/>
      <c r="AMM75" s="63"/>
      <c r="AMN75" s="63"/>
      <c r="AMO75" s="63"/>
      <c r="AMP75" s="63"/>
      <c r="AMQ75" s="63"/>
      <c r="AMR75" s="63"/>
      <c r="AMS75" s="63"/>
      <c r="AMT75" s="63"/>
      <c r="AMU75" s="63"/>
      <c r="AMV75" s="63"/>
      <c r="AMW75" s="63"/>
      <c r="AMX75" s="63"/>
      <c r="AMY75" s="63"/>
      <c r="AMZ75" s="63"/>
      <c r="ANA75" s="63"/>
      <c r="ANB75" s="63"/>
      <c r="ANC75" s="63"/>
      <c r="AND75" s="63"/>
      <c r="ANE75" s="63"/>
      <c r="ANF75" s="63"/>
      <c r="ANG75" s="63"/>
      <c r="ANH75" s="63"/>
      <c r="ANI75" s="63"/>
      <c r="ANJ75" s="63"/>
      <c r="ANK75" s="63"/>
      <c r="ANL75" s="63"/>
      <c r="ANM75" s="63"/>
      <c r="ANN75" s="63"/>
      <c r="ANO75" s="63"/>
      <c r="ANP75" s="63"/>
      <c r="ANQ75" s="63"/>
      <c r="ANR75" s="63"/>
      <c r="ANS75" s="63"/>
      <c r="ANT75" s="63"/>
      <c r="ANU75" s="63"/>
      <c r="ANV75" s="63"/>
      <c r="ANW75" s="63"/>
      <c r="ANX75" s="63"/>
      <c r="ANY75" s="63"/>
      <c r="ANZ75" s="63"/>
      <c r="AOA75" s="63"/>
      <c r="AOB75" s="63"/>
      <c r="AOC75" s="63"/>
      <c r="AOD75" s="63"/>
      <c r="AOE75" s="63"/>
      <c r="AOF75" s="63"/>
      <c r="AOG75" s="63"/>
      <c r="AOH75" s="63"/>
      <c r="AOI75" s="63"/>
      <c r="AOJ75" s="63"/>
      <c r="AOK75" s="63"/>
      <c r="AOL75" s="63"/>
      <c r="AOM75" s="63"/>
      <c r="AON75" s="63"/>
      <c r="AOO75" s="63"/>
      <c r="AOP75" s="63"/>
      <c r="AOQ75" s="63"/>
      <c r="AOR75" s="63"/>
      <c r="AOS75" s="63"/>
      <c r="AOT75" s="63"/>
      <c r="AOU75" s="63"/>
      <c r="AOV75" s="63"/>
      <c r="AOW75" s="63"/>
      <c r="AOX75" s="63"/>
      <c r="AOY75" s="63"/>
      <c r="AOZ75" s="63"/>
      <c r="APA75" s="63"/>
      <c r="APB75" s="63"/>
      <c r="APC75" s="63"/>
      <c r="APD75" s="63"/>
      <c r="APE75" s="63"/>
      <c r="APF75" s="63"/>
      <c r="APG75" s="63"/>
      <c r="APH75" s="63"/>
      <c r="API75" s="63"/>
      <c r="APJ75" s="63"/>
      <c r="APK75" s="63"/>
      <c r="APL75" s="63"/>
      <c r="APM75" s="63"/>
      <c r="APN75" s="63"/>
      <c r="APO75" s="63"/>
      <c r="APP75" s="63"/>
      <c r="APQ75" s="63"/>
      <c r="APR75" s="63"/>
      <c r="APS75" s="63"/>
      <c r="APT75" s="63"/>
      <c r="APU75" s="63"/>
      <c r="APV75" s="63"/>
      <c r="APW75" s="63"/>
      <c r="APX75" s="63"/>
      <c r="APY75" s="63"/>
      <c r="APZ75" s="63"/>
      <c r="AQA75" s="63"/>
      <c r="AQB75" s="63"/>
      <c r="AQC75" s="63"/>
      <c r="AQD75" s="63"/>
      <c r="AQE75" s="63"/>
      <c r="AQF75" s="63"/>
      <c r="AQG75" s="63"/>
      <c r="AQH75" s="63"/>
      <c r="AQI75" s="63"/>
      <c r="AQJ75" s="63"/>
      <c r="AQK75" s="63"/>
      <c r="AQL75" s="63"/>
      <c r="AQM75" s="63"/>
      <c r="AQN75" s="63"/>
      <c r="AQO75" s="63"/>
      <c r="AQP75" s="63"/>
      <c r="AQQ75" s="63"/>
      <c r="AQR75" s="63"/>
      <c r="AQS75" s="63"/>
      <c r="AQT75" s="63"/>
      <c r="AQU75" s="63"/>
      <c r="AQV75" s="63"/>
      <c r="AQW75" s="63"/>
      <c r="AQX75" s="63"/>
      <c r="AQY75" s="63"/>
      <c r="AQZ75" s="63"/>
      <c r="ARA75" s="63"/>
      <c r="ARB75" s="63"/>
      <c r="ARC75" s="63"/>
      <c r="ARD75" s="63"/>
      <c r="ARE75" s="63"/>
      <c r="ARF75" s="63"/>
      <c r="ARG75" s="63"/>
      <c r="ARH75" s="63"/>
      <c r="ARI75" s="63"/>
      <c r="ARJ75" s="63"/>
      <c r="ARK75" s="63"/>
      <c r="ARL75" s="63"/>
      <c r="ARM75" s="63"/>
      <c r="ARN75" s="63"/>
      <c r="ARO75" s="63"/>
      <c r="ARP75" s="63"/>
      <c r="ARQ75" s="63"/>
      <c r="ARR75" s="63"/>
      <c r="ARS75" s="63"/>
      <c r="ART75" s="63"/>
      <c r="ARU75" s="63"/>
      <c r="ARV75" s="63"/>
      <c r="ARW75" s="63"/>
      <c r="ARX75" s="63"/>
      <c r="ARY75" s="63"/>
      <c r="ARZ75" s="63"/>
      <c r="ASA75" s="63"/>
      <c r="ASB75" s="63"/>
      <c r="ASC75" s="63"/>
      <c r="ASD75" s="63"/>
      <c r="ASE75" s="63"/>
      <c r="ASF75" s="63"/>
      <c r="ASG75" s="63"/>
      <c r="ASH75" s="63"/>
      <c r="ASI75" s="63"/>
      <c r="ASJ75" s="63"/>
      <c r="ASK75" s="63"/>
      <c r="ASL75" s="63"/>
      <c r="ASM75" s="63"/>
      <c r="ASN75" s="63"/>
      <c r="ASO75" s="63"/>
      <c r="ASP75" s="63"/>
      <c r="ASQ75" s="63"/>
      <c r="ASR75" s="63"/>
      <c r="ASS75" s="63"/>
      <c r="AST75" s="63"/>
      <c r="ASU75" s="63"/>
      <c r="ASV75" s="63"/>
      <c r="ASW75" s="63"/>
      <c r="ASX75" s="63"/>
      <c r="ASY75" s="63"/>
      <c r="ASZ75" s="63"/>
      <c r="ATA75" s="63"/>
      <c r="ATB75" s="63"/>
      <c r="ATC75" s="63"/>
      <c r="ATD75" s="63"/>
      <c r="ATE75" s="63"/>
      <c r="ATF75" s="63"/>
      <c r="ATG75" s="63"/>
      <c r="ATH75" s="63"/>
      <c r="ATI75" s="63"/>
      <c r="ATJ75" s="63"/>
      <c r="ATK75" s="63"/>
      <c r="ATL75" s="63"/>
      <c r="ATM75" s="63"/>
      <c r="ATN75" s="63"/>
      <c r="ATO75" s="63"/>
      <c r="ATP75" s="63"/>
      <c r="ATQ75" s="63"/>
      <c r="ATR75" s="63"/>
      <c r="ATS75" s="63"/>
      <c r="ATT75" s="63"/>
      <c r="ATU75" s="63"/>
      <c r="ATV75" s="63"/>
      <c r="ATW75" s="63"/>
      <c r="ATX75" s="63"/>
      <c r="ATY75" s="63"/>
      <c r="ATZ75" s="63"/>
      <c r="AUA75" s="63"/>
      <c r="AUB75" s="63"/>
      <c r="AUC75" s="63"/>
      <c r="AUD75" s="63"/>
      <c r="AUE75" s="63"/>
      <c r="AUF75" s="63"/>
      <c r="AUG75" s="63"/>
      <c r="AUH75" s="63"/>
      <c r="AUI75" s="63"/>
      <c r="AUJ75" s="63"/>
      <c r="AUK75" s="63"/>
      <c r="AUL75" s="63"/>
      <c r="AUM75" s="63"/>
      <c r="AUN75" s="63"/>
      <c r="AUO75" s="63"/>
      <c r="AUP75" s="63"/>
      <c r="AUQ75" s="63"/>
      <c r="AUR75" s="63"/>
      <c r="AUS75" s="63"/>
      <c r="AUT75" s="63"/>
      <c r="AUU75" s="63"/>
      <c r="AUV75" s="63"/>
      <c r="AUW75" s="63"/>
      <c r="AUX75" s="63"/>
      <c r="AUY75" s="63"/>
      <c r="AUZ75" s="63"/>
      <c r="AVA75" s="63"/>
      <c r="AVB75" s="63"/>
      <c r="AVC75" s="63"/>
      <c r="AVD75" s="63"/>
      <c r="AVE75" s="63"/>
      <c r="AVF75" s="63"/>
      <c r="AVG75" s="63"/>
      <c r="AVH75" s="63"/>
      <c r="AVI75" s="63"/>
      <c r="AVJ75" s="63"/>
      <c r="AVK75" s="63"/>
      <c r="AVL75" s="63"/>
      <c r="AVM75" s="63"/>
      <c r="AVN75" s="63"/>
      <c r="AVO75" s="63"/>
      <c r="AVP75" s="63"/>
      <c r="AVQ75" s="63"/>
      <c r="AVR75" s="63"/>
      <c r="AVS75" s="63"/>
      <c r="AVT75" s="63"/>
      <c r="AVU75" s="63"/>
      <c r="AVV75" s="63"/>
      <c r="AVW75" s="63"/>
      <c r="AVX75" s="63"/>
      <c r="AVY75" s="63"/>
      <c r="AVZ75" s="63"/>
      <c r="AWA75" s="63"/>
      <c r="AWB75" s="63"/>
      <c r="AWC75" s="63"/>
      <c r="AWD75" s="63"/>
      <c r="AWE75" s="63"/>
      <c r="AWF75" s="63"/>
      <c r="AWG75" s="63"/>
      <c r="AWH75" s="63"/>
      <c r="AWI75" s="63"/>
      <c r="AWJ75" s="63"/>
      <c r="AWK75" s="63"/>
      <c r="AWL75" s="63"/>
      <c r="AWM75" s="63"/>
      <c r="AWN75" s="63"/>
      <c r="AWO75" s="63"/>
      <c r="AWP75" s="63"/>
      <c r="AWQ75" s="63"/>
      <c r="AWR75" s="63"/>
      <c r="AWS75" s="63"/>
      <c r="AWT75" s="63"/>
      <c r="AWU75" s="63"/>
      <c r="AWV75" s="63"/>
      <c r="AWW75" s="63"/>
      <c r="AWX75" s="63"/>
      <c r="AWY75" s="63"/>
      <c r="AWZ75" s="63"/>
      <c r="AXA75" s="63"/>
      <c r="AXB75" s="63"/>
      <c r="AXC75" s="63"/>
      <c r="AXD75" s="63"/>
      <c r="AXE75" s="63"/>
      <c r="AXF75" s="63"/>
      <c r="AXG75" s="63"/>
      <c r="AXH75" s="63"/>
      <c r="AXI75" s="63"/>
      <c r="AXJ75" s="63"/>
      <c r="AXK75" s="63"/>
      <c r="AXL75" s="63"/>
      <c r="AXM75" s="63"/>
      <c r="AXN75" s="63"/>
      <c r="AXO75" s="63"/>
      <c r="AXP75" s="63"/>
      <c r="AXQ75" s="63"/>
      <c r="AXR75" s="63"/>
      <c r="AXS75" s="63"/>
      <c r="AXT75" s="63"/>
      <c r="AXU75" s="63"/>
      <c r="AXV75" s="63"/>
      <c r="AXW75" s="63"/>
      <c r="AXX75" s="63"/>
      <c r="AXY75" s="63"/>
      <c r="AXZ75" s="63"/>
      <c r="AYA75" s="63"/>
      <c r="AYB75" s="63"/>
      <c r="AYC75" s="63"/>
      <c r="AYD75" s="63"/>
      <c r="AYE75" s="63"/>
      <c r="AYF75" s="63"/>
      <c r="AYG75" s="63"/>
      <c r="AYH75" s="63"/>
      <c r="AYI75" s="63"/>
      <c r="AYJ75" s="63"/>
      <c r="AYK75" s="63"/>
      <c r="AYL75" s="63"/>
      <c r="AYM75" s="63"/>
      <c r="AYN75" s="63"/>
      <c r="AYO75" s="63"/>
      <c r="AYP75" s="63"/>
      <c r="AYQ75" s="63"/>
      <c r="AYR75" s="63"/>
      <c r="AYS75" s="63"/>
      <c r="AYT75" s="63"/>
      <c r="AYU75" s="63"/>
      <c r="AYV75" s="63"/>
      <c r="AYW75" s="63"/>
      <c r="AYX75" s="63"/>
      <c r="AYY75" s="63"/>
      <c r="AYZ75" s="63"/>
      <c r="AZA75" s="63"/>
      <c r="AZB75" s="63"/>
      <c r="AZC75" s="63"/>
      <c r="AZD75" s="63"/>
      <c r="AZE75" s="63"/>
      <c r="AZF75" s="63"/>
      <c r="AZG75" s="63"/>
      <c r="AZH75" s="63"/>
      <c r="AZI75" s="63"/>
      <c r="AZJ75" s="63"/>
      <c r="AZK75" s="63"/>
      <c r="AZL75" s="63"/>
      <c r="AZM75" s="63"/>
      <c r="AZN75" s="63"/>
      <c r="AZO75" s="63"/>
      <c r="AZP75" s="63"/>
      <c r="AZQ75" s="63"/>
      <c r="AZR75" s="63"/>
      <c r="AZS75" s="63"/>
      <c r="AZT75" s="63"/>
      <c r="AZU75" s="63"/>
      <c r="AZV75" s="63"/>
      <c r="AZW75" s="63"/>
      <c r="AZX75" s="63"/>
      <c r="AZY75" s="63"/>
      <c r="AZZ75" s="63"/>
      <c r="BAA75" s="63"/>
      <c r="BAB75" s="63"/>
      <c r="BAC75" s="63"/>
      <c r="BAD75" s="63"/>
      <c r="BAE75" s="63"/>
      <c r="BAF75" s="63"/>
      <c r="BAG75" s="63"/>
      <c r="BAH75" s="63"/>
      <c r="BAI75" s="63"/>
      <c r="BAJ75" s="63"/>
      <c r="BAK75" s="63"/>
      <c r="BAL75" s="63"/>
      <c r="BAM75" s="63"/>
      <c r="BAN75" s="63"/>
      <c r="BAO75" s="63"/>
      <c r="BAP75" s="63"/>
      <c r="BAQ75" s="63"/>
      <c r="BAR75" s="63"/>
      <c r="BAS75" s="63"/>
      <c r="BAT75" s="63"/>
      <c r="BAU75" s="63"/>
      <c r="BAV75" s="63"/>
      <c r="BAW75" s="63"/>
      <c r="BAX75" s="63"/>
      <c r="BAY75" s="63"/>
      <c r="BAZ75" s="63"/>
      <c r="BBA75" s="63"/>
      <c r="BBB75" s="63"/>
      <c r="BBC75" s="63"/>
      <c r="BBD75" s="63"/>
      <c r="BBE75" s="63"/>
      <c r="BBF75" s="63"/>
      <c r="BBG75" s="63"/>
      <c r="BBH75" s="63"/>
      <c r="BBI75" s="63"/>
      <c r="BBJ75" s="63"/>
      <c r="BBK75" s="63"/>
      <c r="BBL75" s="63"/>
      <c r="BBM75" s="63"/>
      <c r="BBN75" s="63"/>
      <c r="BBO75" s="63"/>
      <c r="BBP75" s="63"/>
      <c r="BBQ75" s="63"/>
      <c r="BBR75" s="63"/>
      <c r="BBS75" s="63"/>
      <c r="BBT75" s="63"/>
      <c r="BBU75" s="63"/>
      <c r="BBV75" s="63"/>
      <c r="BBW75" s="63"/>
      <c r="BBX75" s="63"/>
      <c r="BBY75" s="63"/>
      <c r="BBZ75" s="63"/>
      <c r="BCA75" s="63"/>
      <c r="BCB75" s="63"/>
      <c r="BCC75" s="63"/>
      <c r="BCD75" s="63"/>
      <c r="BCE75" s="63"/>
      <c r="BCF75" s="63"/>
      <c r="BCG75" s="63"/>
      <c r="BCH75" s="63"/>
      <c r="BCI75" s="63"/>
      <c r="BCJ75" s="63"/>
      <c r="BCK75" s="63"/>
      <c r="BCL75" s="63"/>
      <c r="BCM75" s="63"/>
      <c r="BCN75" s="63"/>
      <c r="BCO75" s="63"/>
      <c r="BCP75" s="63"/>
      <c r="BCQ75" s="63"/>
      <c r="BCR75" s="63"/>
      <c r="BCS75" s="63"/>
      <c r="BCT75" s="63"/>
      <c r="BCU75" s="63"/>
      <c r="BCV75" s="63"/>
      <c r="BCW75" s="63"/>
      <c r="BCX75" s="63"/>
      <c r="BCY75" s="63"/>
      <c r="BCZ75" s="63"/>
      <c r="BDA75" s="63"/>
      <c r="BDB75" s="63"/>
      <c r="BDC75" s="63"/>
      <c r="BDD75" s="63"/>
      <c r="BDE75" s="63"/>
      <c r="BDF75" s="63"/>
      <c r="BDG75" s="63"/>
      <c r="BDH75" s="63"/>
      <c r="BDI75" s="63"/>
      <c r="BDJ75" s="63"/>
      <c r="BDK75" s="63"/>
      <c r="BDL75" s="63"/>
      <c r="BDM75" s="63"/>
      <c r="BDN75" s="63"/>
      <c r="BDO75" s="63"/>
      <c r="BDP75" s="63"/>
      <c r="BDQ75" s="63"/>
      <c r="BDR75" s="63"/>
      <c r="BDS75" s="63"/>
      <c r="BDT75" s="63"/>
      <c r="BDU75" s="63"/>
      <c r="BDV75" s="63"/>
      <c r="BDW75" s="63"/>
      <c r="BDX75" s="63"/>
      <c r="BDY75" s="63"/>
      <c r="BDZ75" s="63"/>
      <c r="BEA75" s="63"/>
      <c r="BEB75" s="63"/>
      <c r="BEC75" s="63"/>
      <c r="BED75" s="63"/>
      <c r="BEE75" s="63"/>
      <c r="BEF75" s="63"/>
      <c r="BEG75" s="63"/>
      <c r="BEH75" s="63"/>
      <c r="BEI75" s="63"/>
      <c r="BEJ75" s="63"/>
      <c r="BEK75" s="63"/>
      <c r="BEL75" s="63"/>
      <c r="BEM75" s="63"/>
      <c r="BEN75" s="63"/>
      <c r="BEO75" s="63"/>
      <c r="BEP75" s="63"/>
      <c r="BEQ75" s="63"/>
      <c r="BER75" s="63"/>
      <c r="BES75" s="63"/>
      <c r="BET75" s="63"/>
      <c r="BEU75" s="63"/>
      <c r="BEV75" s="63"/>
      <c r="BEW75" s="63"/>
      <c r="BEX75" s="63"/>
      <c r="BEY75" s="63"/>
      <c r="BEZ75" s="63"/>
      <c r="BFA75" s="63"/>
      <c r="BFB75" s="63"/>
      <c r="BFC75" s="63"/>
      <c r="BFD75" s="63"/>
      <c r="BFE75" s="63"/>
      <c r="BFF75" s="63"/>
      <c r="BFG75" s="63"/>
      <c r="BFH75" s="63"/>
      <c r="BFI75" s="63"/>
      <c r="BFJ75" s="63"/>
      <c r="BFK75" s="63"/>
      <c r="BFL75" s="63"/>
      <c r="BFM75" s="63"/>
      <c r="BFN75" s="63"/>
      <c r="BFO75" s="63"/>
      <c r="BFP75" s="63"/>
      <c r="BFQ75" s="63"/>
      <c r="BFR75" s="63"/>
      <c r="BFS75" s="63"/>
      <c r="BFT75" s="63"/>
      <c r="BFU75" s="63"/>
      <c r="BFV75" s="63"/>
      <c r="BFW75" s="63"/>
      <c r="BFX75" s="63"/>
      <c r="BFY75" s="63"/>
      <c r="BFZ75" s="63"/>
      <c r="BGA75" s="63"/>
      <c r="BGB75" s="63"/>
      <c r="BGC75" s="63"/>
      <c r="BGD75" s="63"/>
      <c r="BGE75" s="63"/>
      <c r="BGF75" s="63"/>
      <c r="BGG75" s="63"/>
      <c r="BGH75" s="63"/>
      <c r="BGI75" s="63"/>
      <c r="BGJ75" s="63"/>
      <c r="BGK75" s="63"/>
      <c r="BGL75" s="63"/>
      <c r="BGM75" s="63"/>
      <c r="BGN75" s="63"/>
      <c r="BGO75" s="63"/>
      <c r="BGP75" s="63"/>
      <c r="BGQ75" s="63"/>
      <c r="BGR75" s="63"/>
      <c r="BGS75" s="63"/>
      <c r="BGT75" s="63"/>
      <c r="BGU75" s="63"/>
      <c r="BGV75" s="63"/>
      <c r="BGW75" s="63"/>
      <c r="BGX75" s="63"/>
      <c r="BGY75" s="63"/>
      <c r="BGZ75" s="63"/>
      <c r="BHA75" s="63"/>
      <c r="BHB75" s="63"/>
      <c r="BHC75" s="63"/>
      <c r="BHD75" s="63"/>
      <c r="BHE75" s="63"/>
      <c r="BHF75" s="63"/>
      <c r="BHG75" s="63"/>
      <c r="BHH75" s="63"/>
      <c r="BHI75" s="63"/>
      <c r="BHJ75" s="63"/>
      <c r="BHK75" s="63"/>
      <c r="BHL75" s="63"/>
      <c r="BHM75" s="63"/>
      <c r="BHN75" s="63"/>
      <c r="BHO75" s="63"/>
      <c r="BHP75" s="63"/>
      <c r="BHQ75" s="63"/>
      <c r="BHR75" s="63"/>
      <c r="BHS75" s="63"/>
      <c r="BHT75" s="63"/>
      <c r="BHU75" s="63"/>
      <c r="BHV75" s="63"/>
      <c r="BHW75" s="63"/>
      <c r="BHX75" s="63"/>
      <c r="BHY75" s="63"/>
      <c r="BHZ75" s="63"/>
      <c r="BIA75" s="63"/>
      <c r="BIB75" s="63"/>
      <c r="BIC75" s="63"/>
      <c r="BID75" s="63"/>
      <c r="BIE75" s="63"/>
      <c r="BIF75" s="63"/>
      <c r="BIG75" s="63"/>
      <c r="BIH75" s="63"/>
      <c r="BII75" s="63"/>
      <c r="BIJ75" s="63"/>
      <c r="BIK75" s="63"/>
      <c r="BIL75" s="63"/>
      <c r="BIM75" s="63"/>
      <c r="BIN75" s="63"/>
      <c r="BIO75" s="63"/>
      <c r="BIP75" s="63"/>
      <c r="BIQ75" s="63"/>
      <c r="BIR75" s="63"/>
      <c r="BIS75" s="63"/>
      <c r="BIT75" s="63"/>
      <c r="BIU75" s="63"/>
      <c r="BIV75" s="63"/>
      <c r="BIW75" s="63"/>
      <c r="BIX75" s="63"/>
      <c r="BIY75" s="63"/>
      <c r="BIZ75" s="63"/>
      <c r="BJA75" s="63"/>
      <c r="BJB75" s="63"/>
      <c r="BJC75" s="63"/>
      <c r="BJD75" s="63"/>
      <c r="BJE75" s="63"/>
      <c r="BJF75" s="63"/>
      <c r="BJG75" s="63"/>
      <c r="BJH75" s="63"/>
      <c r="BJI75" s="63"/>
      <c r="BJJ75" s="63"/>
      <c r="BJK75" s="63"/>
      <c r="BJL75" s="63"/>
      <c r="BJM75" s="63"/>
      <c r="BJN75" s="63"/>
      <c r="BJO75" s="63"/>
      <c r="BJP75" s="63"/>
      <c r="BJQ75" s="63"/>
      <c r="BJR75" s="63"/>
      <c r="BJS75" s="63"/>
      <c r="BJT75" s="63"/>
      <c r="BJU75" s="63"/>
      <c r="BJV75" s="63"/>
      <c r="BJW75" s="63"/>
      <c r="BJX75" s="63"/>
      <c r="BJY75" s="63"/>
      <c r="BJZ75" s="63"/>
      <c r="BKA75" s="63"/>
      <c r="BKB75" s="63"/>
      <c r="BKC75" s="63"/>
      <c r="BKD75" s="63"/>
      <c r="BKE75" s="63"/>
      <c r="BKF75" s="63"/>
      <c r="BKG75" s="63"/>
      <c r="BKH75" s="63"/>
      <c r="BKI75" s="63"/>
      <c r="BKJ75" s="63"/>
      <c r="BKK75" s="63"/>
      <c r="BKL75" s="63"/>
      <c r="BKM75" s="63"/>
      <c r="BKN75" s="63"/>
      <c r="BKO75" s="63"/>
      <c r="BKP75" s="63"/>
      <c r="BKQ75" s="63"/>
      <c r="BKR75" s="63"/>
      <c r="BKS75" s="63"/>
      <c r="BKT75" s="63"/>
      <c r="BKU75" s="63"/>
      <c r="BKV75" s="63"/>
      <c r="BKW75" s="63"/>
      <c r="BKX75" s="63"/>
      <c r="BKY75" s="63"/>
      <c r="BKZ75" s="63"/>
      <c r="BLA75" s="63"/>
      <c r="BLB75" s="63"/>
      <c r="BLC75" s="63"/>
      <c r="BLD75" s="63"/>
      <c r="BLE75" s="63"/>
      <c r="BLF75" s="63"/>
      <c r="BLG75" s="63"/>
      <c r="BLH75" s="63"/>
      <c r="BLI75" s="63"/>
      <c r="BLJ75" s="63"/>
      <c r="BLK75" s="63"/>
      <c r="BLL75" s="63"/>
      <c r="BLM75" s="63"/>
      <c r="BLN75" s="63"/>
      <c r="BLO75" s="63"/>
      <c r="BLP75" s="63"/>
      <c r="BLQ75" s="63"/>
      <c r="BLR75" s="63"/>
      <c r="BLS75" s="63"/>
      <c r="BLT75" s="63"/>
      <c r="BLU75" s="63"/>
      <c r="BLV75" s="63"/>
      <c r="BLW75" s="63"/>
      <c r="BLX75" s="63"/>
      <c r="BLY75" s="63"/>
      <c r="BLZ75" s="63"/>
      <c r="BMA75" s="63"/>
      <c r="BMB75" s="63"/>
      <c r="BMC75" s="63"/>
      <c r="BMD75" s="63"/>
      <c r="BME75" s="63"/>
      <c r="BMF75" s="63"/>
      <c r="BMG75" s="63"/>
      <c r="BMH75" s="63"/>
      <c r="BMI75" s="63"/>
      <c r="BMJ75" s="63"/>
      <c r="BMK75" s="63"/>
      <c r="BML75" s="63"/>
      <c r="BMM75" s="63"/>
      <c r="BMN75" s="63"/>
      <c r="BMO75" s="63"/>
      <c r="BMP75" s="63"/>
      <c r="BMQ75" s="63"/>
      <c r="BMR75" s="63"/>
      <c r="BMS75" s="63"/>
      <c r="BMT75" s="63"/>
      <c r="BMU75" s="63"/>
      <c r="BMV75" s="63"/>
      <c r="BMW75" s="63"/>
      <c r="BMX75" s="63"/>
      <c r="BMY75" s="63"/>
      <c r="BMZ75" s="63"/>
      <c r="BNA75" s="63"/>
      <c r="BNB75" s="63"/>
      <c r="BNC75" s="63"/>
      <c r="BND75" s="63"/>
      <c r="BNE75" s="63"/>
      <c r="BNF75" s="63"/>
      <c r="BNG75" s="63"/>
      <c r="BNH75" s="63"/>
      <c r="BNI75" s="63"/>
      <c r="BNJ75" s="63"/>
      <c r="BNK75" s="63"/>
      <c r="BNL75" s="63"/>
      <c r="BNM75" s="63"/>
      <c r="BNN75" s="63"/>
      <c r="BNO75" s="63"/>
      <c r="BNP75" s="63"/>
      <c r="BNQ75" s="63"/>
      <c r="BNR75" s="63"/>
      <c r="BNS75" s="63"/>
      <c r="BNT75" s="63"/>
      <c r="BNU75" s="63"/>
      <c r="BNV75" s="63"/>
      <c r="BNW75" s="63"/>
      <c r="BNX75" s="63"/>
      <c r="BNY75" s="63"/>
      <c r="BNZ75" s="63"/>
      <c r="BOA75" s="63"/>
      <c r="BOB75" s="63"/>
      <c r="BOC75" s="63"/>
      <c r="BOD75" s="63"/>
      <c r="BOE75" s="63"/>
      <c r="BOF75" s="63"/>
      <c r="BOG75" s="63"/>
      <c r="BOH75" s="63"/>
      <c r="BOI75" s="63"/>
      <c r="BOJ75" s="63"/>
      <c r="BOK75" s="63"/>
      <c r="BOL75" s="63"/>
      <c r="BOM75" s="63"/>
      <c r="BON75" s="63"/>
      <c r="BOO75" s="63"/>
      <c r="BOP75" s="63"/>
      <c r="BOQ75" s="63"/>
      <c r="BOR75" s="63"/>
      <c r="BOS75" s="63"/>
      <c r="BOT75" s="63"/>
      <c r="BOU75" s="63"/>
      <c r="BOV75" s="63"/>
      <c r="BOW75" s="63"/>
      <c r="BOX75" s="63"/>
      <c r="BOY75" s="63"/>
      <c r="BOZ75" s="63"/>
      <c r="BPA75" s="63"/>
      <c r="BPB75" s="63"/>
      <c r="BPC75" s="63"/>
      <c r="BPD75" s="63"/>
      <c r="BPE75" s="63"/>
      <c r="BPF75" s="63"/>
      <c r="BPG75" s="63"/>
      <c r="BPH75" s="63"/>
      <c r="BPI75" s="63"/>
      <c r="BPJ75" s="63"/>
      <c r="BPK75" s="63"/>
      <c r="BPL75" s="63"/>
      <c r="BPM75" s="63"/>
      <c r="BPN75" s="63"/>
      <c r="BPO75" s="63"/>
      <c r="BPP75" s="63"/>
      <c r="BPQ75" s="63"/>
      <c r="BPR75" s="63"/>
      <c r="BPS75" s="63"/>
      <c r="BPT75" s="63"/>
      <c r="BPU75" s="63"/>
      <c r="BPV75" s="63"/>
      <c r="BPW75" s="63"/>
      <c r="BPX75" s="63"/>
      <c r="BPY75" s="63"/>
      <c r="BPZ75" s="63"/>
      <c r="BQA75" s="63"/>
      <c r="BQB75" s="63"/>
      <c r="BQC75" s="63"/>
      <c r="BQD75" s="63"/>
      <c r="BQE75" s="63"/>
      <c r="BQF75" s="63"/>
      <c r="BQG75" s="63"/>
      <c r="BQH75" s="63"/>
      <c r="BQI75" s="63"/>
      <c r="BQJ75" s="63"/>
      <c r="BQK75" s="63"/>
      <c r="BQL75" s="63"/>
      <c r="BQM75" s="63"/>
      <c r="BQN75" s="63"/>
      <c r="BQO75" s="63"/>
      <c r="BQP75" s="63"/>
      <c r="BQQ75" s="63"/>
      <c r="BQR75" s="63"/>
      <c r="BQS75" s="63"/>
      <c r="BQT75" s="63"/>
      <c r="BQU75" s="63"/>
      <c r="BQV75" s="63"/>
      <c r="BQW75" s="63"/>
      <c r="BQX75" s="63"/>
      <c r="BQY75" s="63"/>
      <c r="BQZ75" s="63"/>
      <c r="BRA75" s="63"/>
      <c r="BRB75" s="63"/>
      <c r="BRC75" s="63"/>
      <c r="BRD75" s="63"/>
      <c r="BRE75" s="63"/>
      <c r="BRF75" s="63"/>
      <c r="BRG75" s="63"/>
      <c r="BRH75" s="63"/>
      <c r="BRI75" s="63"/>
      <c r="BRJ75" s="63"/>
      <c r="BRK75" s="63"/>
      <c r="BRL75" s="63"/>
      <c r="BRM75" s="63"/>
      <c r="BRN75" s="63"/>
      <c r="BRO75" s="63"/>
      <c r="BRP75" s="63"/>
      <c r="BRQ75" s="63"/>
      <c r="BRR75" s="63"/>
      <c r="BRS75" s="63"/>
      <c r="BRT75" s="63"/>
      <c r="BRU75" s="63"/>
      <c r="BRV75" s="63"/>
      <c r="BRW75" s="63"/>
      <c r="BRX75" s="63"/>
      <c r="BRY75" s="63"/>
      <c r="BRZ75" s="63"/>
      <c r="BSA75" s="63"/>
      <c r="BSB75" s="63"/>
      <c r="BSC75" s="63"/>
      <c r="BSD75" s="63"/>
      <c r="BSE75" s="63"/>
      <c r="BSF75" s="63"/>
      <c r="BSG75" s="63"/>
      <c r="BSH75" s="63"/>
      <c r="BSI75" s="63"/>
      <c r="BSJ75" s="63"/>
      <c r="BSK75" s="63"/>
      <c r="BSL75" s="63"/>
      <c r="BSM75" s="63"/>
      <c r="BSN75" s="63"/>
      <c r="BSO75" s="63"/>
      <c r="BSP75" s="63"/>
      <c r="BSQ75" s="63"/>
      <c r="BSR75" s="63"/>
      <c r="BSS75" s="63"/>
      <c r="BST75" s="63"/>
      <c r="BSU75" s="63"/>
      <c r="BSV75" s="63"/>
      <c r="BSW75" s="63"/>
      <c r="BSX75" s="63"/>
      <c r="BSY75" s="63"/>
      <c r="BSZ75" s="63"/>
      <c r="BTA75" s="63"/>
      <c r="BTB75" s="63"/>
      <c r="BTC75" s="63"/>
      <c r="BTD75" s="63"/>
      <c r="BTE75" s="63"/>
      <c r="BTF75" s="63"/>
      <c r="BTG75" s="63"/>
      <c r="BTH75" s="63"/>
      <c r="BTI75" s="63"/>
    </row>
    <row r="76" spans="1:1881" ht="19.5" thickBot="1" x14ac:dyDescent="0.35">
      <c r="A76" s="190"/>
      <c r="B76" s="140" t="s">
        <v>172</v>
      </c>
      <c r="C76" s="140"/>
      <c r="D76" s="156"/>
      <c r="E76" s="156"/>
      <c r="F76" s="751"/>
      <c r="G76" s="575"/>
      <c r="H76" s="13"/>
      <c r="I76" s="31"/>
      <c r="J76" s="63"/>
      <c r="L76" s="865" t="s">
        <v>1173</v>
      </c>
    </row>
    <row r="77" spans="1:1881" ht="19.5" thickBot="1" x14ac:dyDescent="0.35">
      <c r="A77" s="190"/>
      <c r="B77" s="140" t="s">
        <v>26</v>
      </c>
      <c r="C77" s="140"/>
      <c r="D77" s="145"/>
      <c r="E77" s="146"/>
      <c r="F77" s="752"/>
      <c r="G77" s="576"/>
      <c r="H77" s="13"/>
      <c r="I77" s="31"/>
      <c r="L77" s="865" t="s">
        <v>1174</v>
      </c>
    </row>
    <row r="78" spans="1:1881" ht="19.5" thickBot="1" x14ac:dyDescent="0.35">
      <c r="A78" s="190"/>
      <c r="B78" s="140" t="s">
        <v>24</v>
      </c>
      <c r="C78" s="140"/>
      <c r="D78" s="145"/>
      <c r="E78" s="146"/>
      <c r="F78" s="752"/>
      <c r="G78" s="576"/>
      <c r="H78" s="51"/>
      <c r="I78" s="31"/>
      <c r="L78" s="865" t="s">
        <v>1210</v>
      </c>
    </row>
    <row r="79" spans="1:1881" s="226" customFormat="1" ht="78" customHeight="1" thickBot="1" x14ac:dyDescent="0.35">
      <c r="A79" s="189">
        <v>596</v>
      </c>
      <c r="B79" s="151" t="s">
        <v>64</v>
      </c>
      <c r="C79" s="341"/>
      <c r="D79" s="326" t="s">
        <v>712</v>
      </c>
      <c r="E79" s="32" t="e">
        <f>HLOOKUP($D$2,'2019 Data(H)'!$C$1:$CG$300,255,FALSE)</f>
        <v>#N/A</v>
      </c>
      <c r="F79" s="647"/>
      <c r="G79" s="577"/>
      <c r="H79" s="51"/>
      <c r="I79" s="31"/>
      <c r="J79" s="412"/>
      <c r="K79" s="412"/>
      <c r="L79" s="865" t="s">
        <v>1211</v>
      </c>
      <c r="M79" s="412"/>
      <c r="N79"/>
      <c r="O79" s="412"/>
      <c r="P79" s="412"/>
      <c r="Q79" s="412"/>
      <c r="R79" s="412"/>
      <c r="S79" s="412"/>
      <c r="T79" s="412"/>
      <c r="U79" s="412"/>
      <c r="V79" s="412"/>
      <c r="W79" s="412"/>
      <c r="X79" s="412"/>
      <c r="Y79" s="412"/>
      <c r="Z79" s="412"/>
      <c r="AA79" s="412"/>
      <c r="AB79" s="412"/>
      <c r="AC79" s="412"/>
      <c r="AD79" s="412"/>
      <c r="AE79" s="412"/>
      <c r="AF79" s="412"/>
      <c r="AG79" s="412"/>
      <c r="AH79" s="412"/>
      <c r="AI79" s="412"/>
      <c r="AJ79" s="412"/>
      <c r="AK79" s="412"/>
      <c r="AL79" s="412"/>
      <c r="AM79" s="412"/>
      <c r="AN79" s="412"/>
      <c r="AO79" s="412"/>
      <c r="AP79" s="412"/>
      <c r="AQ79" s="412"/>
      <c r="AR79" s="412"/>
      <c r="AS79" s="412"/>
      <c r="AT79" s="412"/>
      <c r="AU79" s="412"/>
      <c r="AV79" s="412"/>
      <c r="AW79" s="412"/>
      <c r="AX79" s="412"/>
      <c r="AY79" s="412"/>
      <c r="AZ79" s="412"/>
      <c r="BA79" s="412"/>
      <c r="BB79" s="412"/>
      <c r="BC79" s="412"/>
      <c r="BD79" s="412"/>
      <c r="BE79" s="412"/>
      <c r="BF79" s="412"/>
      <c r="BG79" s="412"/>
      <c r="BH79" s="412"/>
      <c r="BI79" s="412"/>
      <c r="BJ79" s="412"/>
      <c r="BK79" s="412"/>
      <c r="BL79" s="412"/>
      <c r="BM79" s="412"/>
      <c r="BN79" s="412"/>
      <c r="BO79" s="412"/>
      <c r="BP79" s="412"/>
      <c r="BQ79" s="412"/>
      <c r="BR79" s="412"/>
      <c r="BS79" s="412"/>
      <c r="BT79" s="412"/>
      <c r="BU79" s="412"/>
      <c r="BV79" s="412"/>
      <c r="BW79" s="412"/>
      <c r="BX79" s="412"/>
      <c r="BY79" s="412"/>
      <c r="BZ79" s="412"/>
      <c r="CA79" s="412"/>
      <c r="CB79" s="412"/>
      <c r="CC79" s="412"/>
      <c r="CD79" s="412"/>
      <c r="CE79" s="412"/>
      <c r="CF79" s="412"/>
      <c r="CG79" s="412"/>
      <c r="CH79" s="412"/>
      <c r="CI79" s="412"/>
      <c r="CJ79" s="412"/>
      <c r="CK79" s="412"/>
      <c r="CL79" s="412"/>
      <c r="CM79" s="412"/>
      <c r="CN79" s="412"/>
      <c r="CO79" s="412"/>
      <c r="CP79" s="412"/>
      <c r="CQ79" s="412"/>
      <c r="CR79" s="412"/>
      <c r="CS79" s="412"/>
      <c r="CT79" s="412"/>
      <c r="CU79" s="412"/>
      <c r="CV79" s="412"/>
      <c r="CW79" s="412"/>
      <c r="CX79" s="412"/>
      <c r="CY79" s="412"/>
      <c r="CZ79" s="412"/>
      <c r="DA79" s="412"/>
      <c r="DB79" s="412"/>
      <c r="DC79" s="412"/>
      <c r="DD79" s="412"/>
      <c r="DE79" s="412"/>
      <c r="DF79" s="412"/>
      <c r="DG79" s="412"/>
      <c r="DH79" s="412"/>
      <c r="DI79" s="412"/>
      <c r="DJ79" s="412"/>
      <c r="DK79" s="412"/>
      <c r="DL79" s="412"/>
      <c r="DM79" s="412"/>
      <c r="DN79" s="412"/>
      <c r="DO79" s="412"/>
      <c r="DP79" s="412"/>
      <c r="DQ79" s="412"/>
      <c r="DR79" s="412"/>
      <c r="DS79" s="412"/>
      <c r="DT79" s="412"/>
      <c r="DU79" s="412"/>
      <c r="DV79" s="412"/>
      <c r="DW79" s="412"/>
      <c r="DX79" s="412"/>
      <c r="DY79" s="412"/>
      <c r="DZ79" s="412"/>
      <c r="EA79" s="412"/>
      <c r="EB79" s="412"/>
      <c r="EC79" s="412"/>
      <c r="ED79" s="412"/>
      <c r="EE79" s="412"/>
      <c r="EF79" s="412"/>
      <c r="EG79" s="412"/>
      <c r="EH79" s="412"/>
      <c r="EI79" s="412"/>
      <c r="EJ79" s="412"/>
      <c r="EK79" s="412"/>
      <c r="EL79" s="412"/>
      <c r="EM79" s="412"/>
      <c r="EN79" s="412"/>
      <c r="EO79" s="412"/>
      <c r="EP79" s="412"/>
      <c r="EQ79" s="412"/>
      <c r="ER79" s="412"/>
      <c r="ES79" s="412"/>
      <c r="ET79" s="412"/>
      <c r="EU79" s="412"/>
      <c r="EV79" s="412"/>
      <c r="EW79" s="412"/>
      <c r="EX79" s="412"/>
      <c r="EY79" s="412"/>
      <c r="EZ79" s="412"/>
      <c r="FA79" s="412"/>
      <c r="FB79" s="412"/>
      <c r="FC79" s="412"/>
      <c r="FD79" s="412"/>
      <c r="FE79" s="412"/>
      <c r="FF79" s="412"/>
      <c r="FG79" s="412"/>
      <c r="FH79" s="412"/>
      <c r="FI79" s="412"/>
      <c r="FJ79" s="412"/>
      <c r="FK79" s="412"/>
      <c r="FL79" s="412"/>
      <c r="FM79" s="412"/>
      <c r="FN79" s="412"/>
      <c r="FO79" s="412"/>
      <c r="FP79" s="412"/>
      <c r="FQ79" s="412"/>
      <c r="FR79" s="412"/>
      <c r="FS79" s="412"/>
      <c r="FT79" s="412"/>
      <c r="FU79" s="412"/>
      <c r="FV79" s="412"/>
      <c r="FW79" s="412"/>
      <c r="FX79" s="412"/>
      <c r="FY79" s="412"/>
      <c r="FZ79" s="412"/>
      <c r="GA79" s="412"/>
      <c r="GB79" s="412"/>
      <c r="GC79" s="412"/>
      <c r="GD79" s="412"/>
      <c r="GE79" s="412"/>
      <c r="GF79" s="412"/>
      <c r="GG79" s="412"/>
      <c r="GH79" s="412"/>
      <c r="GI79" s="412"/>
      <c r="GJ79" s="412"/>
      <c r="GK79" s="412"/>
      <c r="GL79" s="412"/>
      <c r="GM79" s="412"/>
      <c r="GN79" s="412"/>
      <c r="GO79" s="412"/>
      <c r="GP79" s="412"/>
      <c r="GQ79" s="412"/>
      <c r="GR79" s="412"/>
      <c r="GS79" s="412"/>
      <c r="GT79" s="412"/>
      <c r="GU79" s="412"/>
      <c r="GV79" s="412"/>
      <c r="GW79" s="412"/>
      <c r="GX79" s="412"/>
      <c r="GY79" s="412"/>
      <c r="GZ79" s="412"/>
      <c r="HA79" s="412"/>
      <c r="HB79" s="412"/>
      <c r="HC79" s="412"/>
      <c r="HD79" s="412"/>
      <c r="HE79" s="412"/>
      <c r="HF79" s="412"/>
      <c r="HG79" s="412"/>
      <c r="HH79" s="412"/>
      <c r="HI79" s="412"/>
      <c r="HJ79" s="412"/>
      <c r="HK79" s="412"/>
      <c r="HL79" s="412"/>
      <c r="HM79" s="412"/>
      <c r="HN79" s="412"/>
      <c r="HO79" s="412"/>
      <c r="HP79" s="412"/>
      <c r="HQ79" s="412"/>
      <c r="HR79" s="412"/>
      <c r="HS79" s="412"/>
      <c r="HT79" s="412"/>
      <c r="HU79" s="412"/>
      <c r="HV79" s="412"/>
      <c r="HW79" s="412"/>
      <c r="HX79" s="412"/>
      <c r="HY79" s="412"/>
      <c r="HZ79" s="412"/>
      <c r="IA79" s="412"/>
      <c r="IB79" s="412"/>
      <c r="IC79" s="412"/>
      <c r="ID79" s="412"/>
      <c r="IE79" s="412"/>
      <c r="IF79" s="412"/>
      <c r="IG79" s="412"/>
      <c r="IH79" s="412"/>
      <c r="II79" s="412"/>
      <c r="IJ79" s="412"/>
      <c r="IK79" s="412"/>
      <c r="IL79" s="412"/>
      <c r="IM79" s="412"/>
      <c r="IN79" s="412"/>
      <c r="IO79" s="412"/>
      <c r="IP79" s="412"/>
      <c r="IQ79" s="412"/>
      <c r="IR79" s="412"/>
      <c r="IS79" s="412"/>
      <c r="IT79" s="412"/>
      <c r="IU79" s="412"/>
      <c r="IV79" s="412"/>
      <c r="IW79" s="412"/>
      <c r="IX79" s="412"/>
      <c r="IY79" s="412"/>
      <c r="IZ79" s="412"/>
      <c r="JA79" s="412"/>
      <c r="JB79" s="412"/>
      <c r="JC79" s="412"/>
      <c r="JD79" s="412"/>
      <c r="JE79" s="412"/>
      <c r="JF79" s="412"/>
      <c r="JG79" s="412"/>
      <c r="JH79" s="412"/>
      <c r="JI79" s="412"/>
      <c r="JJ79" s="412"/>
      <c r="JK79" s="412"/>
      <c r="JL79" s="412"/>
      <c r="JM79" s="412"/>
      <c r="JN79" s="412"/>
      <c r="JO79" s="412"/>
      <c r="JP79" s="412"/>
      <c r="JQ79" s="412"/>
      <c r="JR79" s="412"/>
      <c r="JS79" s="412"/>
      <c r="JT79" s="412"/>
      <c r="JU79" s="412"/>
      <c r="JV79" s="412"/>
      <c r="JW79" s="412"/>
      <c r="JX79" s="412"/>
      <c r="JY79" s="412"/>
      <c r="JZ79" s="412"/>
      <c r="KA79" s="412"/>
      <c r="KB79" s="412"/>
      <c r="KC79" s="412"/>
      <c r="KD79" s="412"/>
      <c r="KE79" s="412"/>
      <c r="KF79" s="412"/>
      <c r="KG79" s="412"/>
      <c r="KH79" s="412"/>
      <c r="KI79" s="412"/>
      <c r="KJ79" s="412"/>
      <c r="KK79" s="412"/>
      <c r="KL79" s="412"/>
      <c r="KM79" s="412"/>
      <c r="KN79" s="412"/>
      <c r="KO79" s="412"/>
      <c r="KP79" s="412"/>
      <c r="KQ79" s="412"/>
      <c r="KR79" s="412"/>
      <c r="KS79" s="412"/>
      <c r="KT79" s="412"/>
      <c r="KU79" s="412"/>
      <c r="KV79" s="412"/>
      <c r="KW79" s="412"/>
      <c r="KX79" s="412"/>
      <c r="KY79" s="412"/>
      <c r="KZ79" s="412"/>
      <c r="LA79" s="412"/>
      <c r="LB79" s="412"/>
      <c r="LC79" s="412"/>
      <c r="LD79" s="412"/>
      <c r="LE79" s="412"/>
      <c r="LF79" s="412"/>
      <c r="LG79" s="412"/>
      <c r="LH79" s="412"/>
      <c r="LI79" s="412"/>
      <c r="LJ79" s="412"/>
      <c r="LK79" s="412"/>
      <c r="LL79" s="412"/>
      <c r="LM79" s="412"/>
      <c r="LN79" s="412"/>
      <c r="LO79" s="412"/>
      <c r="LP79" s="412"/>
      <c r="LQ79" s="412"/>
      <c r="LR79" s="412"/>
      <c r="LS79" s="412"/>
      <c r="LT79" s="412"/>
      <c r="LU79" s="412"/>
      <c r="LV79" s="412"/>
      <c r="LW79" s="412"/>
      <c r="LX79" s="412"/>
      <c r="LY79" s="412"/>
      <c r="LZ79" s="412"/>
      <c r="MA79" s="412"/>
      <c r="MB79" s="412"/>
      <c r="MC79" s="412"/>
      <c r="MD79" s="412"/>
      <c r="ME79" s="412"/>
      <c r="MF79" s="412"/>
      <c r="MG79" s="412"/>
      <c r="MH79" s="412"/>
      <c r="MI79" s="412"/>
      <c r="MJ79" s="412"/>
      <c r="MK79" s="412"/>
      <c r="ML79" s="412"/>
      <c r="MM79" s="412"/>
      <c r="MN79" s="412"/>
      <c r="MO79" s="412"/>
      <c r="MP79" s="412"/>
      <c r="MQ79" s="412"/>
      <c r="MR79" s="412"/>
      <c r="MS79" s="412"/>
      <c r="MT79" s="412"/>
      <c r="MU79" s="412"/>
      <c r="MV79" s="412"/>
      <c r="MW79" s="412"/>
      <c r="MX79" s="412"/>
      <c r="MY79" s="412"/>
      <c r="MZ79" s="412"/>
      <c r="NA79" s="412"/>
      <c r="NB79" s="412"/>
      <c r="NC79" s="412"/>
      <c r="ND79" s="412"/>
      <c r="NE79" s="412"/>
      <c r="NF79" s="412"/>
      <c r="NG79" s="412"/>
      <c r="NH79" s="412"/>
      <c r="NI79" s="412"/>
      <c r="NJ79" s="412"/>
      <c r="NK79" s="412"/>
      <c r="NL79" s="412"/>
      <c r="NM79" s="412"/>
      <c r="NN79" s="412"/>
      <c r="NO79" s="412"/>
      <c r="NP79" s="412"/>
      <c r="NQ79" s="412"/>
      <c r="NR79" s="412"/>
      <c r="NS79" s="412"/>
      <c r="NT79" s="412"/>
      <c r="NU79" s="412"/>
      <c r="NV79" s="412"/>
      <c r="NW79" s="412"/>
      <c r="NX79" s="412"/>
      <c r="NY79" s="412"/>
      <c r="NZ79" s="412"/>
      <c r="OA79" s="412"/>
      <c r="OB79" s="412"/>
      <c r="OC79" s="412"/>
      <c r="OD79" s="412"/>
      <c r="OE79" s="412"/>
      <c r="OF79" s="412"/>
      <c r="OG79" s="412"/>
      <c r="OH79" s="412"/>
      <c r="OI79" s="412"/>
      <c r="OJ79" s="412"/>
      <c r="OK79" s="412"/>
      <c r="OL79" s="412"/>
      <c r="OM79" s="412"/>
      <c r="ON79" s="412"/>
      <c r="OO79" s="412"/>
      <c r="OP79" s="412"/>
      <c r="OQ79" s="412"/>
      <c r="OR79" s="412"/>
      <c r="OS79" s="412"/>
      <c r="OT79" s="412"/>
      <c r="OU79" s="412"/>
      <c r="OV79" s="412"/>
      <c r="OW79" s="412"/>
      <c r="OX79" s="412"/>
      <c r="OY79" s="412"/>
      <c r="OZ79" s="412"/>
      <c r="PA79" s="412"/>
      <c r="PB79" s="412"/>
      <c r="PC79" s="412"/>
      <c r="PD79" s="412"/>
      <c r="PE79" s="412"/>
      <c r="PF79" s="412"/>
      <c r="PG79" s="412"/>
      <c r="PH79" s="412"/>
      <c r="PI79" s="412"/>
      <c r="PJ79" s="412"/>
      <c r="PK79" s="412"/>
      <c r="PL79" s="412"/>
      <c r="PM79" s="412"/>
      <c r="PN79" s="412"/>
      <c r="PO79" s="412"/>
      <c r="PP79" s="412"/>
      <c r="PQ79" s="412"/>
      <c r="PR79" s="412"/>
      <c r="PS79" s="412"/>
      <c r="PT79" s="412"/>
      <c r="PU79" s="412"/>
      <c r="PV79" s="412"/>
      <c r="PW79" s="412"/>
      <c r="PX79" s="412"/>
      <c r="PY79" s="412"/>
      <c r="PZ79" s="412"/>
      <c r="QA79" s="412"/>
      <c r="QB79" s="412"/>
      <c r="QC79" s="412"/>
      <c r="QD79" s="412"/>
      <c r="QE79" s="412"/>
      <c r="QF79" s="412"/>
      <c r="QG79" s="412"/>
      <c r="QH79" s="412"/>
      <c r="QI79" s="412"/>
      <c r="QJ79" s="412"/>
      <c r="QK79" s="412"/>
      <c r="QL79" s="412"/>
      <c r="QM79" s="412"/>
      <c r="QN79" s="412"/>
      <c r="QO79" s="412"/>
      <c r="QP79" s="412"/>
      <c r="QQ79" s="412"/>
      <c r="QR79" s="412"/>
      <c r="QS79" s="412"/>
      <c r="QT79" s="412"/>
      <c r="QU79" s="412"/>
      <c r="QV79" s="412"/>
      <c r="QW79" s="412"/>
      <c r="QX79" s="412"/>
      <c r="QY79" s="412"/>
      <c r="QZ79" s="412"/>
      <c r="RA79" s="412"/>
      <c r="RB79" s="412"/>
      <c r="RC79" s="412"/>
      <c r="RD79" s="412"/>
      <c r="RE79" s="412"/>
      <c r="RF79" s="412"/>
      <c r="RG79" s="412"/>
      <c r="RH79" s="412"/>
      <c r="RI79" s="412"/>
      <c r="RJ79" s="412"/>
      <c r="RK79" s="412"/>
      <c r="RL79" s="412"/>
      <c r="RM79" s="412"/>
      <c r="RN79" s="412"/>
      <c r="RO79" s="412"/>
      <c r="RP79" s="412"/>
      <c r="RQ79" s="412"/>
      <c r="RR79" s="412"/>
      <c r="RS79" s="412"/>
      <c r="RT79" s="412"/>
      <c r="RU79" s="412"/>
      <c r="RV79" s="412"/>
      <c r="RW79" s="412"/>
      <c r="RX79" s="412"/>
      <c r="RY79" s="412"/>
      <c r="RZ79" s="412"/>
      <c r="SA79" s="412"/>
      <c r="SB79" s="412"/>
      <c r="SC79" s="412"/>
      <c r="SD79" s="412"/>
      <c r="SE79" s="412"/>
      <c r="SF79" s="412"/>
      <c r="SG79" s="412"/>
      <c r="SH79" s="412"/>
      <c r="SI79" s="412"/>
      <c r="SJ79" s="412"/>
      <c r="SK79" s="412"/>
      <c r="SL79" s="412"/>
      <c r="SM79" s="412"/>
      <c r="SN79" s="412"/>
      <c r="SO79" s="412"/>
      <c r="SP79" s="412"/>
      <c r="SQ79" s="412"/>
      <c r="SR79" s="412"/>
      <c r="SS79" s="412"/>
      <c r="ST79" s="412"/>
      <c r="SU79" s="412"/>
      <c r="SV79" s="412"/>
      <c r="SW79" s="412"/>
      <c r="SX79" s="412"/>
      <c r="SY79" s="412"/>
      <c r="SZ79" s="412"/>
      <c r="TA79" s="412"/>
      <c r="TB79" s="412"/>
      <c r="TC79" s="412"/>
      <c r="TD79" s="412"/>
      <c r="TE79" s="412"/>
      <c r="TF79" s="412"/>
      <c r="TG79" s="412"/>
      <c r="TH79" s="412"/>
      <c r="TI79" s="412"/>
      <c r="TJ79" s="412"/>
      <c r="TK79" s="412"/>
      <c r="TL79" s="412"/>
      <c r="TM79" s="412"/>
      <c r="TN79" s="412"/>
      <c r="TO79" s="412"/>
      <c r="TP79" s="412"/>
      <c r="TQ79" s="412"/>
      <c r="TR79" s="412"/>
      <c r="TS79" s="412"/>
      <c r="TT79" s="412"/>
      <c r="TU79" s="412"/>
      <c r="TV79" s="412"/>
      <c r="TW79" s="412"/>
      <c r="TX79" s="412"/>
      <c r="TY79" s="412"/>
      <c r="TZ79" s="412"/>
      <c r="UA79" s="412"/>
      <c r="UB79" s="412"/>
      <c r="UC79" s="412"/>
      <c r="UD79" s="412"/>
      <c r="UE79" s="412"/>
      <c r="UF79" s="412"/>
      <c r="UG79" s="412"/>
      <c r="UH79" s="412"/>
      <c r="UI79" s="412"/>
      <c r="UJ79" s="412"/>
      <c r="UK79" s="412"/>
      <c r="UL79" s="412"/>
      <c r="UM79" s="412"/>
      <c r="UN79" s="412"/>
      <c r="UO79" s="412"/>
      <c r="UP79" s="412"/>
      <c r="UQ79" s="412"/>
      <c r="UR79" s="412"/>
      <c r="US79" s="412"/>
      <c r="UT79" s="412"/>
      <c r="UU79" s="412"/>
      <c r="UV79" s="412"/>
      <c r="UW79" s="412"/>
      <c r="UX79" s="412"/>
      <c r="UY79" s="412"/>
      <c r="UZ79" s="412"/>
      <c r="VA79" s="412"/>
      <c r="VB79" s="412"/>
      <c r="VC79" s="412"/>
      <c r="VD79" s="412"/>
      <c r="VE79" s="412"/>
      <c r="VF79" s="412"/>
      <c r="VG79" s="412"/>
      <c r="VH79" s="412"/>
      <c r="VI79" s="412"/>
      <c r="VJ79" s="412"/>
      <c r="VK79" s="412"/>
      <c r="VL79" s="412"/>
      <c r="VM79" s="412"/>
      <c r="VN79" s="412"/>
      <c r="VO79" s="412"/>
      <c r="VP79" s="412"/>
      <c r="VQ79" s="412"/>
      <c r="VR79" s="412"/>
      <c r="VS79" s="412"/>
      <c r="VT79" s="412"/>
      <c r="VU79" s="412"/>
      <c r="VV79" s="412"/>
      <c r="VW79" s="412"/>
      <c r="VX79" s="412"/>
      <c r="VY79" s="412"/>
      <c r="VZ79" s="412"/>
      <c r="WA79" s="412"/>
      <c r="WB79" s="412"/>
      <c r="WC79" s="412"/>
      <c r="WD79" s="412"/>
      <c r="WE79" s="412"/>
      <c r="WF79" s="412"/>
      <c r="WG79" s="412"/>
      <c r="WH79" s="412"/>
      <c r="WI79" s="412"/>
      <c r="WJ79" s="412"/>
      <c r="WK79" s="412"/>
      <c r="WL79" s="412"/>
      <c r="WM79" s="412"/>
      <c r="WN79" s="412"/>
      <c r="WO79" s="412"/>
      <c r="WP79" s="412"/>
      <c r="WQ79" s="412"/>
      <c r="WR79" s="412"/>
      <c r="WS79" s="412"/>
      <c r="WT79" s="412"/>
      <c r="WU79" s="412"/>
      <c r="WV79" s="412"/>
      <c r="WW79" s="412"/>
      <c r="WX79" s="412"/>
      <c r="WY79" s="412"/>
      <c r="WZ79" s="412"/>
      <c r="XA79" s="412"/>
      <c r="XB79" s="412"/>
      <c r="XC79" s="412"/>
      <c r="XD79" s="412"/>
      <c r="XE79" s="412"/>
      <c r="XF79" s="412"/>
      <c r="XG79" s="412"/>
      <c r="XH79" s="412"/>
      <c r="XI79" s="412"/>
      <c r="XJ79" s="412"/>
      <c r="XK79" s="412"/>
      <c r="XL79" s="412"/>
      <c r="XM79" s="412"/>
      <c r="XN79" s="412"/>
      <c r="XO79" s="412"/>
      <c r="XP79" s="412"/>
      <c r="XQ79" s="412"/>
      <c r="XR79" s="412"/>
      <c r="XS79" s="412"/>
      <c r="XT79" s="412"/>
      <c r="XU79" s="412"/>
      <c r="XV79" s="412"/>
      <c r="XW79" s="412"/>
      <c r="XX79" s="412"/>
      <c r="XY79" s="412"/>
      <c r="XZ79" s="412"/>
      <c r="YA79" s="412"/>
      <c r="YB79" s="412"/>
      <c r="YC79" s="412"/>
      <c r="YD79" s="412"/>
      <c r="YE79" s="412"/>
      <c r="YF79" s="412"/>
      <c r="YG79" s="412"/>
      <c r="YH79" s="412"/>
      <c r="YI79" s="412"/>
      <c r="YJ79" s="412"/>
      <c r="YK79" s="412"/>
      <c r="YL79" s="412"/>
      <c r="YM79" s="412"/>
      <c r="YN79" s="412"/>
      <c r="YO79" s="412"/>
      <c r="YP79" s="412"/>
      <c r="YQ79" s="412"/>
      <c r="YR79" s="412"/>
      <c r="YS79" s="412"/>
      <c r="YT79" s="412"/>
      <c r="YU79" s="412"/>
      <c r="YV79" s="412"/>
      <c r="YW79" s="412"/>
      <c r="YX79" s="412"/>
      <c r="YY79" s="412"/>
      <c r="YZ79" s="412"/>
      <c r="ZA79" s="412"/>
      <c r="ZB79" s="412"/>
      <c r="ZC79" s="412"/>
      <c r="ZD79" s="412"/>
      <c r="ZE79" s="412"/>
      <c r="ZF79" s="412"/>
      <c r="ZG79" s="412"/>
      <c r="ZH79" s="412"/>
      <c r="ZI79" s="412"/>
      <c r="ZJ79" s="412"/>
      <c r="ZK79" s="412"/>
      <c r="ZL79" s="412"/>
      <c r="ZM79" s="412"/>
      <c r="ZN79" s="412"/>
      <c r="ZO79" s="412"/>
      <c r="ZP79" s="412"/>
      <c r="ZQ79" s="412"/>
      <c r="ZR79" s="412"/>
      <c r="ZS79" s="412"/>
      <c r="ZT79" s="412"/>
      <c r="ZU79" s="412"/>
      <c r="ZV79" s="412"/>
      <c r="ZW79" s="412"/>
      <c r="ZX79" s="412"/>
      <c r="ZY79" s="412"/>
      <c r="ZZ79" s="412"/>
      <c r="AAA79" s="412"/>
      <c r="AAB79" s="412"/>
      <c r="AAC79" s="412"/>
      <c r="AAD79" s="412"/>
      <c r="AAE79" s="412"/>
      <c r="AAF79" s="412"/>
      <c r="AAG79" s="412"/>
      <c r="AAH79" s="412"/>
      <c r="AAI79" s="412"/>
      <c r="AAJ79" s="412"/>
      <c r="AAK79" s="412"/>
      <c r="AAL79" s="412"/>
      <c r="AAM79" s="412"/>
      <c r="AAN79" s="412"/>
      <c r="AAO79" s="412"/>
      <c r="AAP79" s="412"/>
      <c r="AAQ79" s="412"/>
      <c r="AAR79" s="412"/>
      <c r="AAS79" s="412"/>
      <c r="AAT79" s="412"/>
      <c r="AAU79" s="412"/>
      <c r="AAV79" s="412"/>
      <c r="AAW79" s="412"/>
      <c r="AAX79" s="412"/>
      <c r="AAY79" s="412"/>
      <c r="AAZ79" s="412"/>
      <c r="ABA79" s="412"/>
      <c r="ABB79" s="412"/>
      <c r="ABC79" s="412"/>
      <c r="ABD79" s="412"/>
      <c r="ABE79" s="412"/>
      <c r="ABF79" s="412"/>
      <c r="ABG79" s="412"/>
      <c r="ABH79" s="412"/>
      <c r="ABI79" s="412"/>
      <c r="ABJ79" s="412"/>
      <c r="ABK79" s="412"/>
      <c r="ABL79" s="412"/>
      <c r="ABM79" s="412"/>
      <c r="ABN79" s="412"/>
      <c r="ABO79" s="412"/>
      <c r="ABP79" s="412"/>
      <c r="ABQ79" s="412"/>
      <c r="ABR79" s="412"/>
      <c r="ABS79" s="412"/>
      <c r="ABT79" s="412"/>
      <c r="ABU79" s="412"/>
      <c r="ABV79" s="412"/>
      <c r="ABW79" s="412"/>
      <c r="ABX79" s="412"/>
      <c r="ABY79" s="412"/>
      <c r="ABZ79" s="412"/>
      <c r="ACA79" s="412"/>
      <c r="ACB79" s="412"/>
      <c r="ACC79" s="412"/>
      <c r="ACD79" s="412"/>
      <c r="ACE79" s="412"/>
      <c r="ACF79" s="412"/>
      <c r="ACG79" s="412"/>
      <c r="ACH79" s="412"/>
      <c r="ACI79" s="412"/>
      <c r="ACJ79" s="412"/>
      <c r="ACK79" s="412"/>
      <c r="ACL79" s="412"/>
      <c r="ACM79" s="412"/>
      <c r="ACN79" s="412"/>
      <c r="ACO79" s="412"/>
      <c r="ACP79" s="412"/>
      <c r="ACQ79" s="412"/>
      <c r="ACR79" s="412"/>
      <c r="ACS79" s="412"/>
      <c r="ACT79" s="412"/>
      <c r="ACU79" s="412"/>
      <c r="ACV79" s="412"/>
      <c r="ACW79" s="412"/>
      <c r="ACX79" s="412"/>
      <c r="ACY79" s="412"/>
      <c r="ACZ79" s="412"/>
      <c r="ADA79" s="412"/>
      <c r="ADB79" s="412"/>
      <c r="ADC79" s="412"/>
      <c r="ADD79" s="412"/>
      <c r="ADE79" s="412"/>
      <c r="ADF79" s="412"/>
      <c r="ADG79" s="412"/>
      <c r="ADH79" s="412"/>
      <c r="ADI79" s="412"/>
      <c r="ADJ79" s="412"/>
      <c r="ADK79" s="412"/>
      <c r="ADL79" s="412"/>
      <c r="ADM79" s="412"/>
      <c r="ADN79" s="412"/>
      <c r="ADO79" s="412"/>
      <c r="ADP79" s="412"/>
      <c r="ADQ79" s="412"/>
      <c r="ADR79" s="412"/>
      <c r="ADS79" s="412"/>
      <c r="ADT79" s="412"/>
      <c r="ADU79" s="412"/>
      <c r="ADV79" s="412"/>
      <c r="ADW79" s="412"/>
      <c r="ADX79" s="412"/>
      <c r="ADY79" s="412"/>
      <c r="ADZ79" s="412"/>
      <c r="AEA79" s="412"/>
      <c r="AEB79" s="412"/>
      <c r="AEC79" s="412"/>
      <c r="AED79" s="412"/>
      <c r="AEE79" s="412"/>
      <c r="AEF79" s="412"/>
      <c r="AEG79" s="412"/>
      <c r="AEH79" s="412"/>
      <c r="AEI79" s="412"/>
      <c r="AEJ79" s="412"/>
      <c r="AEK79" s="412"/>
      <c r="AEL79" s="412"/>
      <c r="AEM79" s="412"/>
      <c r="AEN79" s="412"/>
      <c r="AEO79" s="412"/>
      <c r="AEP79" s="412"/>
      <c r="AEQ79" s="412"/>
      <c r="AER79" s="412"/>
      <c r="AES79" s="412"/>
      <c r="AET79" s="412"/>
      <c r="AEU79" s="412"/>
      <c r="AEV79" s="412"/>
      <c r="AEW79" s="412"/>
      <c r="AEX79" s="412"/>
      <c r="AEY79" s="412"/>
      <c r="AEZ79" s="412"/>
      <c r="AFA79" s="412"/>
      <c r="AFB79" s="412"/>
      <c r="AFC79" s="412"/>
      <c r="AFD79" s="412"/>
      <c r="AFE79" s="412"/>
      <c r="AFF79" s="412"/>
      <c r="AFG79" s="412"/>
      <c r="AFH79" s="412"/>
      <c r="AFI79" s="412"/>
      <c r="AFJ79" s="412"/>
      <c r="AFK79" s="412"/>
      <c r="AFL79" s="412"/>
      <c r="AFM79" s="412"/>
      <c r="AFN79" s="412"/>
      <c r="AFO79" s="412"/>
      <c r="AFP79" s="412"/>
      <c r="AFQ79" s="412"/>
      <c r="AFR79" s="412"/>
      <c r="AFS79" s="412"/>
      <c r="AFT79" s="412"/>
      <c r="AFU79" s="412"/>
      <c r="AFV79" s="412"/>
      <c r="AFW79" s="412"/>
      <c r="AFX79" s="412"/>
      <c r="AFY79" s="412"/>
      <c r="AFZ79" s="412"/>
      <c r="AGA79" s="412"/>
      <c r="AGB79" s="412"/>
      <c r="AGC79" s="412"/>
      <c r="AGD79" s="412"/>
      <c r="AGE79" s="412"/>
      <c r="AGF79" s="412"/>
      <c r="AGG79" s="412"/>
      <c r="AGH79" s="412"/>
      <c r="AGI79" s="412"/>
      <c r="AGJ79" s="412"/>
      <c r="AGK79" s="412"/>
      <c r="AGL79" s="412"/>
      <c r="AGM79" s="412"/>
      <c r="AGN79" s="412"/>
      <c r="AGO79" s="412"/>
      <c r="AGP79" s="412"/>
      <c r="AGQ79" s="412"/>
      <c r="AGR79" s="412"/>
      <c r="AGS79" s="412"/>
      <c r="AGT79" s="412"/>
      <c r="AGU79" s="412"/>
      <c r="AGV79" s="412"/>
      <c r="AGW79" s="412"/>
      <c r="AGX79" s="412"/>
      <c r="AGY79" s="412"/>
      <c r="AGZ79" s="412"/>
      <c r="AHA79" s="412"/>
      <c r="AHB79" s="412"/>
      <c r="AHC79" s="412"/>
      <c r="AHD79" s="412"/>
      <c r="AHE79" s="412"/>
      <c r="AHF79" s="412"/>
      <c r="AHG79" s="412"/>
      <c r="AHH79" s="412"/>
      <c r="AHI79" s="412"/>
      <c r="AHJ79" s="412"/>
      <c r="AHK79" s="412"/>
      <c r="AHL79" s="412"/>
      <c r="AHM79" s="412"/>
      <c r="AHN79" s="412"/>
      <c r="AHO79" s="412"/>
      <c r="AHP79" s="412"/>
      <c r="AHQ79" s="412"/>
      <c r="AHR79" s="412"/>
      <c r="AHS79" s="412"/>
      <c r="AHT79" s="412"/>
      <c r="AHU79" s="412"/>
      <c r="AHV79" s="412"/>
      <c r="AHW79" s="412"/>
      <c r="AHX79" s="412"/>
      <c r="AHY79" s="412"/>
      <c r="AHZ79" s="412"/>
      <c r="AIA79" s="412"/>
      <c r="AIB79" s="412"/>
      <c r="AIC79" s="412"/>
      <c r="AID79" s="412"/>
      <c r="AIE79" s="412"/>
      <c r="AIF79" s="412"/>
      <c r="AIG79" s="412"/>
      <c r="AIH79" s="412"/>
      <c r="AII79" s="412"/>
      <c r="AIJ79" s="412"/>
      <c r="AIK79" s="412"/>
      <c r="AIL79" s="412"/>
      <c r="AIM79" s="412"/>
      <c r="AIN79" s="412"/>
      <c r="AIO79" s="412"/>
      <c r="AIP79" s="412"/>
      <c r="AIQ79" s="412"/>
      <c r="AIR79" s="412"/>
      <c r="AIS79" s="412"/>
      <c r="AIT79" s="412"/>
      <c r="AIU79" s="412"/>
      <c r="AIV79" s="412"/>
      <c r="AIW79" s="412"/>
      <c r="AIX79" s="412"/>
      <c r="AIY79" s="412"/>
      <c r="AIZ79" s="412"/>
      <c r="AJA79" s="412"/>
      <c r="AJB79" s="412"/>
      <c r="AJC79" s="412"/>
      <c r="AJD79" s="412"/>
      <c r="AJE79" s="412"/>
      <c r="AJF79" s="412"/>
      <c r="AJG79" s="412"/>
      <c r="AJH79" s="412"/>
      <c r="AJI79" s="412"/>
      <c r="AJJ79" s="412"/>
      <c r="AJK79" s="412"/>
      <c r="AJL79" s="412"/>
      <c r="AJM79" s="412"/>
      <c r="AJN79" s="412"/>
      <c r="AJO79" s="412"/>
      <c r="AJP79" s="412"/>
      <c r="AJQ79" s="412"/>
      <c r="AJR79" s="412"/>
      <c r="AJS79" s="412"/>
      <c r="AJT79" s="412"/>
      <c r="AJU79" s="412"/>
      <c r="AJV79" s="412"/>
      <c r="AJW79" s="412"/>
      <c r="AJX79" s="412"/>
      <c r="AJY79" s="412"/>
      <c r="AJZ79" s="412"/>
      <c r="AKA79" s="412"/>
      <c r="AKB79" s="412"/>
      <c r="AKC79" s="412"/>
      <c r="AKD79" s="412"/>
      <c r="AKE79" s="412"/>
      <c r="AKF79" s="412"/>
      <c r="AKG79" s="412"/>
      <c r="AKH79" s="412"/>
      <c r="AKI79" s="412"/>
      <c r="AKJ79" s="412"/>
      <c r="AKK79" s="412"/>
      <c r="AKL79" s="412"/>
      <c r="AKM79" s="412"/>
      <c r="AKN79" s="412"/>
      <c r="AKO79" s="412"/>
      <c r="AKP79" s="412"/>
      <c r="AKQ79" s="412"/>
      <c r="AKR79" s="412"/>
      <c r="AKS79" s="412"/>
      <c r="AKT79" s="412"/>
      <c r="AKU79" s="412"/>
      <c r="AKV79" s="412"/>
      <c r="AKW79" s="412"/>
      <c r="AKX79" s="412"/>
      <c r="AKY79" s="412"/>
      <c r="AKZ79" s="412"/>
      <c r="ALA79" s="412"/>
      <c r="ALB79" s="412"/>
      <c r="ALC79" s="412"/>
      <c r="ALD79" s="412"/>
      <c r="ALE79" s="412"/>
      <c r="ALF79" s="412"/>
      <c r="ALG79" s="412"/>
      <c r="ALH79" s="412"/>
      <c r="ALI79" s="412"/>
      <c r="ALJ79" s="412"/>
      <c r="ALK79" s="412"/>
      <c r="ALL79" s="412"/>
      <c r="ALM79" s="412"/>
      <c r="ALN79" s="412"/>
      <c r="ALO79" s="412"/>
      <c r="ALP79" s="412"/>
      <c r="ALQ79" s="412"/>
      <c r="ALR79" s="412"/>
      <c r="ALS79" s="412"/>
      <c r="ALT79" s="412"/>
      <c r="ALU79" s="412"/>
      <c r="ALV79" s="412"/>
      <c r="ALW79" s="412"/>
      <c r="ALX79" s="412"/>
      <c r="ALY79" s="412"/>
      <c r="ALZ79" s="412"/>
      <c r="AMA79" s="412"/>
      <c r="AMB79" s="412"/>
      <c r="AMC79" s="412"/>
      <c r="AMD79" s="412"/>
      <c r="AME79" s="412"/>
      <c r="AMF79" s="412"/>
      <c r="AMG79" s="412"/>
      <c r="AMH79" s="412"/>
      <c r="AMI79" s="412"/>
      <c r="AMJ79" s="412"/>
      <c r="AMK79" s="412"/>
      <c r="AML79" s="412"/>
      <c r="AMM79" s="412"/>
      <c r="AMN79" s="412"/>
      <c r="AMO79" s="412"/>
      <c r="AMP79" s="412"/>
      <c r="AMQ79" s="412"/>
      <c r="AMR79" s="412"/>
      <c r="AMS79" s="412"/>
      <c r="AMT79" s="412"/>
      <c r="AMU79" s="412"/>
      <c r="AMV79" s="412"/>
      <c r="AMW79" s="412"/>
      <c r="AMX79" s="412"/>
      <c r="AMY79" s="412"/>
      <c r="AMZ79" s="412"/>
      <c r="ANA79" s="412"/>
      <c r="ANB79" s="412"/>
      <c r="ANC79" s="412"/>
      <c r="AND79" s="412"/>
      <c r="ANE79" s="412"/>
      <c r="ANF79" s="412"/>
      <c r="ANG79" s="412"/>
      <c r="ANH79" s="412"/>
      <c r="ANI79" s="412"/>
      <c r="ANJ79" s="412"/>
      <c r="ANK79" s="412"/>
      <c r="ANL79" s="412"/>
      <c r="ANM79" s="412"/>
      <c r="ANN79" s="412"/>
      <c r="ANO79" s="412"/>
      <c r="ANP79" s="412"/>
      <c r="ANQ79" s="412"/>
      <c r="ANR79" s="412"/>
      <c r="ANS79" s="412"/>
      <c r="ANT79" s="412"/>
      <c r="ANU79" s="412"/>
      <c r="ANV79" s="412"/>
      <c r="ANW79" s="412"/>
      <c r="ANX79" s="412"/>
      <c r="ANY79" s="412"/>
      <c r="ANZ79" s="412"/>
      <c r="AOA79" s="412"/>
      <c r="AOB79" s="412"/>
      <c r="AOC79" s="412"/>
      <c r="AOD79" s="412"/>
      <c r="AOE79" s="412"/>
      <c r="AOF79" s="412"/>
      <c r="AOG79" s="412"/>
      <c r="AOH79" s="412"/>
      <c r="AOI79" s="412"/>
      <c r="AOJ79" s="412"/>
      <c r="AOK79" s="412"/>
      <c r="AOL79" s="412"/>
      <c r="AOM79" s="412"/>
      <c r="AON79" s="412"/>
      <c r="AOO79" s="412"/>
      <c r="AOP79" s="412"/>
      <c r="AOQ79" s="412"/>
      <c r="AOR79" s="412"/>
      <c r="AOS79" s="412"/>
      <c r="AOT79" s="412"/>
      <c r="AOU79" s="412"/>
      <c r="AOV79" s="412"/>
      <c r="AOW79" s="412"/>
      <c r="AOX79" s="412"/>
      <c r="AOY79" s="412"/>
      <c r="AOZ79" s="412"/>
      <c r="APA79" s="412"/>
      <c r="APB79" s="412"/>
      <c r="APC79" s="412"/>
      <c r="APD79" s="412"/>
      <c r="APE79" s="412"/>
      <c r="APF79" s="412"/>
      <c r="APG79" s="412"/>
      <c r="APH79" s="412"/>
      <c r="API79" s="412"/>
      <c r="APJ79" s="412"/>
      <c r="APK79" s="412"/>
      <c r="APL79" s="412"/>
      <c r="APM79" s="412"/>
      <c r="APN79" s="412"/>
      <c r="APO79" s="412"/>
      <c r="APP79" s="412"/>
      <c r="APQ79" s="412"/>
      <c r="APR79" s="412"/>
      <c r="APS79" s="412"/>
      <c r="APT79" s="412"/>
      <c r="APU79" s="412"/>
      <c r="APV79" s="412"/>
      <c r="APW79" s="412"/>
      <c r="APX79" s="412"/>
      <c r="APY79" s="412"/>
      <c r="APZ79" s="412"/>
      <c r="AQA79" s="412"/>
      <c r="AQB79" s="412"/>
      <c r="AQC79" s="412"/>
      <c r="AQD79" s="412"/>
      <c r="AQE79" s="412"/>
      <c r="AQF79" s="412"/>
      <c r="AQG79" s="412"/>
      <c r="AQH79" s="412"/>
      <c r="AQI79" s="412"/>
      <c r="AQJ79" s="412"/>
      <c r="AQK79" s="412"/>
      <c r="AQL79" s="412"/>
      <c r="AQM79" s="412"/>
      <c r="AQN79" s="412"/>
      <c r="AQO79" s="412"/>
      <c r="AQP79" s="412"/>
      <c r="AQQ79" s="412"/>
      <c r="AQR79" s="412"/>
      <c r="AQS79" s="412"/>
      <c r="AQT79" s="412"/>
      <c r="AQU79" s="412"/>
      <c r="AQV79" s="412"/>
      <c r="AQW79" s="412"/>
      <c r="AQX79" s="412"/>
      <c r="AQY79" s="412"/>
      <c r="AQZ79" s="412"/>
      <c r="ARA79" s="412"/>
      <c r="ARB79" s="412"/>
      <c r="ARC79" s="412"/>
      <c r="ARD79" s="412"/>
      <c r="ARE79" s="412"/>
      <c r="ARF79" s="412"/>
      <c r="ARG79" s="412"/>
      <c r="ARH79" s="412"/>
      <c r="ARI79" s="412"/>
      <c r="ARJ79" s="412"/>
      <c r="ARK79" s="412"/>
      <c r="ARL79" s="412"/>
      <c r="ARM79" s="412"/>
      <c r="ARN79" s="412"/>
      <c r="ARO79" s="412"/>
      <c r="ARP79" s="412"/>
      <c r="ARQ79" s="412"/>
      <c r="ARR79" s="412"/>
      <c r="ARS79" s="412"/>
      <c r="ART79" s="412"/>
      <c r="ARU79" s="412"/>
      <c r="ARV79" s="412"/>
      <c r="ARW79" s="412"/>
      <c r="ARX79" s="412"/>
      <c r="ARY79" s="412"/>
      <c r="ARZ79" s="412"/>
      <c r="ASA79" s="412"/>
      <c r="ASB79" s="412"/>
      <c r="ASC79" s="412"/>
      <c r="ASD79" s="412"/>
      <c r="ASE79" s="412"/>
      <c r="ASF79" s="412"/>
      <c r="ASG79" s="412"/>
      <c r="ASH79" s="412"/>
      <c r="ASI79" s="412"/>
      <c r="ASJ79" s="412"/>
      <c r="ASK79" s="412"/>
      <c r="ASL79" s="412"/>
      <c r="ASM79" s="412"/>
      <c r="ASN79" s="412"/>
      <c r="ASO79" s="412"/>
      <c r="ASP79" s="412"/>
      <c r="ASQ79" s="412"/>
      <c r="ASR79" s="412"/>
      <c r="ASS79" s="412"/>
      <c r="AST79" s="412"/>
      <c r="ASU79" s="412"/>
      <c r="ASV79" s="412"/>
      <c r="ASW79" s="412"/>
      <c r="ASX79" s="412"/>
      <c r="ASY79" s="412"/>
      <c r="ASZ79" s="412"/>
      <c r="ATA79" s="412"/>
      <c r="ATB79" s="412"/>
      <c r="ATC79" s="412"/>
      <c r="ATD79" s="412"/>
      <c r="ATE79" s="412"/>
      <c r="ATF79" s="412"/>
      <c r="ATG79" s="412"/>
      <c r="ATH79" s="412"/>
      <c r="ATI79" s="412"/>
      <c r="ATJ79" s="412"/>
      <c r="ATK79" s="412"/>
      <c r="ATL79" s="412"/>
      <c r="ATM79" s="412"/>
      <c r="ATN79" s="412"/>
      <c r="ATO79" s="412"/>
      <c r="ATP79" s="412"/>
      <c r="ATQ79" s="412"/>
      <c r="ATR79" s="412"/>
      <c r="ATS79" s="412"/>
      <c r="ATT79" s="412"/>
      <c r="ATU79" s="412"/>
      <c r="ATV79" s="412"/>
      <c r="ATW79" s="412"/>
      <c r="ATX79" s="412"/>
      <c r="ATY79" s="412"/>
      <c r="ATZ79" s="412"/>
      <c r="AUA79" s="412"/>
      <c r="AUB79" s="412"/>
      <c r="AUC79" s="412"/>
      <c r="AUD79" s="412"/>
      <c r="AUE79" s="412"/>
      <c r="AUF79" s="412"/>
      <c r="AUG79" s="412"/>
      <c r="AUH79" s="412"/>
      <c r="AUI79" s="412"/>
      <c r="AUJ79" s="412"/>
      <c r="AUK79" s="412"/>
      <c r="AUL79" s="412"/>
      <c r="AUM79" s="412"/>
      <c r="AUN79" s="412"/>
      <c r="AUO79" s="412"/>
      <c r="AUP79" s="412"/>
      <c r="AUQ79" s="412"/>
      <c r="AUR79" s="412"/>
      <c r="AUS79" s="412"/>
      <c r="AUT79" s="412"/>
      <c r="AUU79" s="412"/>
      <c r="AUV79" s="412"/>
      <c r="AUW79" s="412"/>
      <c r="AUX79" s="412"/>
      <c r="AUY79" s="412"/>
      <c r="AUZ79" s="412"/>
      <c r="AVA79" s="412"/>
      <c r="AVB79" s="412"/>
      <c r="AVC79" s="412"/>
      <c r="AVD79" s="412"/>
      <c r="AVE79" s="412"/>
      <c r="AVF79" s="412"/>
      <c r="AVG79" s="412"/>
      <c r="AVH79" s="412"/>
      <c r="AVI79" s="412"/>
      <c r="AVJ79" s="412"/>
      <c r="AVK79" s="412"/>
      <c r="AVL79" s="412"/>
      <c r="AVM79" s="412"/>
      <c r="AVN79" s="412"/>
      <c r="AVO79" s="412"/>
      <c r="AVP79" s="412"/>
      <c r="AVQ79" s="412"/>
      <c r="AVR79" s="412"/>
      <c r="AVS79" s="412"/>
      <c r="AVT79" s="412"/>
      <c r="AVU79" s="412"/>
      <c r="AVV79" s="412"/>
      <c r="AVW79" s="412"/>
      <c r="AVX79" s="412"/>
      <c r="AVY79" s="412"/>
      <c r="AVZ79" s="412"/>
      <c r="AWA79" s="412"/>
      <c r="AWB79" s="412"/>
      <c r="AWC79" s="412"/>
      <c r="AWD79" s="412"/>
      <c r="AWE79" s="412"/>
      <c r="AWF79" s="412"/>
      <c r="AWG79" s="412"/>
      <c r="AWH79" s="412"/>
      <c r="AWI79" s="412"/>
      <c r="AWJ79" s="412"/>
      <c r="AWK79" s="412"/>
      <c r="AWL79" s="412"/>
      <c r="AWM79" s="412"/>
      <c r="AWN79" s="412"/>
      <c r="AWO79" s="412"/>
      <c r="AWP79" s="412"/>
      <c r="AWQ79" s="412"/>
      <c r="AWR79" s="412"/>
      <c r="AWS79" s="412"/>
      <c r="AWT79" s="412"/>
      <c r="AWU79" s="412"/>
      <c r="AWV79" s="412"/>
      <c r="AWW79" s="412"/>
      <c r="AWX79" s="412"/>
      <c r="AWY79" s="412"/>
      <c r="AWZ79" s="412"/>
      <c r="AXA79" s="412"/>
      <c r="AXB79" s="412"/>
      <c r="AXC79" s="412"/>
      <c r="AXD79" s="412"/>
      <c r="AXE79" s="412"/>
      <c r="AXF79" s="412"/>
      <c r="AXG79" s="412"/>
      <c r="AXH79" s="412"/>
      <c r="AXI79" s="412"/>
      <c r="AXJ79" s="412"/>
      <c r="AXK79" s="412"/>
      <c r="AXL79" s="412"/>
      <c r="AXM79" s="412"/>
      <c r="AXN79" s="412"/>
      <c r="AXO79" s="412"/>
      <c r="AXP79" s="412"/>
      <c r="AXQ79" s="412"/>
      <c r="AXR79" s="412"/>
      <c r="AXS79" s="412"/>
      <c r="AXT79" s="412"/>
      <c r="AXU79" s="412"/>
      <c r="AXV79" s="412"/>
      <c r="AXW79" s="412"/>
      <c r="AXX79" s="412"/>
      <c r="AXY79" s="412"/>
      <c r="AXZ79" s="412"/>
      <c r="AYA79" s="412"/>
      <c r="AYB79" s="412"/>
      <c r="AYC79" s="412"/>
      <c r="AYD79" s="412"/>
      <c r="AYE79" s="412"/>
      <c r="AYF79" s="412"/>
      <c r="AYG79" s="412"/>
      <c r="AYH79" s="412"/>
      <c r="AYI79" s="412"/>
      <c r="AYJ79" s="412"/>
      <c r="AYK79" s="412"/>
      <c r="AYL79" s="412"/>
      <c r="AYM79" s="412"/>
      <c r="AYN79" s="412"/>
      <c r="AYO79" s="412"/>
      <c r="AYP79" s="412"/>
      <c r="AYQ79" s="412"/>
      <c r="AYR79" s="412"/>
      <c r="AYS79" s="412"/>
      <c r="AYT79" s="412"/>
      <c r="AYU79" s="412"/>
      <c r="AYV79" s="412"/>
      <c r="AYW79" s="412"/>
      <c r="AYX79" s="412"/>
      <c r="AYY79" s="412"/>
      <c r="AYZ79" s="412"/>
      <c r="AZA79" s="412"/>
      <c r="AZB79" s="412"/>
      <c r="AZC79" s="412"/>
      <c r="AZD79" s="412"/>
      <c r="AZE79" s="412"/>
      <c r="AZF79" s="412"/>
      <c r="AZG79" s="412"/>
      <c r="AZH79" s="412"/>
      <c r="AZI79" s="412"/>
      <c r="AZJ79" s="412"/>
      <c r="AZK79" s="412"/>
      <c r="AZL79" s="412"/>
      <c r="AZM79" s="412"/>
      <c r="AZN79" s="412"/>
      <c r="AZO79" s="412"/>
      <c r="AZP79" s="412"/>
      <c r="AZQ79" s="412"/>
      <c r="AZR79" s="412"/>
      <c r="AZS79" s="412"/>
      <c r="AZT79" s="412"/>
      <c r="AZU79" s="412"/>
      <c r="AZV79" s="412"/>
      <c r="AZW79" s="412"/>
      <c r="AZX79" s="412"/>
      <c r="AZY79" s="412"/>
      <c r="AZZ79" s="412"/>
      <c r="BAA79" s="412"/>
      <c r="BAB79" s="412"/>
      <c r="BAC79" s="412"/>
      <c r="BAD79" s="412"/>
      <c r="BAE79" s="412"/>
      <c r="BAF79" s="412"/>
      <c r="BAG79" s="412"/>
      <c r="BAH79" s="412"/>
      <c r="BAI79" s="412"/>
      <c r="BAJ79" s="412"/>
      <c r="BAK79" s="412"/>
      <c r="BAL79" s="412"/>
      <c r="BAM79" s="412"/>
      <c r="BAN79" s="412"/>
      <c r="BAO79" s="412"/>
      <c r="BAP79" s="412"/>
      <c r="BAQ79" s="412"/>
      <c r="BAR79" s="412"/>
      <c r="BAS79" s="412"/>
      <c r="BAT79" s="412"/>
      <c r="BAU79" s="412"/>
      <c r="BAV79" s="412"/>
      <c r="BAW79" s="412"/>
      <c r="BAX79" s="412"/>
      <c r="BAY79" s="412"/>
      <c r="BAZ79" s="412"/>
      <c r="BBA79" s="412"/>
      <c r="BBB79" s="412"/>
      <c r="BBC79" s="412"/>
      <c r="BBD79" s="412"/>
      <c r="BBE79" s="412"/>
      <c r="BBF79" s="412"/>
      <c r="BBG79" s="412"/>
      <c r="BBH79" s="412"/>
      <c r="BBI79" s="412"/>
      <c r="BBJ79" s="412"/>
      <c r="BBK79" s="412"/>
      <c r="BBL79" s="412"/>
      <c r="BBM79" s="412"/>
      <c r="BBN79" s="412"/>
      <c r="BBO79" s="412"/>
      <c r="BBP79" s="412"/>
      <c r="BBQ79" s="412"/>
      <c r="BBR79" s="412"/>
      <c r="BBS79" s="412"/>
      <c r="BBT79" s="412"/>
      <c r="BBU79" s="412"/>
      <c r="BBV79" s="412"/>
      <c r="BBW79" s="412"/>
      <c r="BBX79" s="412"/>
      <c r="BBY79" s="412"/>
      <c r="BBZ79" s="412"/>
      <c r="BCA79" s="412"/>
      <c r="BCB79" s="412"/>
      <c r="BCC79" s="412"/>
      <c r="BCD79" s="412"/>
      <c r="BCE79" s="412"/>
      <c r="BCF79" s="412"/>
      <c r="BCG79" s="412"/>
      <c r="BCH79" s="412"/>
      <c r="BCI79" s="412"/>
      <c r="BCJ79" s="412"/>
      <c r="BCK79" s="412"/>
      <c r="BCL79" s="412"/>
      <c r="BCM79" s="412"/>
      <c r="BCN79" s="412"/>
      <c r="BCO79" s="412"/>
      <c r="BCP79" s="412"/>
      <c r="BCQ79" s="412"/>
      <c r="BCR79" s="412"/>
      <c r="BCS79" s="412"/>
      <c r="BCT79" s="412"/>
      <c r="BCU79" s="412"/>
      <c r="BCV79" s="412"/>
      <c r="BCW79" s="412"/>
      <c r="BCX79" s="412"/>
      <c r="BCY79" s="412"/>
      <c r="BCZ79" s="412"/>
      <c r="BDA79" s="412"/>
      <c r="BDB79" s="412"/>
      <c r="BDC79" s="412"/>
      <c r="BDD79" s="412"/>
      <c r="BDE79" s="412"/>
      <c r="BDF79" s="412"/>
      <c r="BDG79" s="412"/>
      <c r="BDH79" s="412"/>
      <c r="BDI79" s="412"/>
      <c r="BDJ79" s="412"/>
      <c r="BDK79" s="412"/>
      <c r="BDL79" s="412"/>
      <c r="BDM79" s="412"/>
      <c r="BDN79" s="412"/>
      <c r="BDO79" s="412"/>
      <c r="BDP79" s="412"/>
      <c r="BDQ79" s="412"/>
      <c r="BDR79" s="412"/>
      <c r="BDS79" s="412"/>
      <c r="BDT79" s="412"/>
      <c r="BDU79" s="412"/>
      <c r="BDV79" s="412"/>
      <c r="BDW79" s="412"/>
      <c r="BDX79" s="412"/>
      <c r="BDY79" s="412"/>
      <c r="BDZ79" s="412"/>
      <c r="BEA79" s="412"/>
      <c r="BEB79" s="412"/>
      <c r="BEC79" s="412"/>
      <c r="BED79" s="412"/>
      <c r="BEE79" s="412"/>
      <c r="BEF79" s="412"/>
      <c r="BEG79" s="412"/>
      <c r="BEH79" s="412"/>
      <c r="BEI79" s="412"/>
      <c r="BEJ79" s="412"/>
      <c r="BEK79" s="412"/>
      <c r="BEL79" s="412"/>
      <c r="BEM79" s="412"/>
      <c r="BEN79" s="412"/>
      <c r="BEO79" s="412"/>
      <c r="BEP79" s="412"/>
      <c r="BEQ79" s="412"/>
      <c r="BER79" s="412"/>
      <c r="BES79" s="412"/>
      <c r="BET79" s="412"/>
      <c r="BEU79" s="412"/>
      <c r="BEV79" s="412"/>
      <c r="BEW79" s="412"/>
      <c r="BEX79" s="412"/>
      <c r="BEY79" s="412"/>
      <c r="BEZ79" s="412"/>
      <c r="BFA79" s="412"/>
      <c r="BFB79" s="412"/>
      <c r="BFC79" s="412"/>
      <c r="BFD79" s="412"/>
      <c r="BFE79" s="412"/>
      <c r="BFF79" s="412"/>
      <c r="BFG79" s="412"/>
      <c r="BFH79" s="412"/>
      <c r="BFI79" s="412"/>
      <c r="BFJ79" s="412"/>
      <c r="BFK79" s="412"/>
      <c r="BFL79" s="412"/>
      <c r="BFM79" s="412"/>
      <c r="BFN79" s="412"/>
      <c r="BFO79" s="412"/>
      <c r="BFP79" s="412"/>
      <c r="BFQ79" s="412"/>
      <c r="BFR79" s="412"/>
      <c r="BFS79" s="412"/>
      <c r="BFT79" s="412"/>
      <c r="BFU79" s="412"/>
      <c r="BFV79" s="412"/>
      <c r="BFW79" s="412"/>
      <c r="BFX79" s="412"/>
      <c r="BFY79" s="412"/>
      <c r="BFZ79" s="412"/>
      <c r="BGA79" s="412"/>
      <c r="BGB79" s="412"/>
      <c r="BGC79" s="412"/>
      <c r="BGD79" s="412"/>
      <c r="BGE79" s="412"/>
      <c r="BGF79" s="412"/>
      <c r="BGG79" s="412"/>
      <c r="BGH79" s="412"/>
      <c r="BGI79" s="412"/>
      <c r="BGJ79" s="412"/>
      <c r="BGK79" s="412"/>
      <c r="BGL79" s="412"/>
      <c r="BGM79" s="412"/>
      <c r="BGN79" s="412"/>
      <c r="BGO79" s="412"/>
      <c r="BGP79" s="412"/>
      <c r="BGQ79" s="412"/>
      <c r="BGR79" s="412"/>
      <c r="BGS79" s="412"/>
      <c r="BGT79" s="412"/>
      <c r="BGU79" s="412"/>
      <c r="BGV79" s="412"/>
      <c r="BGW79" s="412"/>
      <c r="BGX79" s="412"/>
      <c r="BGY79" s="412"/>
      <c r="BGZ79" s="412"/>
      <c r="BHA79" s="412"/>
      <c r="BHB79" s="412"/>
      <c r="BHC79" s="412"/>
      <c r="BHD79" s="412"/>
      <c r="BHE79" s="412"/>
      <c r="BHF79" s="412"/>
      <c r="BHG79" s="412"/>
      <c r="BHH79" s="412"/>
      <c r="BHI79" s="412"/>
      <c r="BHJ79" s="412"/>
      <c r="BHK79" s="412"/>
      <c r="BHL79" s="412"/>
      <c r="BHM79" s="412"/>
      <c r="BHN79" s="412"/>
      <c r="BHO79" s="412"/>
      <c r="BHP79" s="412"/>
      <c r="BHQ79" s="412"/>
      <c r="BHR79" s="412"/>
      <c r="BHS79" s="412"/>
      <c r="BHT79" s="412"/>
      <c r="BHU79" s="412"/>
      <c r="BHV79" s="412"/>
      <c r="BHW79" s="412"/>
      <c r="BHX79" s="412"/>
      <c r="BHY79" s="412"/>
      <c r="BHZ79" s="412"/>
      <c r="BIA79" s="412"/>
      <c r="BIB79" s="412"/>
      <c r="BIC79" s="412"/>
      <c r="BID79" s="412"/>
      <c r="BIE79" s="412"/>
      <c r="BIF79" s="412"/>
      <c r="BIG79" s="412"/>
      <c r="BIH79" s="412"/>
      <c r="BII79" s="412"/>
      <c r="BIJ79" s="412"/>
      <c r="BIK79" s="412"/>
      <c r="BIL79" s="412"/>
      <c r="BIM79" s="412"/>
      <c r="BIN79" s="412"/>
      <c r="BIO79" s="412"/>
      <c r="BIP79" s="412"/>
      <c r="BIQ79" s="412"/>
      <c r="BIR79" s="412"/>
      <c r="BIS79" s="412"/>
      <c r="BIT79" s="412"/>
      <c r="BIU79" s="412"/>
      <c r="BIV79" s="412"/>
      <c r="BIW79" s="412"/>
      <c r="BIX79" s="412"/>
      <c r="BIY79" s="412"/>
      <c r="BIZ79" s="412"/>
      <c r="BJA79" s="412"/>
      <c r="BJB79" s="412"/>
      <c r="BJC79" s="412"/>
      <c r="BJD79" s="412"/>
      <c r="BJE79" s="412"/>
      <c r="BJF79" s="412"/>
      <c r="BJG79" s="412"/>
      <c r="BJH79" s="412"/>
      <c r="BJI79" s="412"/>
      <c r="BJJ79" s="412"/>
      <c r="BJK79" s="412"/>
      <c r="BJL79" s="412"/>
      <c r="BJM79" s="412"/>
      <c r="BJN79" s="412"/>
      <c r="BJO79" s="412"/>
      <c r="BJP79" s="412"/>
      <c r="BJQ79" s="412"/>
      <c r="BJR79" s="412"/>
      <c r="BJS79" s="412"/>
      <c r="BJT79" s="412"/>
      <c r="BJU79" s="412"/>
      <c r="BJV79" s="412"/>
      <c r="BJW79" s="412"/>
      <c r="BJX79" s="412"/>
      <c r="BJY79" s="412"/>
      <c r="BJZ79" s="412"/>
      <c r="BKA79" s="412"/>
      <c r="BKB79" s="412"/>
      <c r="BKC79" s="412"/>
      <c r="BKD79" s="412"/>
      <c r="BKE79" s="412"/>
      <c r="BKF79" s="412"/>
      <c r="BKG79" s="412"/>
      <c r="BKH79" s="412"/>
      <c r="BKI79" s="412"/>
      <c r="BKJ79" s="412"/>
      <c r="BKK79" s="412"/>
      <c r="BKL79" s="412"/>
      <c r="BKM79" s="412"/>
      <c r="BKN79" s="412"/>
      <c r="BKO79" s="412"/>
      <c r="BKP79" s="412"/>
      <c r="BKQ79" s="412"/>
      <c r="BKR79" s="412"/>
      <c r="BKS79" s="412"/>
      <c r="BKT79" s="412"/>
      <c r="BKU79" s="412"/>
      <c r="BKV79" s="412"/>
      <c r="BKW79" s="412"/>
      <c r="BKX79" s="412"/>
      <c r="BKY79" s="412"/>
      <c r="BKZ79" s="412"/>
      <c r="BLA79" s="412"/>
      <c r="BLB79" s="412"/>
      <c r="BLC79" s="412"/>
      <c r="BLD79" s="412"/>
      <c r="BLE79" s="412"/>
      <c r="BLF79" s="412"/>
      <c r="BLG79" s="412"/>
      <c r="BLH79" s="412"/>
      <c r="BLI79" s="412"/>
      <c r="BLJ79" s="412"/>
      <c r="BLK79" s="412"/>
      <c r="BLL79" s="412"/>
      <c r="BLM79" s="412"/>
      <c r="BLN79" s="412"/>
      <c r="BLO79" s="412"/>
      <c r="BLP79" s="412"/>
      <c r="BLQ79" s="412"/>
      <c r="BLR79" s="412"/>
      <c r="BLS79" s="412"/>
      <c r="BLT79" s="412"/>
      <c r="BLU79" s="412"/>
      <c r="BLV79" s="412"/>
      <c r="BLW79" s="412"/>
      <c r="BLX79" s="412"/>
      <c r="BLY79" s="412"/>
      <c r="BLZ79" s="412"/>
      <c r="BMA79" s="412"/>
      <c r="BMB79" s="412"/>
      <c r="BMC79" s="412"/>
      <c r="BMD79" s="412"/>
      <c r="BME79" s="412"/>
      <c r="BMF79" s="412"/>
      <c r="BMG79" s="412"/>
      <c r="BMH79" s="412"/>
      <c r="BMI79" s="412"/>
      <c r="BMJ79" s="412"/>
      <c r="BMK79" s="412"/>
      <c r="BML79" s="412"/>
      <c r="BMM79" s="412"/>
      <c r="BMN79" s="412"/>
      <c r="BMO79" s="412"/>
      <c r="BMP79" s="412"/>
      <c r="BMQ79" s="412"/>
      <c r="BMR79" s="412"/>
      <c r="BMS79" s="412"/>
      <c r="BMT79" s="412"/>
      <c r="BMU79" s="412"/>
      <c r="BMV79" s="412"/>
      <c r="BMW79" s="412"/>
      <c r="BMX79" s="412"/>
      <c r="BMY79" s="412"/>
      <c r="BMZ79" s="412"/>
      <c r="BNA79" s="412"/>
      <c r="BNB79" s="412"/>
      <c r="BNC79" s="412"/>
      <c r="BND79" s="412"/>
      <c r="BNE79" s="412"/>
      <c r="BNF79" s="412"/>
      <c r="BNG79" s="412"/>
      <c r="BNH79" s="412"/>
      <c r="BNI79" s="412"/>
      <c r="BNJ79" s="412"/>
      <c r="BNK79" s="412"/>
      <c r="BNL79" s="412"/>
      <c r="BNM79" s="412"/>
      <c r="BNN79" s="412"/>
      <c r="BNO79" s="412"/>
      <c r="BNP79" s="412"/>
      <c r="BNQ79" s="412"/>
      <c r="BNR79" s="412"/>
      <c r="BNS79" s="412"/>
      <c r="BNT79" s="412"/>
      <c r="BNU79" s="412"/>
      <c r="BNV79" s="412"/>
      <c r="BNW79" s="412"/>
      <c r="BNX79" s="412"/>
      <c r="BNY79" s="412"/>
      <c r="BNZ79" s="412"/>
      <c r="BOA79" s="412"/>
      <c r="BOB79" s="412"/>
      <c r="BOC79" s="412"/>
      <c r="BOD79" s="412"/>
      <c r="BOE79" s="412"/>
      <c r="BOF79" s="412"/>
      <c r="BOG79" s="412"/>
      <c r="BOH79" s="412"/>
      <c r="BOI79" s="412"/>
      <c r="BOJ79" s="412"/>
      <c r="BOK79" s="412"/>
      <c r="BOL79" s="412"/>
      <c r="BOM79" s="412"/>
      <c r="BON79" s="412"/>
      <c r="BOO79" s="412"/>
      <c r="BOP79" s="412"/>
      <c r="BOQ79" s="412"/>
      <c r="BOR79" s="412"/>
      <c r="BOS79" s="412"/>
      <c r="BOT79" s="412"/>
      <c r="BOU79" s="412"/>
      <c r="BOV79" s="412"/>
      <c r="BOW79" s="412"/>
      <c r="BOX79" s="412"/>
      <c r="BOY79" s="412"/>
      <c r="BOZ79" s="412"/>
      <c r="BPA79" s="412"/>
      <c r="BPB79" s="412"/>
      <c r="BPC79" s="412"/>
      <c r="BPD79" s="412"/>
      <c r="BPE79" s="412"/>
      <c r="BPF79" s="412"/>
      <c r="BPG79" s="412"/>
      <c r="BPH79" s="412"/>
      <c r="BPI79" s="412"/>
      <c r="BPJ79" s="412"/>
      <c r="BPK79" s="412"/>
      <c r="BPL79" s="412"/>
      <c r="BPM79" s="412"/>
      <c r="BPN79" s="412"/>
      <c r="BPO79" s="412"/>
      <c r="BPP79" s="412"/>
      <c r="BPQ79" s="412"/>
      <c r="BPR79" s="412"/>
      <c r="BPS79" s="412"/>
      <c r="BPT79" s="412"/>
      <c r="BPU79" s="412"/>
      <c r="BPV79" s="412"/>
      <c r="BPW79" s="412"/>
      <c r="BPX79" s="412"/>
      <c r="BPY79" s="412"/>
      <c r="BPZ79" s="412"/>
      <c r="BQA79" s="412"/>
      <c r="BQB79" s="412"/>
      <c r="BQC79" s="412"/>
      <c r="BQD79" s="412"/>
      <c r="BQE79" s="412"/>
      <c r="BQF79" s="412"/>
      <c r="BQG79" s="412"/>
      <c r="BQH79" s="412"/>
      <c r="BQI79" s="412"/>
      <c r="BQJ79" s="412"/>
      <c r="BQK79" s="412"/>
      <c r="BQL79" s="412"/>
      <c r="BQM79" s="412"/>
      <c r="BQN79" s="412"/>
      <c r="BQO79" s="412"/>
      <c r="BQP79" s="412"/>
      <c r="BQQ79" s="412"/>
      <c r="BQR79" s="412"/>
      <c r="BQS79" s="412"/>
      <c r="BQT79" s="412"/>
      <c r="BQU79" s="412"/>
      <c r="BQV79" s="412"/>
      <c r="BQW79" s="412"/>
      <c r="BQX79" s="412"/>
      <c r="BQY79" s="412"/>
      <c r="BQZ79" s="412"/>
      <c r="BRA79" s="412"/>
      <c r="BRB79" s="412"/>
      <c r="BRC79" s="412"/>
      <c r="BRD79" s="412"/>
      <c r="BRE79" s="412"/>
      <c r="BRF79" s="412"/>
      <c r="BRG79" s="412"/>
      <c r="BRH79" s="412"/>
      <c r="BRI79" s="412"/>
      <c r="BRJ79" s="412"/>
      <c r="BRK79" s="412"/>
      <c r="BRL79" s="412"/>
      <c r="BRM79" s="412"/>
      <c r="BRN79" s="412"/>
      <c r="BRO79" s="412"/>
      <c r="BRP79" s="412"/>
      <c r="BRQ79" s="412"/>
      <c r="BRR79" s="412"/>
      <c r="BRS79" s="412"/>
      <c r="BRT79" s="412"/>
      <c r="BRU79" s="412"/>
      <c r="BRV79" s="412"/>
      <c r="BRW79" s="412"/>
      <c r="BRX79" s="412"/>
      <c r="BRY79" s="412"/>
      <c r="BRZ79" s="412"/>
      <c r="BSA79" s="412"/>
      <c r="BSB79" s="412"/>
      <c r="BSC79" s="412"/>
      <c r="BSD79" s="412"/>
      <c r="BSE79" s="412"/>
      <c r="BSF79" s="412"/>
      <c r="BSG79" s="412"/>
      <c r="BSH79" s="412"/>
      <c r="BSI79" s="412"/>
      <c r="BSJ79" s="412"/>
      <c r="BSK79" s="412"/>
      <c r="BSL79" s="412"/>
      <c r="BSM79" s="412"/>
      <c r="BSN79" s="412"/>
      <c r="BSO79" s="412"/>
      <c r="BSP79" s="412"/>
      <c r="BSQ79" s="412"/>
      <c r="BSR79" s="412"/>
      <c r="BSS79" s="412"/>
      <c r="BST79" s="412"/>
      <c r="BSU79" s="412"/>
      <c r="BSV79" s="412"/>
      <c r="BSW79" s="412"/>
      <c r="BSX79" s="412"/>
      <c r="BSY79" s="412"/>
      <c r="BSZ79" s="412"/>
      <c r="BTA79" s="412"/>
      <c r="BTB79" s="412"/>
      <c r="BTC79" s="412"/>
      <c r="BTD79" s="412"/>
      <c r="BTE79" s="412"/>
      <c r="BTF79" s="412"/>
      <c r="BTG79" s="412"/>
      <c r="BTH79" s="412"/>
      <c r="BTI79" s="412"/>
    </row>
    <row r="80" spans="1:1881" ht="79.5" customHeight="1" thickBot="1" x14ac:dyDescent="0.3">
      <c r="A80" s="189">
        <v>80</v>
      </c>
      <c r="B80" s="417" t="s">
        <v>69</v>
      </c>
      <c r="C80" s="160" t="s">
        <v>186</v>
      </c>
      <c r="D80" s="166" t="s">
        <v>173</v>
      </c>
      <c r="E80" s="32" t="e">
        <f>HLOOKUP($D$2,'2019 Data(H)'!$C$1:$CG$300,44,FALSE)</f>
        <v>#N/A</v>
      </c>
      <c r="F80" s="647"/>
      <c r="G80" s="610" t="e">
        <f>HLOOKUP($D$2,'2019 Data(H)'!C1:BS295,249,FALSE)</f>
        <v>#N/A</v>
      </c>
      <c r="H80" s="61"/>
      <c r="I80" s="31"/>
      <c r="L80" s="865" t="s">
        <v>1212</v>
      </c>
    </row>
    <row r="81" spans="1:1881" ht="63.75" customHeight="1" thickBot="1" x14ac:dyDescent="0.3">
      <c r="A81" s="189">
        <v>81</v>
      </c>
      <c r="B81" s="64" t="s">
        <v>69</v>
      </c>
      <c r="C81" s="160" t="s">
        <v>186</v>
      </c>
      <c r="D81" s="166" t="s">
        <v>174</v>
      </c>
      <c r="E81" s="32" t="e">
        <f>HLOOKUP($D$2,'2019 Data(H)'!$C$1:$CG$300,45,FALSE)</f>
        <v>#N/A</v>
      </c>
      <c r="F81" s="647"/>
      <c r="G81" s="319"/>
      <c r="H81" s="13"/>
      <c r="I81" s="31"/>
      <c r="L81" s="865" t="s">
        <v>1178</v>
      </c>
    </row>
    <row r="82" spans="1:1881" s="226" customFormat="1" ht="84" customHeight="1" thickBot="1" x14ac:dyDescent="0.3">
      <c r="A82" s="189">
        <v>579</v>
      </c>
      <c r="B82" s="65" t="s">
        <v>653</v>
      </c>
      <c r="C82" s="183" t="s">
        <v>186</v>
      </c>
      <c r="D82" s="312" t="s">
        <v>657</v>
      </c>
      <c r="E82" s="32" t="e">
        <f>HLOOKUP($D$2,'2019 Data(H)'!$C$1:$CG$300,229,FALSE)</f>
        <v>#N/A</v>
      </c>
      <c r="F82" s="647"/>
      <c r="G82" s="413"/>
      <c r="H82" s="67"/>
      <c r="I82" s="150"/>
      <c r="J82" s="412"/>
      <c r="K82" s="412"/>
      <c r="L82" s="865" t="s">
        <v>1179</v>
      </c>
      <c r="M82" s="412"/>
      <c r="N82"/>
      <c r="O82" s="412"/>
      <c r="P82" s="412"/>
      <c r="Q82" s="412"/>
      <c r="R82" s="412"/>
      <c r="S82" s="412"/>
      <c r="T82" s="412"/>
      <c r="U82" s="412"/>
      <c r="V82" s="412"/>
      <c r="W82" s="412"/>
      <c r="X82" s="412"/>
      <c r="Y82" s="412"/>
      <c r="Z82" s="412"/>
      <c r="AA82" s="412"/>
      <c r="AB82" s="412"/>
      <c r="AC82" s="412"/>
      <c r="AD82" s="412"/>
      <c r="AE82" s="412"/>
      <c r="AF82" s="412"/>
      <c r="AG82" s="412"/>
      <c r="AH82" s="412"/>
      <c r="AI82" s="412"/>
      <c r="AJ82" s="412"/>
      <c r="AK82" s="412"/>
      <c r="AL82" s="412"/>
      <c r="AM82" s="412"/>
      <c r="AN82" s="412"/>
      <c r="AO82" s="412"/>
      <c r="AP82" s="412"/>
      <c r="AQ82" s="412"/>
      <c r="AR82" s="412"/>
      <c r="AS82" s="412"/>
      <c r="AT82" s="412"/>
      <c r="AU82" s="412"/>
      <c r="AV82" s="412"/>
      <c r="AW82" s="412"/>
      <c r="AX82" s="412"/>
      <c r="AY82" s="412"/>
      <c r="AZ82" s="412"/>
      <c r="BA82" s="412"/>
      <c r="BB82" s="412"/>
      <c r="BC82" s="412"/>
      <c r="BD82" s="412"/>
      <c r="BE82" s="412"/>
      <c r="BF82" s="412"/>
      <c r="BG82" s="412"/>
      <c r="BH82" s="412"/>
      <c r="BI82" s="412"/>
      <c r="BJ82" s="412"/>
      <c r="BK82" s="412"/>
      <c r="BL82" s="412"/>
      <c r="BM82" s="412"/>
      <c r="BN82" s="412"/>
      <c r="BO82" s="412"/>
      <c r="BP82" s="412"/>
      <c r="BQ82" s="412"/>
      <c r="BR82" s="412"/>
      <c r="BS82" s="412"/>
      <c r="BT82" s="412"/>
      <c r="BU82" s="412"/>
      <c r="BV82" s="412"/>
      <c r="BW82" s="412"/>
      <c r="BX82" s="412"/>
      <c r="BY82" s="412"/>
      <c r="BZ82" s="412"/>
      <c r="CA82" s="412"/>
      <c r="CB82" s="412"/>
      <c r="CC82" s="412"/>
      <c r="CD82" s="412"/>
      <c r="CE82" s="412"/>
      <c r="CF82" s="412"/>
      <c r="CG82" s="412"/>
      <c r="CH82" s="412"/>
      <c r="CI82" s="412"/>
      <c r="CJ82" s="412"/>
      <c r="CK82" s="412"/>
      <c r="CL82" s="412"/>
      <c r="CM82" s="412"/>
      <c r="CN82" s="412"/>
      <c r="CO82" s="412"/>
      <c r="CP82" s="412"/>
      <c r="CQ82" s="412"/>
      <c r="CR82" s="412"/>
      <c r="CS82" s="412"/>
      <c r="CT82" s="412"/>
      <c r="CU82" s="412"/>
      <c r="CV82" s="412"/>
      <c r="CW82" s="412"/>
      <c r="CX82" s="412"/>
      <c r="CY82" s="412"/>
      <c r="CZ82" s="412"/>
      <c r="DA82" s="412"/>
      <c r="DB82" s="412"/>
      <c r="DC82" s="412"/>
      <c r="DD82" s="412"/>
      <c r="DE82" s="412"/>
      <c r="DF82" s="412"/>
      <c r="DG82" s="412"/>
      <c r="DH82" s="412"/>
      <c r="DI82" s="412"/>
      <c r="DJ82" s="412"/>
      <c r="DK82" s="412"/>
      <c r="DL82" s="412"/>
      <c r="DM82" s="412"/>
      <c r="DN82" s="412"/>
      <c r="DO82" s="412"/>
      <c r="DP82" s="412"/>
      <c r="DQ82" s="412"/>
      <c r="DR82" s="412"/>
      <c r="DS82" s="412"/>
      <c r="DT82" s="412"/>
      <c r="DU82" s="412"/>
      <c r="DV82" s="412"/>
      <c r="DW82" s="412"/>
      <c r="DX82" s="412"/>
      <c r="DY82" s="412"/>
      <c r="DZ82" s="412"/>
      <c r="EA82" s="412"/>
      <c r="EB82" s="412"/>
      <c r="EC82" s="412"/>
      <c r="ED82" s="412"/>
      <c r="EE82" s="412"/>
      <c r="EF82" s="412"/>
      <c r="EG82" s="412"/>
      <c r="EH82" s="412"/>
      <c r="EI82" s="412"/>
      <c r="EJ82" s="412"/>
      <c r="EK82" s="412"/>
      <c r="EL82" s="412"/>
      <c r="EM82" s="412"/>
      <c r="EN82" s="412"/>
      <c r="EO82" s="412"/>
      <c r="EP82" s="412"/>
      <c r="EQ82" s="412"/>
      <c r="ER82" s="412"/>
      <c r="ES82" s="412"/>
      <c r="ET82" s="412"/>
      <c r="EU82" s="412"/>
      <c r="EV82" s="412"/>
      <c r="EW82" s="412"/>
      <c r="EX82" s="412"/>
      <c r="EY82" s="412"/>
      <c r="EZ82" s="412"/>
      <c r="FA82" s="412"/>
      <c r="FB82" s="412"/>
      <c r="FC82" s="412"/>
      <c r="FD82" s="412"/>
      <c r="FE82" s="412"/>
      <c r="FF82" s="412"/>
      <c r="FG82" s="412"/>
      <c r="FH82" s="412"/>
      <c r="FI82" s="412"/>
      <c r="FJ82" s="412"/>
      <c r="FK82" s="412"/>
      <c r="FL82" s="412"/>
      <c r="FM82" s="412"/>
      <c r="FN82" s="412"/>
      <c r="FO82" s="412"/>
      <c r="FP82" s="412"/>
      <c r="FQ82" s="412"/>
      <c r="FR82" s="412"/>
      <c r="FS82" s="412"/>
      <c r="FT82" s="412"/>
      <c r="FU82" s="412"/>
      <c r="FV82" s="412"/>
      <c r="FW82" s="412"/>
      <c r="FX82" s="412"/>
      <c r="FY82" s="412"/>
      <c r="FZ82" s="412"/>
      <c r="GA82" s="412"/>
      <c r="GB82" s="412"/>
      <c r="GC82" s="412"/>
      <c r="GD82" s="412"/>
      <c r="GE82" s="412"/>
      <c r="GF82" s="412"/>
      <c r="GG82" s="412"/>
      <c r="GH82" s="412"/>
      <c r="GI82" s="412"/>
      <c r="GJ82" s="412"/>
      <c r="GK82" s="412"/>
      <c r="GL82" s="412"/>
      <c r="GM82" s="412"/>
      <c r="GN82" s="412"/>
      <c r="GO82" s="412"/>
      <c r="GP82" s="412"/>
      <c r="GQ82" s="412"/>
      <c r="GR82" s="412"/>
      <c r="GS82" s="412"/>
      <c r="GT82" s="412"/>
      <c r="GU82" s="412"/>
      <c r="GV82" s="412"/>
      <c r="GW82" s="412"/>
      <c r="GX82" s="412"/>
      <c r="GY82" s="412"/>
      <c r="GZ82" s="412"/>
      <c r="HA82" s="412"/>
      <c r="HB82" s="412"/>
      <c r="HC82" s="412"/>
      <c r="HD82" s="412"/>
      <c r="HE82" s="412"/>
      <c r="HF82" s="412"/>
      <c r="HG82" s="412"/>
      <c r="HH82" s="412"/>
      <c r="HI82" s="412"/>
      <c r="HJ82" s="412"/>
      <c r="HK82" s="412"/>
      <c r="HL82" s="412"/>
      <c r="HM82" s="412"/>
      <c r="HN82" s="412"/>
      <c r="HO82" s="412"/>
      <c r="HP82" s="412"/>
      <c r="HQ82" s="412"/>
      <c r="HR82" s="412"/>
      <c r="HS82" s="412"/>
      <c r="HT82" s="412"/>
      <c r="HU82" s="412"/>
      <c r="HV82" s="412"/>
      <c r="HW82" s="412"/>
      <c r="HX82" s="412"/>
      <c r="HY82" s="412"/>
      <c r="HZ82" s="412"/>
      <c r="IA82" s="412"/>
      <c r="IB82" s="412"/>
      <c r="IC82" s="412"/>
      <c r="ID82" s="412"/>
      <c r="IE82" s="412"/>
      <c r="IF82" s="412"/>
      <c r="IG82" s="412"/>
      <c r="IH82" s="412"/>
      <c r="II82" s="412"/>
      <c r="IJ82" s="412"/>
      <c r="IK82" s="412"/>
      <c r="IL82" s="412"/>
      <c r="IM82" s="412"/>
      <c r="IN82" s="412"/>
      <c r="IO82" s="412"/>
      <c r="IP82" s="412"/>
      <c r="IQ82" s="412"/>
      <c r="IR82" s="412"/>
      <c r="IS82" s="412"/>
      <c r="IT82" s="412"/>
      <c r="IU82" s="412"/>
      <c r="IV82" s="412"/>
      <c r="IW82" s="412"/>
      <c r="IX82" s="412"/>
      <c r="IY82" s="412"/>
      <c r="IZ82" s="412"/>
      <c r="JA82" s="412"/>
      <c r="JB82" s="412"/>
      <c r="JC82" s="412"/>
      <c r="JD82" s="412"/>
      <c r="JE82" s="412"/>
      <c r="JF82" s="412"/>
      <c r="JG82" s="412"/>
      <c r="JH82" s="412"/>
      <c r="JI82" s="412"/>
      <c r="JJ82" s="412"/>
      <c r="JK82" s="412"/>
      <c r="JL82" s="412"/>
      <c r="JM82" s="412"/>
      <c r="JN82" s="412"/>
      <c r="JO82" s="412"/>
      <c r="JP82" s="412"/>
      <c r="JQ82" s="412"/>
      <c r="JR82" s="412"/>
      <c r="JS82" s="412"/>
      <c r="JT82" s="412"/>
      <c r="JU82" s="412"/>
      <c r="JV82" s="412"/>
      <c r="JW82" s="412"/>
      <c r="JX82" s="412"/>
      <c r="JY82" s="412"/>
      <c r="JZ82" s="412"/>
      <c r="KA82" s="412"/>
      <c r="KB82" s="412"/>
      <c r="KC82" s="412"/>
      <c r="KD82" s="412"/>
      <c r="KE82" s="412"/>
      <c r="KF82" s="412"/>
      <c r="KG82" s="412"/>
      <c r="KH82" s="412"/>
      <c r="KI82" s="412"/>
      <c r="KJ82" s="412"/>
      <c r="KK82" s="412"/>
      <c r="KL82" s="412"/>
      <c r="KM82" s="412"/>
      <c r="KN82" s="412"/>
      <c r="KO82" s="412"/>
      <c r="KP82" s="412"/>
      <c r="KQ82" s="412"/>
      <c r="KR82" s="412"/>
      <c r="KS82" s="412"/>
      <c r="KT82" s="412"/>
      <c r="KU82" s="412"/>
      <c r="KV82" s="412"/>
      <c r="KW82" s="412"/>
      <c r="KX82" s="412"/>
      <c r="KY82" s="412"/>
      <c r="KZ82" s="412"/>
      <c r="LA82" s="412"/>
      <c r="LB82" s="412"/>
      <c r="LC82" s="412"/>
      <c r="LD82" s="412"/>
      <c r="LE82" s="412"/>
      <c r="LF82" s="412"/>
      <c r="LG82" s="412"/>
      <c r="LH82" s="412"/>
      <c r="LI82" s="412"/>
      <c r="LJ82" s="412"/>
      <c r="LK82" s="412"/>
      <c r="LL82" s="412"/>
      <c r="LM82" s="412"/>
      <c r="LN82" s="412"/>
      <c r="LO82" s="412"/>
      <c r="LP82" s="412"/>
      <c r="LQ82" s="412"/>
      <c r="LR82" s="412"/>
      <c r="LS82" s="412"/>
      <c r="LT82" s="412"/>
      <c r="LU82" s="412"/>
      <c r="LV82" s="412"/>
      <c r="LW82" s="412"/>
      <c r="LX82" s="412"/>
      <c r="LY82" s="412"/>
      <c r="LZ82" s="412"/>
      <c r="MA82" s="412"/>
      <c r="MB82" s="412"/>
      <c r="MC82" s="412"/>
      <c r="MD82" s="412"/>
      <c r="ME82" s="412"/>
      <c r="MF82" s="412"/>
      <c r="MG82" s="412"/>
      <c r="MH82" s="412"/>
      <c r="MI82" s="412"/>
      <c r="MJ82" s="412"/>
      <c r="MK82" s="412"/>
      <c r="ML82" s="412"/>
      <c r="MM82" s="412"/>
      <c r="MN82" s="412"/>
      <c r="MO82" s="412"/>
      <c r="MP82" s="412"/>
      <c r="MQ82" s="412"/>
      <c r="MR82" s="412"/>
      <c r="MS82" s="412"/>
      <c r="MT82" s="412"/>
      <c r="MU82" s="412"/>
      <c r="MV82" s="412"/>
      <c r="MW82" s="412"/>
      <c r="MX82" s="412"/>
      <c r="MY82" s="412"/>
      <c r="MZ82" s="412"/>
      <c r="NA82" s="412"/>
      <c r="NB82" s="412"/>
      <c r="NC82" s="412"/>
      <c r="ND82" s="412"/>
      <c r="NE82" s="412"/>
      <c r="NF82" s="412"/>
      <c r="NG82" s="412"/>
      <c r="NH82" s="412"/>
      <c r="NI82" s="412"/>
      <c r="NJ82" s="412"/>
      <c r="NK82" s="412"/>
      <c r="NL82" s="412"/>
      <c r="NM82" s="412"/>
      <c r="NN82" s="412"/>
      <c r="NO82" s="412"/>
      <c r="NP82" s="412"/>
      <c r="NQ82" s="412"/>
      <c r="NR82" s="412"/>
      <c r="NS82" s="412"/>
      <c r="NT82" s="412"/>
      <c r="NU82" s="412"/>
      <c r="NV82" s="412"/>
      <c r="NW82" s="412"/>
      <c r="NX82" s="412"/>
      <c r="NY82" s="412"/>
      <c r="NZ82" s="412"/>
      <c r="OA82" s="412"/>
      <c r="OB82" s="412"/>
      <c r="OC82" s="412"/>
      <c r="OD82" s="412"/>
      <c r="OE82" s="412"/>
      <c r="OF82" s="412"/>
      <c r="OG82" s="412"/>
      <c r="OH82" s="412"/>
      <c r="OI82" s="412"/>
      <c r="OJ82" s="412"/>
      <c r="OK82" s="412"/>
      <c r="OL82" s="412"/>
      <c r="OM82" s="412"/>
      <c r="ON82" s="412"/>
      <c r="OO82" s="412"/>
      <c r="OP82" s="412"/>
      <c r="OQ82" s="412"/>
      <c r="OR82" s="412"/>
      <c r="OS82" s="412"/>
      <c r="OT82" s="412"/>
      <c r="OU82" s="412"/>
      <c r="OV82" s="412"/>
      <c r="OW82" s="412"/>
      <c r="OX82" s="412"/>
      <c r="OY82" s="412"/>
      <c r="OZ82" s="412"/>
      <c r="PA82" s="412"/>
      <c r="PB82" s="412"/>
      <c r="PC82" s="412"/>
      <c r="PD82" s="412"/>
      <c r="PE82" s="412"/>
      <c r="PF82" s="412"/>
      <c r="PG82" s="412"/>
      <c r="PH82" s="412"/>
      <c r="PI82" s="412"/>
      <c r="PJ82" s="412"/>
      <c r="PK82" s="412"/>
      <c r="PL82" s="412"/>
      <c r="PM82" s="412"/>
      <c r="PN82" s="412"/>
      <c r="PO82" s="412"/>
      <c r="PP82" s="412"/>
      <c r="PQ82" s="412"/>
      <c r="PR82" s="412"/>
      <c r="PS82" s="412"/>
      <c r="PT82" s="412"/>
      <c r="PU82" s="412"/>
      <c r="PV82" s="412"/>
      <c r="PW82" s="412"/>
      <c r="PX82" s="412"/>
      <c r="PY82" s="412"/>
      <c r="PZ82" s="412"/>
      <c r="QA82" s="412"/>
      <c r="QB82" s="412"/>
      <c r="QC82" s="412"/>
      <c r="QD82" s="412"/>
      <c r="QE82" s="412"/>
      <c r="QF82" s="412"/>
      <c r="QG82" s="412"/>
      <c r="QH82" s="412"/>
      <c r="QI82" s="412"/>
      <c r="QJ82" s="412"/>
      <c r="QK82" s="412"/>
      <c r="QL82" s="412"/>
      <c r="QM82" s="412"/>
      <c r="QN82" s="412"/>
      <c r="QO82" s="412"/>
      <c r="QP82" s="412"/>
      <c r="QQ82" s="412"/>
      <c r="QR82" s="412"/>
      <c r="QS82" s="412"/>
      <c r="QT82" s="412"/>
      <c r="QU82" s="412"/>
      <c r="QV82" s="412"/>
      <c r="QW82" s="412"/>
      <c r="QX82" s="412"/>
      <c r="QY82" s="412"/>
      <c r="QZ82" s="412"/>
      <c r="RA82" s="412"/>
      <c r="RB82" s="412"/>
      <c r="RC82" s="412"/>
      <c r="RD82" s="412"/>
      <c r="RE82" s="412"/>
      <c r="RF82" s="412"/>
      <c r="RG82" s="412"/>
      <c r="RH82" s="412"/>
      <c r="RI82" s="412"/>
      <c r="RJ82" s="412"/>
      <c r="RK82" s="412"/>
      <c r="RL82" s="412"/>
      <c r="RM82" s="412"/>
      <c r="RN82" s="412"/>
      <c r="RO82" s="412"/>
      <c r="RP82" s="412"/>
      <c r="RQ82" s="412"/>
      <c r="RR82" s="412"/>
      <c r="RS82" s="412"/>
      <c r="RT82" s="412"/>
      <c r="RU82" s="412"/>
      <c r="RV82" s="412"/>
      <c r="RW82" s="412"/>
      <c r="RX82" s="412"/>
      <c r="RY82" s="412"/>
      <c r="RZ82" s="412"/>
      <c r="SA82" s="412"/>
      <c r="SB82" s="412"/>
      <c r="SC82" s="412"/>
      <c r="SD82" s="412"/>
      <c r="SE82" s="412"/>
      <c r="SF82" s="412"/>
      <c r="SG82" s="412"/>
      <c r="SH82" s="412"/>
      <c r="SI82" s="412"/>
      <c r="SJ82" s="412"/>
      <c r="SK82" s="412"/>
      <c r="SL82" s="412"/>
      <c r="SM82" s="412"/>
      <c r="SN82" s="412"/>
      <c r="SO82" s="412"/>
      <c r="SP82" s="412"/>
      <c r="SQ82" s="412"/>
      <c r="SR82" s="412"/>
      <c r="SS82" s="412"/>
      <c r="ST82" s="412"/>
      <c r="SU82" s="412"/>
      <c r="SV82" s="412"/>
      <c r="SW82" s="412"/>
      <c r="SX82" s="412"/>
      <c r="SY82" s="412"/>
      <c r="SZ82" s="412"/>
      <c r="TA82" s="412"/>
      <c r="TB82" s="412"/>
      <c r="TC82" s="412"/>
      <c r="TD82" s="412"/>
      <c r="TE82" s="412"/>
      <c r="TF82" s="412"/>
      <c r="TG82" s="412"/>
      <c r="TH82" s="412"/>
      <c r="TI82" s="412"/>
      <c r="TJ82" s="412"/>
      <c r="TK82" s="412"/>
      <c r="TL82" s="412"/>
      <c r="TM82" s="412"/>
      <c r="TN82" s="412"/>
      <c r="TO82" s="412"/>
      <c r="TP82" s="412"/>
      <c r="TQ82" s="412"/>
      <c r="TR82" s="412"/>
      <c r="TS82" s="412"/>
      <c r="TT82" s="412"/>
      <c r="TU82" s="412"/>
      <c r="TV82" s="412"/>
      <c r="TW82" s="412"/>
      <c r="TX82" s="412"/>
      <c r="TY82" s="412"/>
      <c r="TZ82" s="412"/>
      <c r="UA82" s="412"/>
      <c r="UB82" s="412"/>
      <c r="UC82" s="412"/>
      <c r="UD82" s="412"/>
      <c r="UE82" s="412"/>
      <c r="UF82" s="412"/>
      <c r="UG82" s="412"/>
      <c r="UH82" s="412"/>
      <c r="UI82" s="412"/>
      <c r="UJ82" s="412"/>
      <c r="UK82" s="412"/>
      <c r="UL82" s="412"/>
      <c r="UM82" s="412"/>
      <c r="UN82" s="412"/>
      <c r="UO82" s="412"/>
      <c r="UP82" s="412"/>
      <c r="UQ82" s="412"/>
      <c r="UR82" s="412"/>
      <c r="US82" s="412"/>
      <c r="UT82" s="412"/>
      <c r="UU82" s="412"/>
      <c r="UV82" s="412"/>
      <c r="UW82" s="412"/>
      <c r="UX82" s="412"/>
      <c r="UY82" s="412"/>
      <c r="UZ82" s="412"/>
      <c r="VA82" s="412"/>
      <c r="VB82" s="412"/>
      <c r="VC82" s="412"/>
      <c r="VD82" s="412"/>
      <c r="VE82" s="412"/>
      <c r="VF82" s="412"/>
      <c r="VG82" s="412"/>
      <c r="VH82" s="412"/>
      <c r="VI82" s="412"/>
      <c r="VJ82" s="412"/>
      <c r="VK82" s="412"/>
      <c r="VL82" s="412"/>
      <c r="VM82" s="412"/>
      <c r="VN82" s="412"/>
      <c r="VO82" s="412"/>
      <c r="VP82" s="412"/>
      <c r="VQ82" s="412"/>
      <c r="VR82" s="412"/>
      <c r="VS82" s="412"/>
      <c r="VT82" s="412"/>
      <c r="VU82" s="412"/>
      <c r="VV82" s="412"/>
      <c r="VW82" s="412"/>
      <c r="VX82" s="412"/>
      <c r="VY82" s="412"/>
      <c r="VZ82" s="412"/>
      <c r="WA82" s="412"/>
      <c r="WB82" s="412"/>
      <c r="WC82" s="412"/>
      <c r="WD82" s="412"/>
      <c r="WE82" s="412"/>
      <c r="WF82" s="412"/>
      <c r="WG82" s="412"/>
      <c r="WH82" s="412"/>
      <c r="WI82" s="412"/>
      <c r="WJ82" s="412"/>
      <c r="WK82" s="412"/>
      <c r="WL82" s="412"/>
      <c r="WM82" s="412"/>
      <c r="WN82" s="412"/>
      <c r="WO82" s="412"/>
      <c r="WP82" s="412"/>
      <c r="WQ82" s="412"/>
      <c r="WR82" s="412"/>
      <c r="WS82" s="412"/>
      <c r="WT82" s="412"/>
      <c r="WU82" s="412"/>
      <c r="WV82" s="412"/>
      <c r="WW82" s="412"/>
      <c r="WX82" s="412"/>
      <c r="WY82" s="412"/>
      <c r="WZ82" s="412"/>
      <c r="XA82" s="412"/>
      <c r="XB82" s="412"/>
      <c r="XC82" s="412"/>
      <c r="XD82" s="412"/>
      <c r="XE82" s="412"/>
      <c r="XF82" s="412"/>
      <c r="XG82" s="412"/>
      <c r="XH82" s="412"/>
      <c r="XI82" s="412"/>
      <c r="XJ82" s="412"/>
      <c r="XK82" s="412"/>
      <c r="XL82" s="412"/>
      <c r="XM82" s="412"/>
      <c r="XN82" s="412"/>
      <c r="XO82" s="412"/>
      <c r="XP82" s="412"/>
      <c r="XQ82" s="412"/>
      <c r="XR82" s="412"/>
      <c r="XS82" s="412"/>
      <c r="XT82" s="412"/>
      <c r="XU82" s="412"/>
      <c r="XV82" s="412"/>
      <c r="XW82" s="412"/>
      <c r="XX82" s="412"/>
      <c r="XY82" s="412"/>
      <c r="XZ82" s="412"/>
      <c r="YA82" s="412"/>
      <c r="YB82" s="412"/>
      <c r="YC82" s="412"/>
      <c r="YD82" s="412"/>
      <c r="YE82" s="412"/>
      <c r="YF82" s="412"/>
      <c r="YG82" s="412"/>
      <c r="YH82" s="412"/>
      <c r="YI82" s="412"/>
      <c r="YJ82" s="412"/>
      <c r="YK82" s="412"/>
      <c r="YL82" s="412"/>
      <c r="YM82" s="412"/>
      <c r="YN82" s="412"/>
      <c r="YO82" s="412"/>
      <c r="YP82" s="412"/>
      <c r="YQ82" s="412"/>
      <c r="YR82" s="412"/>
      <c r="YS82" s="412"/>
      <c r="YT82" s="412"/>
      <c r="YU82" s="412"/>
      <c r="YV82" s="412"/>
      <c r="YW82" s="412"/>
      <c r="YX82" s="412"/>
      <c r="YY82" s="412"/>
      <c r="YZ82" s="412"/>
      <c r="ZA82" s="412"/>
      <c r="ZB82" s="412"/>
      <c r="ZC82" s="412"/>
      <c r="ZD82" s="412"/>
      <c r="ZE82" s="412"/>
      <c r="ZF82" s="412"/>
      <c r="ZG82" s="412"/>
      <c r="ZH82" s="412"/>
      <c r="ZI82" s="412"/>
      <c r="ZJ82" s="412"/>
      <c r="ZK82" s="412"/>
      <c r="ZL82" s="412"/>
      <c r="ZM82" s="412"/>
      <c r="ZN82" s="412"/>
      <c r="ZO82" s="412"/>
      <c r="ZP82" s="412"/>
      <c r="ZQ82" s="412"/>
      <c r="ZR82" s="412"/>
      <c r="ZS82" s="412"/>
      <c r="ZT82" s="412"/>
      <c r="ZU82" s="412"/>
      <c r="ZV82" s="412"/>
      <c r="ZW82" s="412"/>
      <c r="ZX82" s="412"/>
      <c r="ZY82" s="412"/>
      <c r="ZZ82" s="412"/>
      <c r="AAA82" s="412"/>
      <c r="AAB82" s="412"/>
      <c r="AAC82" s="412"/>
      <c r="AAD82" s="412"/>
      <c r="AAE82" s="412"/>
      <c r="AAF82" s="412"/>
      <c r="AAG82" s="412"/>
      <c r="AAH82" s="412"/>
      <c r="AAI82" s="412"/>
      <c r="AAJ82" s="412"/>
      <c r="AAK82" s="412"/>
      <c r="AAL82" s="412"/>
      <c r="AAM82" s="412"/>
      <c r="AAN82" s="412"/>
      <c r="AAO82" s="412"/>
      <c r="AAP82" s="412"/>
      <c r="AAQ82" s="412"/>
      <c r="AAR82" s="412"/>
      <c r="AAS82" s="412"/>
      <c r="AAT82" s="412"/>
      <c r="AAU82" s="412"/>
      <c r="AAV82" s="412"/>
      <c r="AAW82" s="412"/>
      <c r="AAX82" s="412"/>
      <c r="AAY82" s="412"/>
      <c r="AAZ82" s="412"/>
      <c r="ABA82" s="412"/>
      <c r="ABB82" s="412"/>
      <c r="ABC82" s="412"/>
      <c r="ABD82" s="412"/>
      <c r="ABE82" s="412"/>
      <c r="ABF82" s="412"/>
      <c r="ABG82" s="412"/>
      <c r="ABH82" s="412"/>
      <c r="ABI82" s="412"/>
      <c r="ABJ82" s="412"/>
      <c r="ABK82" s="412"/>
      <c r="ABL82" s="412"/>
      <c r="ABM82" s="412"/>
      <c r="ABN82" s="412"/>
      <c r="ABO82" s="412"/>
      <c r="ABP82" s="412"/>
      <c r="ABQ82" s="412"/>
      <c r="ABR82" s="412"/>
      <c r="ABS82" s="412"/>
      <c r="ABT82" s="412"/>
      <c r="ABU82" s="412"/>
      <c r="ABV82" s="412"/>
      <c r="ABW82" s="412"/>
      <c r="ABX82" s="412"/>
      <c r="ABY82" s="412"/>
      <c r="ABZ82" s="412"/>
      <c r="ACA82" s="412"/>
      <c r="ACB82" s="412"/>
      <c r="ACC82" s="412"/>
      <c r="ACD82" s="412"/>
      <c r="ACE82" s="412"/>
      <c r="ACF82" s="412"/>
      <c r="ACG82" s="412"/>
      <c r="ACH82" s="412"/>
      <c r="ACI82" s="412"/>
      <c r="ACJ82" s="412"/>
      <c r="ACK82" s="412"/>
      <c r="ACL82" s="412"/>
      <c r="ACM82" s="412"/>
      <c r="ACN82" s="412"/>
      <c r="ACO82" s="412"/>
      <c r="ACP82" s="412"/>
      <c r="ACQ82" s="412"/>
      <c r="ACR82" s="412"/>
      <c r="ACS82" s="412"/>
      <c r="ACT82" s="412"/>
      <c r="ACU82" s="412"/>
      <c r="ACV82" s="412"/>
      <c r="ACW82" s="412"/>
      <c r="ACX82" s="412"/>
      <c r="ACY82" s="412"/>
      <c r="ACZ82" s="412"/>
      <c r="ADA82" s="412"/>
      <c r="ADB82" s="412"/>
      <c r="ADC82" s="412"/>
      <c r="ADD82" s="412"/>
      <c r="ADE82" s="412"/>
      <c r="ADF82" s="412"/>
      <c r="ADG82" s="412"/>
      <c r="ADH82" s="412"/>
      <c r="ADI82" s="412"/>
      <c r="ADJ82" s="412"/>
      <c r="ADK82" s="412"/>
      <c r="ADL82" s="412"/>
      <c r="ADM82" s="412"/>
      <c r="ADN82" s="412"/>
      <c r="ADO82" s="412"/>
      <c r="ADP82" s="412"/>
      <c r="ADQ82" s="412"/>
      <c r="ADR82" s="412"/>
      <c r="ADS82" s="412"/>
      <c r="ADT82" s="412"/>
      <c r="ADU82" s="412"/>
      <c r="ADV82" s="412"/>
      <c r="ADW82" s="412"/>
      <c r="ADX82" s="412"/>
      <c r="ADY82" s="412"/>
      <c r="ADZ82" s="412"/>
      <c r="AEA82" s="412"/>
      <c r="AEB82" s="412"/>
      <c r="AEC82" s="412"/>
      <c r="AED82" s="412"/>
      <c r="AEE82" s="412"/>
      <c r="AEF82" s="412"/>
      <c r="AEG82" s="412"/>
      <c r="AEH82" s="412"/>
      <c r="AEI82" s="412"/>
      <c r="AEJ82" s="412"/>
      <c r="AEK82" s="412"/>
      <c r="AEL82" s="412"/>
      <c r="AEM82" s="412"/>
      <c r="AEN82" s="412"/>
      <c r="AEO82" s="412"/>
      <c r="AEP82" s="412"/>
      <c r="AEQ82" s="412"/>
      <c r="AER82" s="412"/>
      <c r="AES82" s="412"/>
      <c r="AET82" s="412"/>
      <c r="AEU82" s="412"/>
      <c r="AEV82" s="412"/>
      <c r="AEW82" s="412"/>
      <c r="AEX82" s="412"/>
      <c r="AEY82" s="412"/>
      <c r="AEZ82" s="412"/>
      <c r="AFA82" s="412"/>
      <c r="AFB82" s="412"/>
      <c r="AFC82" s="412"/>
      <c r="AFD82" s="412"/>
      <c r="AFE82" s="412"/>
      <c r="AFF82" s="412"/>
      <c r="AFG82" s="412"/>
      <c r="AFH82" s="412"/>
      <c r="AFI82" s="412"/>
      <c r="AFJ82" s="412"/>
      <c r="AFK82" s="412"/>
      <c r="AFL82" s="412"/>
      <c r="AFM82" s="412"/>
      <c r="AFN82" s="412"/>
      <c r="AFO82" s="412"/>
      <c r="AFP82" s="412"/>
      <c r="AFQ82" s="412"/>
      <c r="AFR82" s="412"/>
      <c r="AFS82" s="412"/>
      <c r="AFT82" s="412"/>
      <c r="AFU82" s="412"/>
      <c r="AFV82" s="412"/>
      <c r="AFW82" s="412"/>
      <c r="AFX82" s="412"/>
      <c r="AFY82" s="412"/>
      <c r="AFZ82" s="412"/>
      <c r="AGA82" s="412"/>
      <c r="AGB82" s="412"/>
      <c r="AGC82" s="412"/>
      <c r="AGD82" s="412"/>
      <c r="AGE82" s="412"/>
      <c r="AGF82" s="412"/>
      <c r="AGG82" s="412"/>
      <c r="AGH82" s="412"/>
      <c r="AGI82" s="412"/>
      <c r="AGJ82" s="412"/>
      <c r="AGK82" s="412"/>
      <c r="AGL82" s="412"/>
      <c r="AGM82" s="412"/>
      <c r="AGN82" s="412"/>
      <c r="AGO82" s="412"/>
      <c r="AGP82" s="412"/>
      <c r="AGQ82" s="412"/>
      <c r="AGR82" s="412"/>
      <c r="AGS82" s="412"/>
      <c r="AGT82" s="412"/>
      <c r="AGU82" s="412"/>
      <c r="AGV82" s="412"/>
      <c r="AGW82" s="412"/>
      <c r="AGX82" s="412"/>
      <c r="AGY82" s="412"/>
      <c r="AGZ82" s="412"/>
      <c r="AHA82" s="412"/>
      <c r="AHB82" s="412"/>
      <c r="AHC82" s="412"/>
      <c r="AHD82" s="412"/>
      <c r="AHE82" s="412"/>
      <c r="AHF82" s="412"/>
      <c r="AHG82" s="412"/>
      <c r="AHH82" s="412"/>
      <c r="AHI82" s="412"/>
      <c r="AHJ82" s="412"/>
      <c r="AHK82" s="412"/>
      <c r="AHL82" s="412"/>
      <c r="AHM82" s="412"/>
      <c r="AHN82" s="412"/>
      <c r="AHO82" s="412"/>
      <c r="AHP82" s="412"/>
      <c r="AHQ82" s="412"/>
      <c r="AHR82" s="412"/>
      <c r="AHS82" s="412"/>
      <c r="AHT82" s="412"/>
      <c r="AHU82" s="412"/>
      <c r="AHV82" s="412"/>
      <c r="AHW82" s="412"/>
      <c r="AHX82" s="412"/>
      <c r="AHY82" s="412"/>
      <c r="AHZ82" s="412"/>
      <c r="AIA82" s="412"/>
      <c r="AIB82" s="412"/>
      <c r="AIC82" s="412"/>
      <c r="AID82" s="412"/>
      <c r="AIE82" s="412"/>
      <c r="AIF82" s="412"/>
      <c r="AIG82" s="412"/>
      <c r="AIH82" s="412"/>
      <c r="AII82" s="412"/>
      <c r="AIJ82" s="412"/>
      <c r="AIK82" s="412"/>
      <c r="AIL82" s="412"/>
      <c r="AIM82" s="412"/>
      <c r="AIN82" s="412"/>
      <c r="AIO82" s="412"/>
      <c r="AIP82" s="412"/>
      <c r="AIQ82" s="412"/>
      <c r="AIR82" s="412"/>
      <c r="AIS82" s="412"/>
      <c r="AIT82" s="412"/>
      <c r="AIU82" s="412"/>
      <c r="AIV82" s="412"/>
      <c r="AIW82" s="412"/>
      <c r="AIX82" s="412"/>
      <c r="AIY82" s="412"/>
      <c r="AIZ82" s="412"/>
      <c r="AJA82" s="412"/>
      <c r="AJB82" s="412"/>
      <c r="AJC82" s="412"/>
      <c r="AJD82" s="412"/>
      <c r="AJE82" s="412"/>
      <c r="AJF82" s="412"/>
      <c r="AJG82" s="412"/>
      <c r="AJH82" s="412"/>
      <c r="AJI82" s="412"/>
      <c r="AJJ82" s="412"/>
      <c r="AJK82" s="412"/>
      <c r="AJL82" s="412"/>
      <c r="AJM82" s="412"/>
      <c r="AJN82" s="412"/>
      <c r="AJO82" s="412"/>
      <c r="AJP82" s="412"/>
      <c r="AJQ82" s="412"/>
      <c r="AJR82" s="412"/>
      <c r="AJS82" s="412"/>
      <c r="AJT82" s="412"/>
      <c r="AJU82" s="412"/>
      <c r="AJV82" s="412"/>
      <c r="AJW82" s="412"/>
      <c r="AJX82" s="412"/>
      <c r="AJY82" s="412"/>
      <c r="AJZ82" s="412"/>
      <c r="AKA82" s="412"/>
      <c r="AKB82" s="412"/>
      <c r="AKC82" s="412"/>
      <c r="AKD82" s="412"/>
      <c r="AKE82" s="412"/>
      <c r="AKF82" s="412"/>
      <c r="AKG82" s="412"/>
      <c r="AKH82" s="412"/>
      <c r="AKI82" s="412"/>
      <c r="AKJ82" s="412"/>
      <c r="AKK82" s="412"/>
      <c r="AKL82" s="412"/>
      <c r="AKM82" s="412"/>
      <c r="AKN82" s="412"/>
      <c r="AKO82" s="412"/>
      <c r="AKP82" s="412"/>
      <c r="AKQ82" s="412"/>
      <c r="AKR82" s="412"/>
      <c r="AKS82" s="412"/>
      <c r="AKT82" s="412"/>
      <c r="AKU82" s="412"/>
      <c r="AKV82" s="412"/>
      <c r="AKW82" s="412"/>
      <c r="AKX82" s="412"/>
      <c r="AKY82" s="412"/>
      <c r="AKZ82" s="412"/>
      <c r="ALA82" s="412"/>
      <c r="ALB82" s="412"/>
      <c r="ALC82" s="412"/>
      <c r="ALD82" s="412"/>
      <c r="ALE82" s="412"/>
      <c r="ALF82" s="412"/>
      <c r="ALG82" s="412"/>
      <c r="ALH82" s="412"/>
      <c r="ALI82" s="412"/>
      <c r="ALJ82" s="412"/>
      <c r="ALK82" s="412"/>
      <c r="ALL82" s="412"/>
      <c r="ALM82" s="412"/>
      <c r="ALN82" s="412"/>
      <c r="ALO82" s="412"/>
      <c r="ALP82" s="412"/>
      <c r="ALQ82" s="412"/>
      <c r="ALR82" s="412"/>
      <c r="ALS82" s="412"/>
      <c r="ALT82" s="412"/>
      <c r="ALU82" s="412"/>
      <c r="ALV82" s="412"/>
      <c r="ALW82" s="412"/>
      <c r="ALX82" s="412"/>
      <c r="ALY82" s="412"/>
      <c r="ALZ82" s="412"/>
      <c r="AMA82" s="412"/>
      <c r="AMB82" s="412"/>
      <c r="AMC82" s="412"/>
      <c r="AMD82" s="412"/>
      <c r="AME82" s="412"/>
      <c r="AMF82" s="412"/>
      <c r="AMG82" s="412"/>
      <c r="AMH82" s="412"/>
      <c r="AMI82" s="412"/>
      <c r="AMJ82" s="412"/>
      <c r="AMK82" s="412"/>
      <c r="AML82" s="412"/>
      <c r="AMM82" s="412"/>
      <c r="AMN82" s="412"/>
      <c r="AMO82" s="412"/>
      <c r="AMP82" s="412"/>
      <c r="AMQ82" s="412"/>
      <c r="AMR82" s="412"/>
      <c r="AMS82" s="412"/>
      <c r="AMT82" s="412"/>
      <c r="AMU82" s="412"/>
      <c r="AMV82" s="412"/>
      <c r="AMW82" s="412"/>
      <c r="AMX82" s="412"/>
      <c r="AMY82" s="412"/>
      <c r="AMZ82" s="412"/>
      <c r="ANA82" s="412"/>
      <c r="ANB82" s="412"/>
      <c r="ANC82" s="412"/>
      <c r="AND82" s="412"/>
      <c r="ANE82" s="412"/>
      <c r="ANF82" s="412"/>
      <c r="ANG82" s="412"/>
      <c r="ANH82" s="412"/>
      <c r="ANI82" s="412"/>
      <c r="ANJ82" s="412"/>
      <c r="ANK82" s="412"/>
      <c r="ANL82" s="412"/>
      <c r="ANM82" s="412"/>
      <c r="ANN82" s="412"/>
      <c r="ANO82" s="412"/>
      <c r="ANP82" s="412"/>
      <c r="ANQ82" s="412"/>
      <c r="ANR82" s="412"/>
      <c r="ANS82" s="412"/>
      <c r="ANT82" s="412"/>
      <c r="ANU82" s="412"/>
      <c r="ANV82" s="412"/>
      <c r="ANW82" s="412"/>
      <c r="ANX82" s="412"/>
      <c r="ANY82" s="412"/>
      <c r="ANZ82" s="412"/>
      <c r="AOA82" s="412"/>
      <c r="AOB82" s="412"/>
      <c r="AOC82" s="412"/>
      <c r="AOD82" s="412"/>
      <c r="AOE82" s="412"/>
      <c r="AOF82" s="412"/>
      <c r="AOG82" s="412"/>
      <c r="AOH82" s="412"/>
      <c r="AOI82" s="412"/>
      <c r="AOJ82" s="412"/>
      <c r="AOK82" s="412"/>
      <c r="AOL82" s="412"/>
      <c r="AOM82" s="412"/>
      <c r="AON82" s="412"/>
      <c r="AOO82" s="412"/>
      <c r="AOP82" s="412"/>
      <c r="AOQ82" s="412"/>
      <c r="AOR82" s="412"/>
      <c r="AOS82" s="412"/>
      <c r="AOT82" s="412"/>
      <c r="AOU82" s="412"/>
      <c r="AOV82" s="412"/>
      <c r="AOW82" s="412"/>
      <c r="AOX82" s="412"/>
      <c r="AOY82" s="412"/>
      <c r="AOZ82" s="412"/>
      <c r="APA82" s="412"/>
      <c r="APB82" s="412"/>
      <c r="APC82" s="412"/>
      <c r="APD82" s="412"/>
      <c r="APE82" s="412"/>
      <c r="APF82" s="412"/>
      <c r="APG82" s="412"/>
      <c r="APH82" s="412"/>
      <c r="API82" s="412"/>
      <c r="APJ82" s="412"/>
      <c r="APK82" s="412"/>
      <c r="APL82" s="412"/>
      <c r="APM82" s="412"/>
      <c r="APN82" s="412"/>
      <c r="APO82" s="412"/>
      <c r="APP82" s="412"/>
      <c r="APQ82" s="412"/>
      <c r="APR82" s="412"/>
      <c r="APS82" s="412"/>
      <c r="APT82" s="412"/>
      <c r="APU82" s="412"/>
      <c r="APV82" s="412"/>
      <c r="APW82" s="412"/>
      <c r="APX82" s="412"/>
      <c r="APY82" s="412"/>
      <c r="APZ82" s="412"/>
      <c r="AQA82" s="412"/>
      <c r="AQB82" s="412"/>
      <c r="AQC82" s="412"/>
      <c r="AQD82" s="412"/>
      <c r="AQE82" s="412"/>
      <c r="AQF82" s="412"/>
      <c r="AQG82" s="412"/>
      <c r="AQH82" s="412"/>
      <c r="AQI82" s="412"/>
      <c r="AQJ82" s="412"/>
      <c r="AQK82" s="412"/>
      <c r="AQL82" s="412"/>
      <c r="AQM82" s="412"/>
      <c r="AQN82" s="412"/>
      <c r="AQO82" s="412"/>
      <c r="AQP82" s="412"/>
      <c r="AQQ82" s="412"/>
      <c r="AQR82" s="412"/>
      <c r="AQS82" s="412"/>
      <c r="AQT82" s="412"/>
      <c r="AQU82" s="412"/>
      <c r="AQV82" s="412"/>
      <c r="AQW82" s="412"/>
      <c r="AQX82" s="412"/>
      <c r="AQY82" s="412"/>
      <c r="AQZ82" s="412"/>
      <c r="ARA82" s="412"/>
      <c r="ARB82" s="412"/>
      <c r="ARC82" s="412"/>
      <c r="ARD82" s="412"/>
      <c r="ARE82" s="412"/>
      <c r="ARF82" s="412"/>
      <c r="ARG82" s="412"/>
      <c r="ARH82" s="412"/>
      <c r="ARI82" s="412"/>
      <c r="ARJ82" s="412"/>
      <c r="ARK82" s="412"/>
      <c r="ARL82" s="412"/>
      <c r="ARM82" s="412"/>
      <c r="ARN82" s="412"/>
      <c r="ARO82" s="412"/>
      <c r="ARP82" s="412"/>
      <c r="ARQ82" s="412"/>
      <c r="ARR82" s="412"/>
      <c r="ARS82" s="412"/>
      <c r="ART82" s="412"/>
      <c r="ARU82" s="412"/>
      <c r="ARV82" s="412"/>
      <c r="ARW82" s="412"/>
      <c r="ARX82" s="412"/>
      <c r="ARY82" s="412"/>
      <c r="ARZ82" s="412"/>
      <c r="ASA82" s="412"/>
      <c r="ASB82" s="412"/>
      <c r="ASC82" s="412"/>
      <c r="ASD82" s="412"/>
      <c r="ASE82" s="412"/>
      <c r="ASF82" s="412"/>
      <c r="ASG82" s="412"/>
      <c r="ASH82" s="412"/>
      <c r="ASI82" s="412"/>
      <c r="ASJ82" s="412"/>
      <c r="ASK82" s="412"/>
      <c r="ASL82" s="412"/>
      <c r="ASM82" s="412"/>
      <c r="ASN82" s="412"/>
      <c r="ASO82" s="412"/>
      <c r="ASP82" s="412"/>
      <c r="ASQ82" s="412"/>
      <c r="ASR82" s="412"/>
      <c r="ASS82" s="412"/>
      <c r="AST82" s="412"/>
      <c r="ASU82" s="412"/>
      <c r="ASV82" s="412"/>
      <c r="ASW82" s="412"/>
      <c r="ASX82" s="412"/>
      <c r="ASY82" s="412"/>
      <c r="ASZ82" s="412"/>
      <c r="ATA82" s="412"/>
      <c r="ATB82" s="412"/>
      <c r="ATC82" s="412"/>
      <c r="ATD82" s="412"/>
      <c r="ATE82" s="412"/>
      <c r="ATF82" s="412"/>
      <c r="ATG82" s="412"/>
      <c r="ATH82" s="412"/>
      <c r="ATI82" s="412"/>
      <c r="ATJ82" s="412"/>
      <c r="ATK82" s="412"/>
      <c r="ATL82" s="412"/>
      <c r="ATM82" s="412"/>
      <c r="ATN82" s="412"/>
      <c r="ATO82" s="412"/>
      <c r="ATP82" s="412"/>
      <c r="ATQ82" s="412"/>
      <c r="ATR82" s="412"/>
      <c r="ATS82" s="412"/>
      <c r="ATT82" s="412"/>
      <c r="ATU82" s="412"/>
      <c r="ATV82" s="412"/>
      <c r="ATW82" s="412"/>
      <c r="ATX82" s="412"/>
      <c r="ATY82" s="412"/>
      <c r="ATZ82" s="412"/>
      <c r="AUA82" s="412"/>
      <c r="AUB82" s="412"/>
      <c r="AUC82" s="412"/>
      <c r="AUD82" s="412"/>
      <c r="AUE82" s="412"/>
      <c r="AUF82" s="412"/>
      <c r="AUG82" s="412"/>
      <c r="AUH82" s="412"/>
      <c r="AUI82" s="412"/>
      <c r="AUJ82" s="412"/>
      <c r="AUK82" s="412"/>
      <c r="AUL82" s="412"/>
      <c r="AUM82" s="412"/>
      <c r="AUN82" s="412"/>
      <c r="AUO82" s="412"/>
      <c r="AUP82" s="412"/>
      <c r="AUQ82" s="412"/>
      <c r="AUR82" s="412"/>
      <c r="AUS82" s="412"/>
      <c r="AUT82" s="412"/>
      <c r="AUU82" s="412"/>
      <c r="AUV82" s="412"/>
      <c r="AUW82" s="412"/>
      <c r="AUX82" s="412"/>
      <c r="AUY82" s="412"/>
      <c r="AUZ82" s="412"/>
      <c r="AVA82" s="412"/>
      <c r="AVB82" s="412"/>
      <c r="AVC82" s="412"/>
      <c r="AVD82" s="412"/>
      <c r="AVE82" s="412"/>
      <c r="AVF82" s="412"/>
      <c r="AVG82" s="412"/>
      <c r="AVH82" s="412"/>
      <c r="AVI82" s="412"/>
      <c r="AVJ82" s="412"/>
      <c r="AVK82" s="412"/>
      <c r="AVL82" s="412"/>
      <c r="AVM82" s="412"/>
      <c r="AVN82" s="412"/>
      <c r="AVO82" s="412"/>
      <c r="AVP82" s="412"/>
      <c r="AVQ82" s="412"/>
      <c r="AVR82" s="412"/>
      <c r="AVS82" s="412"/>
      <c r="AVT82" s="412"/>
      <c r="AVU82" s="412"/>
      <c r="AVV82" s="412"/>
      <c r="AVW82" s="412"/>
      <c r="AVX82" s="412"/>
      <c r="AVY82" s="412"/>
      <c r="AVZ82" s="412"/>
      <c r="AWA82" s="412"/>
      <c r="AWB82" s="412"/>
      <c r="AWC82" s="412"/>
      <c r="AWD82" s="412"/>
      <c r="AWE82" s="412"/>
      <c r="AWF82" s="412"/>
      <c r="AWG82" s="412"/>
      <c r="AWH82" s="412"/>
      <c r="AWI82" s="412"/>
      <c r="AWJ82" s="412"/>
      <c r="AWK82" s="412"/>
      <c r="AWL82" s="412"/>
      <c r="AWM82" s="412"/>
      <c r="AWN82" s="412"/>
      <c r="AWO82" s="412"/>
      <c r="AWP82" s="412"/>
      <c r="AWQ82" s="412"/>
      <c r="AWR82" s="412"/>
      <c r="AWS82" s="412"/>
      <c r="AWT82" s="412"/>
      <c r="AWU82" s="412"/>
      <c r="AWV82" s="412"/>
      <c r="AWW82" s="412"/>
      <c r="AWX82" s="412"/>
      <c r="AWY82" s="412"/>
      <c r="AWZ82" s="412"/>
      <c r="AXA82" s="412"/>
      <c r="AXB82" s="412"/>
      <c r="AXC82" s="412"/>
      <c r="AXD82" s="412"/>
      <c r="AXE82" s="412"/>
      <c r="AXF82" s="412"/>
      <c r="AXG82" s="412"/>
      <c r="AXH82" s="412"/>
      <c r="AXI82" s="412"/>
      <c r="AXJ82" s="412"/>
      <c r="AXK82" s="412"/>
      <c r="AXL82" s="412"/>
      <c r="AXM82" s="412"/>
      <c r="AXN82" s="412"/>
      <c r="AXO82" s="412"/>
      <c r="AXP82" s="412"/>
      <c r="AXQ82" s="412"/>
      <c r="AXR82" s="412"/>
      <c r="AXS82" s="412"/>
      <c r="AXT82" s="412"/>
      <c r="AXU82" s="412"/>
      <c r="AXV82" s="412"/>
      <c r="AXW82" s="412"/>
      <c r="AXX82" s="412"/>
      <c r="AXY82" s="412"/>
      <c r="AXZ82" s="412"/>
      <c r="AYA82" s="412"/>
      <c r="AYB82" s="412"/>
      <c r="AYC82" s="412"/>
      <c r="AYD82" s="412"/>
      <c r="AYE82" s="412"/>
      <c r="AYF82" s="412"/>
      <c r="AYG82" s="412"/>
      <c r="AYH82" s="412"/>
      <c r="AYI82" s="412"/>
      <c r="AYJ82" s="412"/>
      <c r="AYK82" s="412"/>
      <c r="AYL82" s="412"/>
      <c r="AYM82" s="412"/>
      <c r="AYN82" s="412"/>
      <c r="AYO82" s="412"/>
      <c r="AYP82" s="412"/>
      <c r="AYQ82" s="412"/>
      <c r="AYR82" s="412"/>
      <c r="AYS82" s="412"/>
      <c r="AYT82" s="412"/>
      <c r="AYU82" s="412"/>
      <c r="AYV82" s="412"/>
      <c r="AYW82" s="412"/>
      <c r="AYX82" s="412"/>
      <c r="AYY82" s="412"/>
      <c r="AYZ82" s="412"/>
      <c r="AZA82" s="412"/>
      <c r="AZB82" s="412"/>
      <c r="AZC82" s="412"/>
      <c r="AZD82" s="412"/>
      <c r="AZE82" s="412"/>
      <c r="AZF82" s="412"/>
      <c r="AZG82" s="412"/>
      <c r="AZH82" s="412"/>
      <c r="AZI82" s="412"/>
      <c r="AZJ82" s="412"/>
      <c r="AZK82" s="412"/>
      <c r="AZL82" s="412"/>
      <c r="AZM82" s="412"/>
      <c r="AZN82" s="412"/>
      <c r="AZO82" s="412"/>
      <c r="AZP82" s="412"/>
      <c r="AZQ82" s="412"/>
      <c r="AZR82" s="412"/>
      <c r="AZS82" s="412"/>
      <c r="AZT82" s="412"/>
      <c r="AZU82" s="412"/>
      <c r="AZV82" s="412"/>
      <c r="AZW82" s="412"/>
      <c r="AZX82" s="412"/>
      <c r="AZY82" s="412"/>
      <c r="AZZ82" s="412"/>
      <c r="BAA82" s="412"/>
      <c r="BAB82" s="412"/>
      <c r="BAC82" s="412"/>
      <c r="BAD82" s="412"/>
      <c r="BAE82" s="412"/>
      <c r="BAF82" s="412"/>
      <c r="BAG82" s="412"/>
      <c r="BAH82" s="412"/>
      <c r="BAI82" s="412"/>
      <c r="BAJ82" s="412"/>
      <c r="BAK82" s="412"/>
      <c r="BAL82" s="412"/>
      <c r="BAM82" s="412"/>
      <c r="BAN82" s="412"/>
      <c r="BAO82" s="412"/>
      <c r="BAP82" s="412"/>
      <c r="BAQ82" s="412"/>
      <c r="BAR82" s="412"/>
      <c r="BAS82" s="412"/>
      <c r="BAT82" s="412"/>
      <c r="BAU82" s="412"/>
      <c r="BAV82" s="412"/>
      <c r="BAW82" s="412"/>
      <c r="BAX82" s="412"/>
      <c r="BAY82" s="412"/>
      <c r="BAZ82" s="412"/>
      <c r="BBA82" s="412"/>
      <c r="BBB82" s="412"/>
      <c r="BBC82" s="412"/>
      <c r="BBD82" s="412"/>
      <c r="BBE82" s="412"/>
      <c r="BBF82" s="412"/>
      <c r="BBG82" s="412"/>
      <c r="BBH82" s="412"/>
      <c r="BBI82" s="412"/>
      <c r="BBJ82" s="412"/>
      <c r="BBK82" s="412"/>
      <c r="BBL82" s="412"/>
      <c r="BBM82" s="412"/>
      <c r="BBN82" s="412"/>
      <c r="BBO82" s="412"/>
      <c r="BBP82" s="412"/>
      <c r="BBQ82" s="412"/>
      <c r="BBR82" s="412"/>
      <c r="BBS82" s="412"/>
      <c r="BBT82" s="412"/>
      <c r="BBU82" s="412"/>
      <c r="BBV82" s="412"/>
      <c r="BBW82" s="412"/>
      <c r="BBX82" s="412"/>
      <c r="BBY82" s="412"/>
      <c r="BBZ82" s="412"/>
      <c r="BCA82" s="412"/>
      <c r="BCB82" s="412"/>
      <c r="BCC82" s="412"/>
      <c r="BCD82" s="412"/>
      <c r="BCE82" s="412"/>
      <c r="BCF82" s="412"/>
      <c r="BCG82" s="412"/>
      <c r="BCH82" s="412"/>
      <c r="BCI82" s="412"/>
      <c r="BCJ82" s="412"/>
      <c r="BCK82" s="412"/>
      <c r="BCL82" s="412"/>
      <c r="BCM82" s="412"/>
      <c r="BCN82" s="412"/>
      <c r="BCO82" s="412"/>
      <c r="BCP82" s="412"/>
      <c r="BCQ82" s="412"/>
      <c r="BCR82" s="412"/>
      <c r="BCS82" s="412"/>
      <c r="BCT82" s="412"/>
      <c r="BCU82" s="412"/>
      <c r="BCV82" s="412"/>
      <c r="BCW82" s="412"/>
      <c r="BCX82" s="412"/>
      <c r="BCY82" s="412"/>
      <c r="BCZ82" s="412"/>
      <c r="BDA82" s="412"/>
      <c r="BDB82" s="412"/>
      <c r="BDC82" s="412"/>
      <c r="BDD82" s="412"/>
      <c r="BDE82" s="412"/>
      <c r="BDF82" s="412"/>
      <c r="BDG82" s="412"/>
      <c r="BDH82" s="412"/>
      <c r="BDI82" s="412"/>
      <c r="BDJ82" s="412"/>
      <c r="BDK82" s="412"/>
      <c r="BDL82" s="412"/>
      <c r="BDM82" s="412"/>
      <c r="BDN82" s="412"/>
      <c r="BDO82" s="412"/>
      <c r="BDP82" s="412"/>
      <c r="BDQ82" s="412"/>
      <c r="BDR82" s="412"/>
      <c r="BDS82" s="412"/>
      <c r="BDT82" s="412"/>
      <c r="BDU82" s="412"/>
      <c r="BDV82" s="412"/>
      <c r="BDW82" s="412"/>
      <c r="BDX82" s="412"/>
      <c r="BDY82" s="412"/>
      <c r="BDZ82" s="412"/>
      <c r="BEA82" s="412"/>
      <c r="BEB82" s="412"/>
      <c r="BEC82" s="412"/>
      <c r="BED82" s="412"/>
      <c r="BEE82" s="412"/>
      <c r="BEF82" s="412"/>
      <c r="BEG82" s="412"/>
      <c r="BEH82" s="412"/>
      <c r="BEI82" s="412"/>
      <c r="BEJ82" s="412"/>
      <c r="BEK82" s="412"/>
      <c r="BEL82" s="412"/>
      <c r="BEM82" s="412"/>
      <c r="BEN82" s="412"/>
      <c r="BEO82" s="412"/>
      <c r="BEP82" s="412"/>
      <c r="BEQ82" s="412"/>
      <c r="BER82" s="412"/>
      <c r="BES82" s="412"/>
      <c r="BET82" s="412"/>
      <c r="BEU82" s="412"/>
      <c r="BEV82" s="412"/>
      <c r="BEW82" s="412"/>
      <c r="BEX82" s="412"/>
      <c r="BEY82" s="412"/>
      <c r="BEZ82" s="412"/>
      <c r="BFA82" s="412"/>
      <c r="BFB82" s="412"/>
      <c r="BFC82" s="412"/>
      <c r="BFD82" s="412"/>
      <c r="BFE82" s="412"/>
      <c r="BFF82" s="412"/>
      <c r="BFG82" s="412"/>
      <c r="BFH82" s="412"/>
      <c r="BFI82" s="412"/>
      <c r="BFJ82" s="412"/>
      <c r="BFK82" s="412"/>
      <c r="BFL82" s="412"/>
      <c r="BFM82" s="412"/>
      <c r="BFN82" s="412"/>
      <c r="BFO82" s="412"/>
      <c r="BFP82" s="412"/>
      <c r="BFQ82" s="412"/>
      <c r="BFR82" s="412"/>
      <c r="BFS82" s="412"/>
      <c r="BFT82" s="412"/>
      <c r="BFU82" s="412"/>
      <c r="BFV82" s="412"/>
      <c r="BFW82" s="412"/>
      <c r="BFX82" s="412"/>
      <c r="BFY82" s="412"/>
      <c r="BFZ82" s="412"/>
      <c r="BGA82" s="412"/>
      <c r="BGB82" s="412"/>
      <c r="BGC82" s="412"/>
      <c r="BGD82" s="412"/>
      <c r="BGE82" s="412"/>
      <c r="BGF82" s="412"/>
      <c r="BGG82" s="412"/>
      <c r="BGH82" s="412"/>
      <c r="BGI82" s="412"/>
      <c r="BGJ82" s="412"/>
      <c r="BGK82" s="412"/>
      <c r="BGL82" s="412"/>
      <c r="BGM82" s="412"/>
      <c r="BGN82" s="412"/>
      <c r="BGO82" s="412"/>
      <c r="BGP82" s="412"/>
      <c r="BGQ82" s="412"/>
      <c r="BGR82" s="412"/>
      <c r="BGS82" s="412"/>
      <c r="BGT82" s="412"/>
      <c r="BGU82" s="412"/>
      <c r="BGV82" s="412"/>
      <c r="BGW82" s="412"/>
      <c r="BGX82" s="412"/>
      <c r="BGY82" s="412"/>
      <c r="BGZ82" s="412"/>
      <c r="BHA82" s="412"/>
      <c r="BHB82" s="412"/>
      <c r="BHC82" s="412"/>
      <c r="BHD82" s="412"/>
      <c r="BHE82" s="412"/>
      <c r="BHF82" s="412"/>
      <c r="BHG82" s="412"/>
      <c r="BHH82" s="412"/>
      <c r="BHI82" s="412"/>
      <c r="BHJ82" s="412"/>
      <c r="BHK82" s="412"/>
      <c r="BHL82" s="412"/>
      <c r="BHM82" s="412"/>
      <c r="BHN82" s="412"/>
      <c r="BHO82" s="412"/>
      <c r="BHP82" s="412"/>
      <c r="BHQ82" s="412"/>
      <c r="BHR82" s="412"/>
      <c r="BHS82" s="412"/>
      <c r="BHT82" s="412"/>
      <c r="BHU82" s="412"/>
      <c r="BHV82" s="412"/>
      <c r="BHW82" s="412"/>
      <c r="BHX82" s="412"/>
      <c r="BHY82" s="412"/>
      <c r="BHZ82" s="412"/>
      <c r="BIA82" s="412"/>
      <c r="BIB82" s="412"/>
      <c r="BIC82" s="412"/>
      <c r="BID82" s="412"/>
      <c r="BIE82" s="412"/>
      <c r="BIF82" s="412"/>
      <c r="BIG82" s="412"/>
      <c r="BIH82" s="412"/>
      <c r="BII82" s="412"/>
      <c r="BIJ82" s="412"/>
      <c r="BIK82" s="412"/>
      <c r="BIL82" s="412"/>
      <c r="BIM82" s="412"/>
      <c r="BIN82" s="412"/>
      <c r="BIO82" s="412"/>
      <c r="BIP82" s="412"/>
      <c r="BIQ82" s="412"/>
      <c r="BIR82" s="412"/>
      <c r="BIS82" s="412"/>
      <c r="BIT82" s="412"/>
      <c r="BIU82" s="412"/>
      <c r="BIV82" s="412"/>
      <c r="BIW82" s="412"/>
      <c r="BIX82" s="412"/>
      <c r="BIY82" s="412"/>
      <c r="BIZ82" s="412"/>
      <c r="BJA82" s="412"/>
      <c r="BJB82" s="412"/>
      <c r="BJC82" s="412"/>
      <c r="BJD82" s="412"/>
      <c r="BJE82" s="412"/>
      <c r="BJF82" s="412"/>
      <c r="BJG82" s="412"/>
      <c r="BJH82" s="412"/>
      <c r="BJI82" s="412"/>
      <c r="BJJ82" s="412"/>
      <c r="BJK82" s="412"/>
      <c r="BJL82" s="412"/>
      <c r="BJM82" s="412"/>
      <c r="BJN82" s="412"/>
      <c r="BJO82" s="412"/>
      <c r="BJP82" s="412"/>
      <c r="BJQ82" s="412"/>
      <c r="BJR82" s="412"/>
      <c r="BJS82" s="412"/>
      <c r="BJT82" s="412"/>
      <c r="BJU82" s="412"/>
      <c r="BJV82" s="412"/>
      <c r="BJW82" s="412"/>
      <c r="BJX82" s="412"/>
      <c r="BJY82" s="412"/>
      <c r="BJZ82" s="412"/>
      <c r="BKA82" s="412"/>
      <c r="BKB82" s="412"/>
      <c r="BKC82" s="412"/>
      <c r="BKD82" s="412"/>
      <c r="BKE82" s="412"/>
      <c r="BKF82" s="412"/>
      <c r="BKG82" s="412"/>
      <c r="BKH82" s="412"/>
      <c r="BKI82" s="412"/>
      <c r="BKJ82" s="412"/>
      <c r="BKK82" s="412"/>
      <c r="BKL82" s="412"/>
      <c r="BKM82" s="412"/>
      <c r="BKN82" s="412"/>
      <c r="BKO82" s="412"/>
      <c r="BKP82" s="412"/>
      <c r="BKQ82" s="412"/>
      <c r="BKR82" s="412"/>
      <c r="BKS82" s="412"/>
      <c r="BKT82" s="412"/>
      <c r="BKU82" s="412"/>
      <c r="BKV82" s="412"/>
      <c r="BKW82" s="412"/>
      <c r="BKX82" s="412"/>
      <c r="BKY82" s="412"/>
      <c r="BKZ82" s="412"/>
      <c r="BLA82" s="412"/>
      <c r="BLB82" s="412"/>
      <c r="BLC82" s="412"/>
      <c r="BLD82" s="412"/>
      <c r="BLE82" s="412"/>
      <c r="BLF82" s="412"/>
      <c r="BLG82" s="412"/>
      <c r="BLH82" s="412"/>
      <c r="BLI82" s="412"/>
      <c r="BLJ82" s="412"/>
      <c r="BLK82" s="412"/>
      <c r="BLL82" s="412"/>
      <c r="BLM82" s="412"/>
      <c r="BLN82" s="412"/>
      <c r="BLO82" s="412"/>
      <c r="BLP82" s="412"/>
      <c r="BLQ82" s="412"/>
      <c r="BLR82" s="412"/>
      <c r="BLS82" s="412"/>
      <c r="BLT82" s="412"/>
      <c r="BLU82" s="412"/>
      <c r="BLV82" s="412"/>
      <c r="BLW82" s="412"/>
      <c r="BLX82" s="412"/>
      <c r="BLY82" s="412"/>
      <c r="BLZ82" s="412"/>
      <c r="BMA82" s="412"/>
      <c r="BMB82" s="412"/>
      <c r="BMC82" s="412"/>
      <c r="BMD82" s="412"/>
      <c r="BME82" s="412"/>
      <c r="BMF82" s="412"/>
      <c r="BMG82" s="412"/>
      <c r="BMH82" s="412"/>
      <c r="BMI82" s="412"/>
      <c r="BMJ82" s="412"/>
      <c r="BMK82" s="412"/>
      <c r="BML82" s="412"/>
      <c r="BMM82" s="412"/>
      <c r="BMN82" s="412"/>
      <c r="BMO82" s="412"/>
      <c r="BMP82" s="412"/>
      <c r="BMQ82" s="412"/>
      <c r="BMR82" s="412"/>
      <c r="BMS82" s="412"/>
      <c r="BMT82" s="412"/>
      <c r="BMU82" s="412"/>
      <c r="BMV82" s="412"/>
      <c r="BMW82" s="412"/>
      <c r="BMX82" s="412"/>
      <c r="BMY82" s="412"/>
      <c r="BMZ82" s="412"/>
      <c r="BNA82" s="412"/>
      <c r="BNB82" s="412"/>
      <c r="BNC82" s="412"/>
      <c r="BND82" s="412"/>
      <c r="BNE82" s="412"/>
      <c r="BNF82" s="412"/>
      <c r="BNG82" s="412"/>
      <c r="BNH82" s="412"/>
      <c r="BNI82" s="412"/>
      <c r="BNJ82" s="412"/>
      <c r="BNK82" s="412"/>
      <c r="BNL82" s="412"/>
      <c r="BNM82" s="412"/>
      <c r="BNN82" s="412"/>
      <c r="BNO82" s="412"/>
      <c r="BNP82" s="412"/>
      <c r="BNQ82" s="412"/>
      <c r="BNR82" s="412"/>
      <c r="BNS82" s="412"/>
      <c r="BNT82" s="412"/>
      <c r="BNU82" s="412"/>
      <c r="BNV82" s="412"/>
      <c r="BNW82" s="412"/>
      <c r="BNX82" s="412"/>
      <c r="BNY82" s="412"/>
      <c r="BNZ82" s="412"/>
      <c r="BOA82" s="412"/>
      <c r="BOB82" s="412"/>
      <c r="BOC82" s="412"/>
      <c r="BOD82" s="412"/>
      <c r="BOE82" s="412"/>
      <c r="BOF82" s="412"/>
      <c r="BOG82" s="412"/>
      <c r="BOH82" s="412"/>
      <c r="BOI82" s="412"/>
      <c r="BOJ82" s="412"/>
      <c r="BOK82" s="412"/>
      <c r="BOL82" s="412"/>
      <c r="BOM82" s="412"/>
      <c r="BON82" s="412"/>
      <c r="BOO82" s="412"/>
      <c r="BOP82" s="412"/>
      <c r="BOQ82" s="412"/>
      <c r="BOR82" s="412"/>
      <c r="BOS82" s="412"/>
      <c r="BOT82" s="412"/>
      <c r="BOU82" s="412"/>
      <c r="BOV82" s="412"/>
      <c r="BOW82" s="412"/>
      <c r="BOX82" s="412"/>
      <c r="BOY82" s="412"/>
      <c r="BOZ82" s="412"/>
      <c r="BPA82" s="412"/>
      <c r="BPB82" s="412"/>
      <c r="BPC82" s="412"/>
      <c r="BPD82" s="412"/>
      <c r="BPE82" s="412"/>
      <c r="BPF82" s="412"/>
      <c r="BPG82" s="412"/>
      <c r="BPH82" s="412"/>
      <c r="BPI82" s="412"/>
      <c r="BPJ82" s="412"/>
      <c r="BPK82" s="412"/>
      <c r="BPL82" s="412"/>
      <c r="BPM82" s="412"/>
      <c r="BPN82" s="412"/>
      <c r="BPO82" s="412"/>
      <c r="BPP82" s="412"/>
      <c r="BPQ82" s="412"/>
      <c r="BPR82" s="412"/>
      <c r="BPS82" s="412"/>
      <c r="BPT82" s="412"/>
      <c r="BPU82" s="412"/>
      <c r="BPV82" s="412"/>
      <c r="BPW82" s="412"/>
      <c r="BPX82" s="412"/>
      <c r="BPY82" s="412"/>
      <c r="BPZ82" s="412"/>
      <c r="BQA82" s="412"/>
      <c r="BQB82" s="412"/>
      <c r="BQC82" s="412"/>
      <c r="BQD82" s="412"/>
      <c r="BQE82" s="412"/>
      <c r="BQF82" s="412"/>
      <c r="BQG82" s="412"/>
      <c r="BQH82" s="412"/>
      <c r="BQI82" s="412"/>
      <c r="BQJ82" s="412"/>
      <c r="BQK82" s="412"/>
      <c r="BQL82" s="412"/>
      <c r="BQM82" s="412"/>
      <c r="BQN82" s="412"/>
      <c r="BQO82" s="412"/>
      <c r="BQP82" s="412"/>
      <c r="BQQ82" s="412"/>
      <c r="BQR82" s="412"/>
      <c r="BQS82" s="412"/>
      <c r="BQT82" s="412"/>
      <c r="BQU82" s="412"/>
      <c r="BQV82" s="412"/>
      <c r="BQW82" s="412"/>
      <c r="BQX82" s="412"/>
      <c r="BQY82" s="412"/>
      <c r="BQZ82" s="412"/>
      <c r="BRA82" s="412"/>
      <c r="BRB82" s="412"/>
      <c r="BRC82" s="412"/>
      <c r="BRD82" s="412"/>
      <c r="BRE82" s="412"/>
      <c r="BRF82" s="412"/>
      <c r="BRG82" s="412"/>
      <c r="BRH82" s="412"/>
      <c r="BRI82" s="412"/>
      <c r="BRJ82" s="412"/>
      <c r="BRK82" s="412"/>
      <c r="BRL82" s="412"/>
      <c r="BRM82" s="412"/>
      <c r="BRN82" s="412"/>
      <c r="BRO82" s="412"/>
      <c r="BRP82" s="412"/>
      <c r="BRQ82" s="412"/>
      <c r="BRR82" s="412"/>
      <c r="BRS82" s="412"/>
      <c r="BRT82" s="412"/>
      <c r="BRU82" s="412"/>
      <c r="BRV82" s="412"/>
      <c r="BRW82" s="412"/>
      <c r="BRX82" s="412"/>
      <c r="BRY82" s="412"/>
      <c r="BRZ82" s="412"/>
      <c r="BSA82" s="412"/>
      <c r="BSB82" s="412"/>
      <c r="BSC82" s="412"/>
      <c r="BSD82" s="412"/>
      <c r="BSE82" s="412"/>
      <c r="BSF82" s="412"/>
      <c r="BSG82" s="412"/>
      <c r="BSH82" s="412"/>
      <c r="BSI82" s="412"/>
      <c r="BSJ82" s="412"/>
      <c r="BSK82" s="412"/>
      <c r="BSL82" s="412"/>
      <c r="BSM82" s="412"/>
      <c r="BSN82" s="412"/>
      <c r="BSO82" s="412"/>
      <c r="BSP82" s="412"/>
      <c r="BSQ82" s="412"/>
      <c r="BSR82" s="412"/>
      <c r="BSS82" s="412"/>
      <c r="BST82" s="412"/>
      <c r="BSU82" s="412"/>
      <c r="BSV82" s="412"/>
      <c r="BSW82" s="412"/>
      <c r="BSX82" s="412"/>
      <c r="BSY82" s="412"/>
      <c r="BSZ82" s="412"/>
      <c r="BTA82" s="412"/>
      <c r="BTB82" s="412"/>
      <c r="BTC82" s="412"/>
      <c r="BTD82" s="412"/>
      <c r="BTE82" s="412"/>
      <c r="BTF82" s="412"/>
      <c r="BTG82" s="412"/>
      <c r="BTH82" s="412"/>
      <c r="BTI82" s="412"/>
    </row>
    <row r="83" spans="1:1881" ht="48.75" customHeight="1" x14ac:dyDescent="0.25">
      <c r="A83" s="189">
        <v>510</v>
      </c>
      <c r="B83" s="64" t="s">
        <v>42</v>
      </c>
      <c r="C83" s="160" t="s">
        <v>186</v>
      </c>
      <c r="D83" s="176" t="s">
        <v>615</v>
      </c>
      <c r="E83" s="32" t="e">
        <f>HLOOKUP($D$2,'2019 Data(H)'!$C$1:$CG$300,160,FALSE)</f>
        <v>#N/A</v>
      </c>
      <c r="F83" s="647"/>
      <c r="G83" s="319"/>
      <c r="H83" s="13"/>
      <c r="I83" s="31"/>
    </row>
    <row r="84" spans="1:1881" ht="68.25" customHeight="1" x14ac:dyDescent="0.25">
      <c r="A84" s="473">
        <v>654</v>
      </c>
      <c r="B84" s="469" t="s">
        <v>42</v>
      </c>
      <c r="C84" s="470" t="s">
        <v>186</v>
      </c>
      <c r="D84" s="471" t="s">
        <v>1220</v>
      </c>
      <c r="E84" s="472" t="s">
        <v>967</v>
      </c>
      <c r="F84" s="647"/>
      <c r="G84" s="413">
        <f>IF((F80+F81+F83)&gt;F84,"Error: Please review components of current assets above.  Account numbers (80+81+510)&gt;654",)</f>
        <v>0</v>
      </c>
      <c r="H84" s="13"/>
      <c r="I84" s="31"/>
    </row>
    <row r="85" spans="1:1881" s="632" customFormat="1" ht="75.75" customHeight="1" x14ac:dyDescent="0.25">
      <c r="A85" s="473">
        <v>655</v>
      </c>
      <c r="B85" s="469" t="s">
        <v>42</v>
      </c>
      <c r="C85" s="470" t="s">
        <v>186</v>
      </c>
      <c r="D85" s="485" t="s">
        <v>1205</v>
      </c>
      <c r="E85" s="472" t="s">
        <v>967</v>
      </c>
      <c r="F85" s="647"/>
      <c r="G85" s="634"/>
      <c r="H85" s="635"/>
      <c r="I85" s="636"/>
      <c r="J85" s="633"/>
      <c r="K85" s="633"/>
      <c r="L85" s="633"/>
      <c r="M85" s="633"/>
      <c r="N85"/>
      <c r="O85" s="633"/>
      <c r="P85" s="633"/>
      <c r="Q85" s="633"/>
      <c r="R85" s="633"/>
      <c r="S85" s="633"/>
      <c r="T85" s="633"/>
      <c r="U85" s="633"/>
      <c r="V85" s="633"/>
      <c r="W85" s="633"/>
      <c r="X85" s="633"/>
      <c r="Y85" s="633"/>
      <c r="Z85" s="633"/>
      <c r="AA85" s="633"/>
      <c r="AB85" s="633"/>
      <c r="AC85" s="633"/>
      <c r="AD85" s="633"/>
      <c r="AE85" s="633"/>
      <c r="AF85" s="633"/>
      <c r="AG85" s="633"/>
      <c r="AH85" s="633"/>
      <c r="AI85" s="633"/>
      <c r="AJ85" s="633"/>
      <c r="AK85" s="633"/>
      <c r="AL85" s="633"/>
      <c r="AM85" s="633"/>
      <c r="AN85" s="633"/>
      <c r="AO85" s="633"/>
      <c r="AP85" s="633"/>
      <c r="AQ85" s="633"/>
      <c r="AR85" s="633"/>
      <c r="AS85" s="633"/>
      <c r="AT85" s="633"/>
      <c r="AU85" s="633"/>
      <c r="AV85" s="633"/>
      <c r="AW85" s="633"/>
      <c r="AX85" s="633"/>
      <c r="AY85" s="633"/>
      <c r="AZ85" s="633"/>
      <c r="BA85" s="633"/>
      <c r="BB85" s="633"/>
      <c r="BC85" s="633"/>
      <c r="BD85" s="633"/>
      <c r="BE85" s="633"/>
      <c r="BF85" s="633"/>
      <c r="BG85" s="633"/>
      <c r="BH85" s="633"/>
      <c r="BI85" s="633"/>
      <c r="BJ85" s="633"/>
      <c r="BK85" s="633"/>
      <c r="BL85" s="633"/>
      <c r="BM85" s="633"/>
      <c r="BN85" s="633"/>
      <c r="BO85" s="633"/>
      <c r="BP85" s="633"/>
      <c r="BQ85" s="633"/>
      <c r="BR85" s="633"/>
      <c r="BS85" s="633"/>
      <c r="BT85" s="633"/>
      <c r="BU85" s="633"/>
      <c r="BV85" s="633"/>
      <c r="BW85" s="633"/>
      <c r="BX85" s="633"/>
      <c r="BY85" s="633"/>
      <c r="BZ85" s="633"/>
      <c r="CA85" s="633"/>
      <c r="CB85" s="633"/>
      <c r="CC85" s="633"/>
      <c r="CD85" s="633"/>
      <c r="CE85" s="633"/>
      <c r="CF85" s="633"/>
      <c r="CG85" s="633"/>
      <c r="CH85" s="633"/>
      <c r="CI85" s="633"/>
      <c r="CJ85" s="633"/>
      <c r="CK85" s="633"/>
      <c r="CL85" s="633"/>
      <c r="CM85" s="633"/>
      <c r="CN85" s="633"/>
      <c r="CO85" s="633"/>
      <c r="CP85" s="633"/>
      <c r="CQ85" s="633"/>
      <c r="CR85" s="633"/>
      <c r="CS85" s="633"/>
      <c r="CT85" s="633"/>
      <c r="CU85" s="633"/>
      <c r="CV85" s="633"/>
      <c r="CW85" s="633"/>
      <c r="CX85" s="633"/>
      <c r="CY85" s="633"/>
      <c r="CZ85" s="633"/>
      <c r="DA85" s="633"/>
      <c r="DB85" s="633"/>
      <c r="DC85" s="633"/>
      <c r="DD85" s="633"/>
      <c r="DE85" s="633"/>
      <c r="DF85" s="633"/>
      <c r="DG85" s="633"/>
      <c r="DH85" s="633"/>
      <c r="DI85" s="633"/>
      <c r="DJ85" s="633"/>
      <c r="DK85" s="633"/>
      <c r="DL85" s="633"/>
      <c r="DM85" s="633"/>
      <c r="DN85" s="633"/>
      <c r="DO85" s="633"/>
      <c r="DP85" s="633"/>
      <c r="DQ85" s="633"/>
      <c r="DR85" s="633"/>
      <c r="DS85" s="633"/>
      <c r="DT85" s="633"/>
      <c r="DU85" s="633"/>
      <c r="DV85" s="633"/>
      <c r="DW85" s="633"/>
      <c r="DX85" s="633"/>
      <c r="DY85" s="633"/>
      <c r="DZ85" s="633"/>
      <c r="EA85" s="633"/>
      <c r="EB85" s="633"/>
      <c r="EC85" s="633"/>
      <c r="ED85" s="633"/>
      <c r="EE85" s="633"/>
      <c r="EF85" s="633"/>
      <c r="EG85" s="633"/>
      <c r="EH85" s="633"/>
      <c r="EI85" s="633"/>
      <c r="EJ85" s="633"/>
      <c r="EK85" s="633"/>
      <c r="EL85" s="633"/>
      <c r="EM85" s="633"/>
      <c r="EN85" s="633"/>
      <c r="EO85" s="633"/>
      <c r="EP85" s="633"/>
      <c r="EQ85" s="633"/>
      <c r="ER85" s="633"/>
      <c r="ES85" s="633"/>
      <c r="ET85" s="633"/>
      <c r="EU85" s="633"/>
      <c r="EV85" s="633"/>
      <c r="EW85" s="633"/>
      <c r="EX85" s="633"/>
      <c r="EY85" s="633"/>
      <c r="EZ85" s="633"/>
      <c r="FA85" s="633"/>
      <c r="FB85" s="633"/>
      <c r="FC85" s="633"/>
      <c r="FD85" s="633"/>
      <c r="FE85" s="633"/>
      <c r="FF85" s="633"/>
      <c r="FG85" s="633"/>
      <c r="FH85" s="633"/>
      <c r="FI85" s="633"/>
      <c r="FJ85" s="633"/>
      <c r="FK85" s="633"/>
      <c r="FL85" s="633"/>
      <c r="FM85" s="633"/>
      <c r="FN85" s="633"/>
      <c r="FO85" s="633"/>
      <c r="FP85" s="633"/>
      <c r="FQ85" s="633"/>
      <c r="FR85" s="633"/>
      <c r="FS85" s="633"/>
      <c r="FT85" s="633"/>
      <c r="FU85" s="633"/>
      <c r="FV85" s="633"/>
      <c r="FW85" s="633"/>
      <c r="FX85" s="633"/>
      <c r="FY85" s="633"/>
      <c r="FZ85" s="633"/>
      <c r="GA85" s="633"/>
      <c r="GB85" s="633"/>
      <c r="GC85" s="633"/>
      <c r="GD85" s="633"/>
      <c r="GE85" s="633"/>
      <c r="GF85" s="633"/>
      <c r="GG85" s="633"/>
      <c r="GH85" s="633"/>
      <c r="GI85" s="633"/>
      <c r="GJ85" s="633"/>
      <c r="GK85" s="633"/>
      <c r="GL85" s="633"/>
      <c r="GM85" s="633"/>
      <c r="GN85" s="633"/>
      <c r="GO85" s="633"/>
      <c r="GP85" s="633"/>
      <c r="GQ85" s="633"/>
      <c r="GR85" s="633"/>
      <c r="GS85" s="633"/>
      <c r="GT85" s="633"/>
      <c r="GU85" s="633"/>
      <c r="GV85" s="633"/>
      <c r="GW85" s="633"/>
      <c r="GX85" s="633"/>
      <c r="GY85" s="633"/>
      <c r="GZ85" s="633"/>
      <c r="HA85" s="633"/>
      <c r="HB85" s="633"/>
      <c r="HC85" s="633"/>
      <c r="HD85" s="633"/>
      <c r="HE85" s="633"/>
      <c r="HF85" s="633"/>
      <c r="HG85" s="633"/>
      <c r="HH85" s="633"/>
      <c r="HI85" s="633"/>
      <c r="HJ85" s="633"/>
      <c r="HK85" s="633"/>
      <c r="HL85" s="633"/>
      <c r="HM85" s="633"/>
      <c r="HN85" s="633"/>
      <c r="HO85" s="633"/>
      <c r="HP85" s="633"/>
      <c r="HQ85" s="633"/>
      <c r="HR85" s="633"/>
      <c r="HS85" s="633"/>
      <c r="HT85" s="633"/>
      <c r="HU85" s="633"/>
      <c r="HV85" s="633"/>
      <c r="HW85" s="633"/>
      <c r="HX85" s="633"/>
      <c r="HY85" s="633"/>
      <c r="HZ85" s="633"/>
      <c r="IA85" s="633"/>
      <c r="IB85" s="633"/>
      <c r="IC85" s="633"/>
      <c r="ID85" s="633"/>
      <c r="IE85" s="633"/>
      <c r="IF85" s="633"/>
      <c r="IG85" s="633"/>
      <c r="IH85" s="633"/>
      <c r="II85" s="633"/>
      <c r="IJ85" s="633"/>
      <c r="IK85" s="633"/>
      <c r="IL85" s="633"/>
      <c r="IM85" s="633"/>
      <c r="IN85" s="633"/>
      <c r="IO85" s="633"/>
      <c r="IP85" s="633"/>
      <c r="IQ85" s="633"/>
      <c r="IR85" s="633"/>
      <c r="IS85" s="633"/>
      <c r="IT85" s="633"/>
      <c r="IU85" s="633"/>
      <c r="IV85" s="633"/>
      <c r="IW85" s="633"/>
      <c r="IX85" s="633"/>
      <c r="IY85" s="633"/>
      <c r="IZ85" s="633"/>
      <c r="JA85" s="633"/>
      <c r="JB85" s="633"/>
      <c r="JC85" s="633"/>
      <c r="JD85" s="633"/>
      <c r="JE85" s="633"/>
      <c r="JF85" s="633"/>
      <c r="JG85" s="633"/>
      <c r="JH85" s="633"/>
      <c r="JI85" s="633"/>
      <c r="JJ85" s="633"/>
      <c r="JK85" s="633"/>
      <c r="JL85" s="633"/>
      <c r="JM85" s="633"/>
      <c r="JN85" s="633"/>
      <c r="JO85" s="633"/>
      <c r="JP85" s="633"/>
      <c r="JQ85" s="633"/>
      <c r="JR85" s="633"/>
      <c r="JS85" s="633"/>
      <c r="JT85" s="633"/>
      <c r="JU85" s="633"/>
      <c r="JV85" s="633"/>
      <c r="JW85" s="633"/>
      <c r="JX85" s="633"/>
      <c r="JY85" s="633"/>
      <c r="JZ85" s="633"/>
      <c r="KA85" s="633"/>
      <c r="KB85" s="633"/>
      <c r="KC85" s="633"/>
      <c r="KD85" s="633"/>
      <c r="KE85" s="633"/>
      <c r="KF85" s="633"/>
      <c r="KG85" s="633"/>
      <c r="KH85" s="633"/>
      <c r="KI85" s="633"/>
      <c r="KJ85" s="633"/>
      <c r="KK85" s="633"/>
      <c r="KL85" s="633"/>
      <c r="KM85" s="633"/>
      <c r="KN85" s="633"/>
      <c r="KO85" s="633"/>
      <c r="KP85" s="633"/>
      <c r="KQ85" s="633"/>
      <c r="KR85" s="633"/>
      <c r="KS85" s="633"/>
      <c r="KT85" s="633"/>
      <c r="KU85" s="633"/>
      <c r="KV85" s="633"/>
      <c r="KW85" s="633"/>
      <c r="KX85" s="633"/>
      <c r="KY85" s="633"/>
      <c r="KZ85" s="633"/>
      <c r="LA85" s="633"/>
      <c r="LB85" s="633"/>
      <c r="LC85" s="633"/>
      <c r="LD85" s="633"/>
      <c r="LE85" s="633"/>
      <c r="LF85" s="633"/>
      <c r="LG85" s="633"/>
      <c r="LH85" s="633"/>
      <c r="LI85" s="633"/>
      <c r="LJ85" s="633"/>
      <c r="LK85" s="633"/>
      <c r="LL85" s="633"/>
      <c r="LM85" s="633"/>
      <c r="LN85" s="633"/>
      <c r="LO85" s="633"/>
      <c r="LP85" s="633"/>
      <c r="LQ85" s="633"/>
      <c r="LR85" s="633"/>
      <c r="LS85" s="633"/>
      <c r="LT85" s="633"/>
      <c r="LU85" s="633"/>
      <c r="LV85" s="633"/>
      <c r="LW85" s="633"/>
      <c r="LX85" s="633"/>
      <c r="LY85" s="633"/>
      <c r="LZ85" s="633"/>
      <c r="MA85" s="633"/>
      <c r="MB85" s="633"/>
      <c r="MC85" s="633"/>
      <c r="MD85" s="633"/>
      <c r="ME85" s="633"/>
      <c r="MF85" s="633"/>
      <c r="MG85" s="633"/>
      <c r="MH85" s="633"/>
      <c r="MI85" s="633"/>
      <c r="MJ85" s="633"/>
      <c r="MK85" s="633"/>
      <c r="ML85" s="633"/>
      <c r="MM85" s="633"/>
      <c r="MN85" s="633"/>
      <c r="MO85" s="633"/>
      <c r="MP85" s="633"/>
      <c r="MQ85" s="633"/>
      <c r="MR85" s="633"/>
      <c r="MS85" s="633"/>
      <c r="MT85" s="633"/>
      <c r="MU85" s="633"/>
      <c r="MV85" s="633"/>
      <c r="MW85" s="633"/>
      <c r="MX85" s="633"/>
      <c r="MY85" s="633"/>
      <c r="MZ85" s="633"/>
      <c r="NA85" s="633"/>
      <c r="NB85" s="633"/>
      <c r="NC85" s="633"/>
      <c r="ND85" s="633"/>
      <c r="NE85" s="633"/>
      <c r="NF85" s="633"/>
      <c r="NG85" s="633"/>
      <c r="NH85" s="633"/>
      <c r="NI85" s="633"/>
      <c r="NJ85" s="633"/>
      <c r="NK85" s="633"/>
      <c r="NL85" s="633"/>
      <c r="NM85" s="633"/>
      <c r="NN85" s="633"/>
      <c r="NO85" s="633"/>
      <c r="NP85" s="633"/>
      <c r="NQ85" s="633"/>
      <c r="NR85" s="633"/>
      <c r="NS85" s="633"/>
      <c r="NT85" s="633"/>
      <c r="NU85" s="633"/>
      <c r="NV85" s="633"/>
      <c r="NW85" s="633"/>
      <c r="NX85" s="633"/>
      <c r="NY85" s="633"/>
      <c r="NZ85" s="633"/>
      <c r="OA85" s="633"/>
      <c r="OB85" s="633"/>
      <c r="OC85" s="633"/>
      <c r="OD85" s="633"/>
      <c r="OE85" s="633"/>
      <c r="OF85" s="633"/>
      <c r="OG85" s="633"/>
      <c r="OH85" s="633"/>
      <c r="OI85" s="633"/>
      <c r="OJ85" s="633"/>
      <c r="OK85" s="633"/>
      <c r="OL85" s="633"/>
      <c r="OM85" s="633"/>
      <c r="ON85" s="633"/>
      <c r="OO85" s="633"/>
      <c r="OP85" s="633"/>
      <c r="OQ85" s="633"/>
      <c r="OR85" s="633"/>
      <c r="OS85" s="633"/>
      <c r="OT85" s="633"/>
      <c r="OU85" s="633"/>
      <c r="OV85" s="633"/>
      <c r="OW85" s="633"/>
      <c r="OX85" s="633"/>
      <c r="OY85" s="633"/>
      <c r="OZ85" s="633"/>
      <c r="PA85" s="633"/>
      <c r="PB85" s="633"/>
      <c r="PC85" s="633"/>
      <c r="PD85" s="633"/>
      <c r="PE85" s="633"/>
      <c r="PF85" s="633"/>
      <c r="PG85" s="633"/>
      <c r="PH85" s="633"/>
      <c r="PI85" s="633"/>
      <c r="PJ85" s="633"/>
      <c r="PK85" s="633"/>
      <c r="PL85" s="633"/>
      <c r="PM85" s="633"/>
      <c r="PN85" s="633"/>
      <c r="PO85" s="633"/>
      <c r="PP85" s="633"/>
      <c r="PQ85" s="633"/>
      <c r="PR85" s="633"/>
      <c r="PS85" s="633"/>
      <c r="PT85" s="633"/>
      <c r="PU85" s="633"/>
      <c r="PV85" s="633"/>
      <c r="PW85" s="633"/>
      <c r="PX85" s="633"/>
      <c r="PY85" s="633"/>
      <c r="PZ85" s="633"/>
      <c r="QA85" s="633"/>
      <c r="QB85" s="633"/>
      <c r="QC85" s="633"/>
      <c r="QD85" s="633"/>
      <c r="QE85" s="633"/>
      <c r="QF85" s="633"/>
      <c r="QG85" s="633"/>
      <c r="QH85" s="633"/>
      <c r="QI85" s="633"/>
      <c r="QJ85" s="633"/>
      <c r="QK85" s="633"/>
      <c r="QL85" s="633"/>
      <c r="QM85" s="633"/>
      <c r="QN85" s="633"/>
      <c r="QO85" s="633"/>
      <c r="QP85" s="633"/>
      <c r="QQ85" s="633"/>
      <c r="QR85" s="633"/>
      <c r="QS85" s="633"/>
      <c r="QT85" s="633"/>
      <c r="QU85" s="633"/>
      <c r="QV85" s="633"/>
      <c r="QW85" s="633"/>
      <c r="QX85" s="633"/>
      <c r="QY85" s="633"/>
      <c r="QZ85" s="633"/>
      <c r="RA85" s="633"/>
      <c r="RB85" s="633"/>
      <c r="RC85" s="633"/>
      <c r="RD85" s="633"/>
      <c r="RE85" s="633"/>
      <c r="RF85" s="633"/>
      <c r="RG85" s="633"/>
      <c r="RH85" s="633"/>
      <c r="RI85" s="633"/>
      <c r="RJ85" s="633"/>
      <c r="RK85" s="633"/>
      <c r="RL85" s="633"/>
      <c r="RM85" s="633"/>
      <c r="RN85" s="633"/>
      <c r="RO85" s="633"/>
      <c r="RP85" s="633"/>
      <c r="RQ85" s="633"/>
      <c r="RR85" s="633"/>
      <c r="RS85" s="633"/>
      <c r="RT85" s="633"/>
      <c r="RU85" s="633"/>
      <c r="RV85" s="633"/>
      <c r="RW85" s="633"/>
      <c r="RX85" s="633"/>
      <c r="RY85" s="633"/>
      <c r="RZ85" s="633"/>
      <c r="SA85" s="633"/>
      <c r="SB85" s="633"/>
      <c r="SC85" s="633"/>
      <c r="SD85" s="633"/>
      <c r="SE85" s="633"/>
      <c r="SF85" s="633"/>
      <c r="SG85" s="633"/>
      <c r="SH85" s="633"/>
      <c r="SI85" s="633"/>
      <c r="SJ85" s="633"/>
      <c r="SK85" s="633"/>
      <c r="SL85" s="633"/>
      <c r="SM85" s="633"/>
      <c r="SN85" s="633"/>
      <c r="SO85" s="633"/>
      <c r="SP85" s="633"/>
      <c r="SQ85" s="633"/>
      <c r="SR85" s="633"/>
      <c r="SS85" s="633"/>
      <c r="ST85" s="633"/>
      <c r="SU85" s="633"/>
      <c r="SV85" s="633"/>
      <c r="SW85" s="633"/>
      <c r="SX85" s="633"/>
      <c r="SY85" s="633"/>
      <c r="SZ85" s="633"/>
      <c r="TA85" s="633"/>
      <c r="TB85" s="633"/>
      <c r="TC85" s="633"/>
      <c r="TD85" s="633"/>
      <c r="TE85" s="633"/>
      <c r="TF85" s="633"/>
      <c r="TG85" s="633"/>
      <c r="TH85" s="633"/>
      <c r="TI85" s="633"/>
      <c r="TJ85" s="633"/>
      <c r="TK85" s="633"/>
      <c r="TL85" s="633"/>
      <c r="TM85" s="633"/>
      <c r="TN85" s="633"/>
      <c r="TO85" s="633"/>
      <c r="TP85" s="633"/>
      <c r="TQ85" s="633"/>
      <c r="TR85" s="633"/>
      <c r="TS85" s="633"/>
      <c r="TT85" s="633"/>
      <c r="TU85" s="633"/>
      <c r="TV85" s="633"/>
      <c r="TW85" s="633"/>
      <c r="TX85" s="633"/>
      <c r="TY85" s="633"/>
      <c r="TZ85" s="633"/>
      <c r="UA85" s="633"/>
      <c r="UB85" s="633"/>
      <c r="UC85" s="633"/>
      <c r="UD85" s="633"/>
      <c r="UE85" s="633"/>
      <c r="UF85" s="633"/>
      <c r="UG85" s="633"/>
      <c r="UH85" s="633"/>
      <c r="UI85" s="633"/>
      <c r="UJ85" s="633"/>
      <c r="UK85" s="633"/>
      <c r="UL85" s="633"/>
      <c r="UM85" s="633"/>
      <c r="UN85" s="633"/>
      <c r="UO85" s="633"/>
      <c r="UP85" s="633"/>
      <c r="UQ85" s="633"/>
      <c r="UR85" s="633"/>
      <c r="US85" s="633"/>
      <c r="UT85" s="633"/>
      <c r="UU85" s="633"/>
      <c r="UV85" s="633"/>
      <c r="UW85" s="633"/>
      <c r="UX85" s="633"/>
      <c r="UY85" s="633"/>
      <c r="UZ85" s="633"/>
      <c r="VA85" s="633"/>
      <c r="VB85" s="633"/>
      <c r="VC85" s="633"/>
      <c r="VD85" s="633"/>
      <c r="VE85" s="633"/>
      <c r="VF85" s="633"/>
      <c r="VG85" s="633"/>
      <c r="VH85" s="633"/>
      <c r="VI85" s="633"/>
      <c r="VJ85" s="633"/>
      <c r="VK85" s="633"/>
      <c r="VL85" s="633"/>
      <c r="VM85" s="633"/>
      <c r="VN85" s="633"/>
      <c r="VO85" s="633"/>
      <c r="VP85" s="633"/>
      <c r="VQ85" s="633"/>
      <c r="VR85" s="633"/>
      <c r="VS85" s="633"/>
      <c r="VT85" s="633"/>
      <c r="VU85" s="633"/>
      <c r="VV85" s="633"/>
      <c r="VW85" s="633"/>
      <c r="VX85" s="633"/>
      <c r="VY85" s="633"/>
      <c r="VZ85" s="633"/>
      <c r="WA85" s="633"/>
      <c r="WB85" s="633"/>
      <c r="WC85" s="633"/>
      <c r="WD85" s="633"/>
      <c r="WE85" s="633"/>
      <c r="WF85" s="633"/>
      <c r="WG85" s="633"/>
      <c r="WH85" s="633"/>
      <c r="WI85" s="633"/>
      <c r="WJ85" s="633"/>
      <c r="WK85" s="633"/>
      <c r="WL85" s="633"/>
      <c r="WM85" s="633"/>
      <c r="WN85" s="633"/>
      <c r="WO85" s="633"/>
      <c r="WP85" s="633"/>
      <c r="WQ85" s="633"/>
      <c r="WR85" s="633"/>
      <c r="WS85" s="633"/>
      <c r="WT85" s="633"/>
      <c r="WU85" s="633"/>
      <c r="WV85" s="633"/>
      <c r="WW85" s="633"/>
      <c r="WX85" s="633"/>
      <c r="WY85" s="633"/>
      <c r="WZ85" s="633"/>
      <c r="XA85" s="633"/>
      <c r="XB85" s="633"/>
      <c r="XC85" s="633"/>
      <c r="XD85" s="633"/>
      <c r="XE85" s="633"/>
      <c r="XF85" s="633"/>
      <c r="XG85" s="633"/>
      <c r="XH85" s="633"/>
      <c r="XI85" s="633"/>
      <c r="XJ85" s="633"/>
      <c r="XK85" s="633"/>
      <c r="XL85" s="633"/>
      <c r="XM85" s="633"/>
      <c r="XN85" s="633"/>
      <c r="XO85" s="633"/>
      <c r="XP85" s="633"/>
      <c r="XQ85" s="633"/>
      <c r="XR85" s="633"/>
      <c r="XS85" s="633"/>
      <c r="XT85" s="633"/>
      <c r="XU85" s="633"/>
      <c r="XV85" s="633"/>
      <c r="XW85" s="633"/>
      <c r="XX85" s="633"/>
      <c r="XY85" s="633"/>
      <c r="XZ85" s="633"/>
      <c r="YA85" s="633"/>
      <c r="YB85" s="633"/>
      <c r="YC85" s="633"/>
      <c r="YD85" s="633"/>
      <c r="YE85" s="633"/>
      <c r="YF85" s="633"/>
      <c r="YG85" s="633"/>
      <c r="YH85" s="633"/>
      <c r="YI85" s="633"/>
      <c r="YJ85" s="633"/>
      <c r="YK85" s="633"/>
      <c r="YL85" s="633"/>
      <c r="YM85" s="633"/>
      <c r="YN85" s="633"/>
      <c r="YO85" s="633"/>
      <c r="YP85" s="633"/>
      <c r="YQ85" s="633"/>
      <c r="YR85" s="633"/>
      <c r="YS85" s="633"/>
      <c r="YT85" s="633"/>
      <c r="YU85" s="633"/>
      <c r="YV85" s="633"/>
      <c r="YW85" s="633"/>
      <c r="YX85" s="633"/>
      <c r="YY85" s="633"/>
      <c r="YZ85" s="633"/>
      <c r="ZA85" s="633"/>
      <c r="ZB85" s="633"/>
      <c r="ZC85" s="633"/>
      <c r="ZD85" s="633"/>
      <c r="ZE85" s="633"/>
      <c r="ZF85" s="633"/>
      <c r="ZG85" s="633"/>
      <c r="ZH85" s="633"/>
      <c r="ZI85" s="633"/>
      <c r="ZJ85" s="633"/>
      <c r="ZK85" s="633"/>
      <c r="ZL85" s="633"/>
      <c r="ZM85" s="633"/>
      <c r="ZN85" s="633"/>
      <c r="ZO85" s="633"/>
      <c r="ZP85" s="633"/>
      <c r="ZQ85" s="633"/>
      <c r="ZR85" s="633"/>
      <c r="ZS85" s="633"/>
      <c r="ZT85" s="633"/>
      <c r="ZU85" s="633"/>
      <c r="ZV85" s="633"/>
      <c r="ZW85" s="633"/>
      <c r="ZX85" s="633"/>
      <c r="ZY85" s="633"/>
      <c r="ZZ85" s="633"/>
      <c r="AAA85" s="633"/>
      <c r="AAB85" s="633"/>
      <c r="AAC85" s="633"/>
      <c r="AAD85" s="633"/>
      <c r="AAE85" s="633"/>
      <c r="AAF85" s="633"/>
      <c r="AAG85" s="633"/>
      <c r="AAH85" s="633"/>
      <c r="AAI85" s="633"/>
      <c r="AAJ85" s="633"/>
      <c r="AAK85" s="633"/>
      <c r="AAL85" s="633"/>
      <c r="AAM85" s="633"/>
      <c r="AAN85" s="633"/>
      <c r="AAO85" s="633"/>
      <c r="AAP85" s="633"/>
      <c r="AAQ85" s="633"/>
      <c r="AAR85" s="633"/>
      <c r="AAS85" s="633"/>
      <c r="AAT85" s="633"/>
      <c r="AAU85" s="633"/>
      <c r="AAV85" s="633"/>
      <c r="AAW85" s="633"/>
      <c r="AAX85" s="633"/>
      <c r="AAY85" s="633"/>
      <c r="AAZ85" s="633"/>
      <c r="ABA85" s="633"/>
      <c r="ABB85" s="633"/>
      <c r="ABC85" s="633"/>
      <c r="ABD85" s="633"/>
      <c r="ABE85" s="633"/>
      <c r="ABF85" s="633"/>
      <c r="ABG85" s="633"/>
      <c r="ABH85" s="633"/>
      <c r="ABI85" s="633"/>
      <c r="ABJ85" s="633"/>
      <c r="ABK85" s="633"/>
      <c r="ABL85" s="633"/>
      <c r="ABM85" s="633"/>
      <c r="ABN85" s="633"/>
      <c r="ABO85" s="633"/>
      <c r="ABP85" s="633"/>
      <c r="ABQ85" s="633"/>
      <c r="ABR85" s="633"/>
      <c r="ABS85" s="633"/>
      <c r="ABT85" s="633"/>
      <c r="ABU85" s="633"/>
      <c r="ABV85" s="633"/>
      <c r="ABW85" s="633"/>
      <c r="ABX85" s="633"/>
      <c r="ABY85" s="633"/>
      <c r="ABZ85" s="633"/>
      <c r="ACA85" s="633"/>
      <c r="ACB85" s="633"/>
      <c r="ACC85" s="633"/>
      <c r="ACD85" s="633"/>
      <c r="ACE85" s="633"/>
      <c r="ACF85" s="633"/>
      <c r="ACG85" s="633"/>
      <c r="ACH85" s="633"/>
      <c r="ACI85" s="633"/>
      <c r="ACJ85" s="633"/>
      <c r="ACK85" s="633"/>
      <c r="ACL85" s="633"/>
      <c r="ACM85" s="633"/>
      <c r="ACN85" s="633"/>
      <c r="ACO85" s="633"/>
      <c r="ACP85" s="633"/>
      <c r="ACQ85" s="633"/>
      <c r="ACR85" s="633"/>
      <c r="ACS85" s="633"/>
      <c r="ACT85" s="633"/>
      <c r="ACU85" s="633"/>
      <c r="ACV85" s="633"/>
      <c r="ACW85" s="633"/>
      <c r="ACX85" s="633"/>
      <c r="ACY85" s="633"/>
      <c r="ACZ85" s="633"/>
      <c r="ADA85" s="633"/>
      <c r="ADB85" s="633"/>
      <c r="ADC85" s="633"/>
      <c r="ADD85" s="633"/>
      <c r="ADE85" s="633"/>
      <c r="ADF85" s="633"/>
      <c r="ADG85" s="633"/>
      <c r="ADH85" s="633"/>
      <c r="ADI85" s="633"/>
      <c r="ADJ85" s="633"/>
      <c r="ADK85" s="633"/>
      <c r="ADL85" s="633"/>
      <c r="ADM85" s="633"/>
      <c r="ADN85" s="633"/>
      <c r="ADO85" s="633"/>
      <c r="ADP85" s="633"/>
      <c r="ADQ85" s="633"/>
      <c r="ADR85" s="633"/>
      <c r="ADS85" s="633"/>
      <c r="ADT85" s="633"/>
      <c r="ADU85" s="633"/>
      <c r="ADV85" s="633"/>
      <c r="ADW85" s="633"/>
      <c r="ADX85" s="633"/>
      <c r="ADY85" s="633"/>
      <c r="ADZ85" s="633"/>
      <c r="AEA85" s="633"/>
      <c r="AEB85" s="633"/>
      <c r="AEC85" s="633"/>
      <c r="AED85" s="633"/>
      <c r="AEE85" s="633"/>
      <c r="AEF85" s="633"/>
      <c r="AEG85" s="633"/>
      <c r="AEH85" s="633"/>
      <c r="AEI85" s="633"/>
      <c r="AEJ85" s="633"/>
      <c r="AEK85" s="633"/>
      <c r="AEL85" s="633"/>
      <c r="AEM85" s="633"/>
      <c r="AEN85" s="633"/>
      <c r="AEO85" s="633"/>
      <c r="AEP85" s="633"/>
      <c r="AEQ85" s="633"/>
      <c r="AER85" s="633"/>
      <c r="AES85" s="633"/>
      <c r="AET85" s="633"/>
      <c r="AEU85" s="633"/>
      <c r="AEV85" s="633"/>
      <c r="AEW85" s="633"/>
      <c r="AEX85" s="633"/>
      <c r="AEY85" s="633"/>
      <c r="AEZ85" s="633"/>
      <c r="AFA85" s="633"/>
      <c r="AFB85" s="633"/>
      <c r="AFC85" s="633"/>
      <c r="AFD85" s="633"/>
      <c r="AFE85" s="633"/>
      <c r="AFF85" s="633"/>
      <c r="AFG85" s="633"/>
      <c r="AFH85" s="633"/>
      <c r="AFI85" s="633"/>
      <c r="AFJ85" s="633"/>
      <c r="AFK85" s="633"/>
      <c r="AFL85" s="633"/>
      <c r="AFM85" s="633"/>
      <c r="AFN85" s="633"/>
      <c r="AFO85" s="633"/>
      <c r="AFP85" s="633"/>
      <c r="AFQ85" s="633"/>
      <c r="AFR85" s="633"/>
      <c r="AFS85" s="633"/>
      <c r="AFT85" s="633"/>
      <c r="AFU85" s="633"/>
      <c r="AFV85" s="633"/>
      <c r="AFW85" s="633"/>
      <c r="AFX85" s="633"/>
      <c r="AFY85" s="633"/>
      <c r="AFZ85" s="633"/>
      <c r="AGA85" s="633"/>
      <c r="AGB85" s="633"/>
      <c r="AGC85" s="633"/>
      <c r="AGD85" s="633"/>
      <c r="AGE85" s="633"/>
      <c r="AGF85" s="633"/>
      <c r="AGG85" s="633"/>
      <c r="AGH85" s="633"/>
      <c r="AGI85" s="633"/>
      <c r="AGJ85" s="633"/>
      <c r="AGK85" s="633"/>
      <c r="AGL85" s="633"/>
      <c r="AGM85" s="633"/>
      <c r="AGN85" s="633"/>
      <c r="AGO85" s="633"/>
      <c r="AGP85" s="633"/>
      <c r="AGQ85" s="633"/>
      <c r="AGR85" s="633"/>
      <c r="AGS85" s="633"/>
      <c r="AGT85" s="633"/>
      <c r="AGU85" s="633"/>
      <c r="AGV85" s="633"/>
      <c r="AGW85" s="633"/>
      <c r="AGX85" s="633"/>
      <c r="AGY85" s="633"/>
      <c r="AGZ85" s="633"/>
      <c r="AHA85" s="633"/>
      <c r="AHB85" s="633"/>
      <c r="AHC85" s="633"/>
      <c r="AHD85" s="633"/>
      <c r="AHE85" s="633"/>
      <c r="AHF85" s="633"/>
      <c r="AHG85" s="633"/>
      <c r="AHH85" s="633"/>
      <c r="AHI85" s="633"/>
      <c r="AHJ85" s="633"/>
      <c r="AHK85" s="633"/>
      <c r="AHL85" s="633"/>
      <c r="AHM85" s="633"/>
      <c r="AHN85" s="633"/>
      <c r="AHO85" s="633"/>
      <c r="AHP85" s="633"/>
      <c r="AHQ85" s="633"/>
      <c r="AHR85" s="633"/>
      <c r="AHS85" s="633"/>
      <c r="AHT85" s="633"/>
      <c r="AHU85" s="633"/>
      <c r="AHV85" s="633"/>
      <c r="AHW85" s="633"/>
      <c r="AHX85" s="633"/>
      <c r="AHY85" s="633"/>
      <c r="AHZ85" s="633"/>
      <c r="AIA85" s="633"/>
      <c r="AIB85" s="633"/>
      <c r="AIC85" s="633"/>
      <c r="AID85" s="633"/>
      <c r="AIE85" s="633"/>
      <c r="AIF85" s="633"/>
      <c r="AIG85" s="633"/>
      <c r="AIH85" s="633"/>
      <c r="AII85" s="633"/>
      <c r="AIJ85" s="633"/>
      <c r="AIK85" s="633"/>
      <c r="AIL85" s="633"/>
      <c r="AIM85" s="633"/>
      <c r="AIN85" s="633"/>
      <c r="AIO85" s="633"/>
      <c r="AIP85" s="633"/>
      <c r="AIQ85" s="633"/>
      <c r="AIR85" s="633"/>
      <c r="AIS85" s="633"/>
      <c r="AIT85" s="633"/>
      <c r="AIU85" s="633"/>
      <c r="AIV85" s="633"/>
      <c r="AIW85" s="633"/>
      <c r="AIX85" s="633"/>
      <c r="AIY85" s="633"/>
      <c r="AIZ85" s="633"/>
      <c r="AJA85" s="633"/>
      <c r="AJB85" s="633"/>
      <c r="AJC85" s="633"/>
      <c r="AJD85" s="633"/>
      <c r="AJE85" s="633"/>
      <c r="AJF85" s="633"/>
      <c r="AJG85" s="633"/>
      <c r="AJH85" s="633"/>
      <c r="AJI85" s="633"/>
      <c r="AJJ85" s="633"/>
      <c r="AJK85" s="633"/>
      <c r="AJL85" s="633"/>
      <c r="AJM85" s="633"/>
      <c r="AJN85" s="633"/>
      <c r="AJO85" s="633"/>
      <c r="AJP85" s="633"/>
      <c r="AJQ85" s="633"/>
      <c r="AJR85" s="633"/>
      <c r="AJS85" s="633"/>
      <c r="AJT85" s="633"/>
      <c r="AJU85" s="633"/>
      <c r="AJV85" s="633"/>
      <c r="AJW85" s="633"/>
      <c r="AJX85" s="633"/>
      <c r="AJY85" s="633"/>
      <c r="AJZ85" s="633"/>
      <c r="AKA85" s="633"/>
      <c r="AKB85" s="633"/>
      <c r="AKC85" s="633"/>
      <c r="AKD85" s="633"/>
      <c r="AKE85" s="633"/>
      <c r="AKF85" s="633"/>
      <c r="AKG85" s="633"/>
      <c r="AKH85" s="633"/>
      <c r="AKI85" s="633"/>
      <c r="AKJ85" s="633"/>
      <c r="AKK85" s="633"/>
      <c r="AKL85" s="633"/>
      <c r="AKM85" s="633"/>
      <c r="AKN85" s="633"/>
      <c r="AKO85" s="633"/>
      <c r="AKP85" s="633"/>
      <c r="AKQ85" s="633"/>
      <c r="AKR85" s="633"/>
      <c r="AKS85" s="633"/>
      <c r="AKT85" s="633"/>
      <c r="AKU85" s="633"/>
      <c r="AKV85" s="633"/>
      <c r="AKW85" s="633"/>
      <c r="AKX85" s="633"/>
      <c r="AKY85" s="633"/>
      <c r="AKZ85" s="633"/>
      <c r="ALA85" s="633"/>
      <c r="ALB85" s="633"/>
      <c r="ALC85" s="633"/>
      <c r="ALD85" s="633"/>
      <c r="ALE85" s="633"/>
      <c r="ALF85" s="633"/>
      <c r="ALG85" s="633"/>
      <c r="ALH85" s="633"/>
      <c r="ALI85" s="633"/>
      <c r="ALJ85" s="633"/>
      <c r="ALK85" s="633"/>
      <c r="ALL85" s="633"/>
      <c r="ALM85" s="633"/>
      <c r="ALN85" s="633"/>
      <c r="ALO85" s="633"/>
      <c r="ALP85" s="633"/>
      <c r="ALQ85" s="633"/>
      <c r="ALR85" s="633"/>
      <c r="ALS85" s="633"/>
      <c r="ALT85" s="633"/>
      <c r="ALU85" s="633"/>
      <c r="ALV85" s="633"/>
      <c r="ALW85" s="633"/>
      <c r="ALX85" s="633"/>
      <c r="ALY85" s="633"/>
      <c r="ALZ85" s="633"/>
      <c r="AMA85" s="633"/>
      <c r="AMB85" s="633"/>
      <c r="AMC85" s="633"/>
      <c r="AMD85" s="633"/>
      <c r="AME85" s="633"/>
      <c r="AMF85" s="633"/>
      <c r="AMG85" s="633"/>
      <c r="AMH85" s="633"/>
      <c r="AMI85" s="633"/>
      <c r="AMJ85" s="633"/>
      <c r="AMK85" s="633"/>
      <c r="AML85" s="633"/>
      <c r="AMM85" s="633"/>
      <c r="AMN85" s="633"/>
      <c r="AMO85" s="633"/>
      <c r="AMP85" s="633"/>
      <c r="AMQ85" s="633"/>
      <c r="AMR85" s="633"/>
      <c r="AMS85" s="633"/>
      <c r="AMT85" s="633"/>
      <c r="AMU85" s="633"/>
      <c r="AMV85" s="633"/>
      <c r="AMW85" s="633"/>
      <c r="AMX85" s="633"/>
      <c r="AMY85" s="633"/>
      <c r="AMZ85" s="633"/>
      <c r="ANA85" s="633"/>
      <c r="ANB85" s="633"/>
      <c r="ANC85" s="633"/>
      <c r="AND85" s="633"/>
      <c r="ANE85" s="633"/>
      <c r="ANF85" s="633"/>
      <c r="ANG85" s="633"/>
      <c r="ANH85" s="633"/>
      <c r="ANI85" s="633"/>
      <c r="ANJ85" s="633"/>
      <c r="ANK85" s="633"/>
      <c r="ANL85" s="633"/>
      <c r="ANM85" s="633"/>
      <c r="ANN85" s="633"/>
      <c r="ANO85" s="633"/>
      <c r="ANP85" s="633"/>
      <c r="ANQ85" s="633"/>
      <c r="ANR85" s="633"/>
      <c r="ANS85" s="633"/>
      <c r="ANT85" s="633"/>
      <c r="ANU85" s="633"/>
      <c r="ANV85" s="633"/>
      <c r="ANW85" s="633"/>
      <c r="ANX85" s="633"/>
      <c r="ANY85" s="633"/>
      <c r="ANZ85" s="633"/>
      <c r="AOA85" s="633"/>
      <c r="AOB85" s="633"/>
      <c r="AOC85" s="633"/>
      <c r="AOD85" s="633"/>
      <c r="AOE85" s="633"/>
      <c r="AOF85" s="633"/>
      <c r="AOG85" s="633"/>
      <c r="AOH85" s="633"/>
      <c r="AOI85" s="633"/>
      <c r="AOJ85" s="633"/>
      <c r="AOK85" s="633"/>
      <c r="AOL85" s="633"/>
      <c r="AOM85" s="633"/>
      <c r="AON85" s="633"/>
      <c r="AOO85" s="633"/>
      <c r="AOP85" s="633"/>
      <c r="AOQ85" s="633"/>
      <c r="AOR85" s="633"/>
      <c r="AOS85" s="633"/>
      <c r="AOT85" s="633"/>
      <c r="AOU85" s="633"/>
      <c r="AOV85" s="633"/>
      <c r="AOW85" s="633"/>
      <c r="AOX85" s="633"/>
      <c r="AOY85" s="633"/>
      <c r="AOZ85" s="633"/>
      <c r="APA85" s="633"/>
      <c r="APB85" s="633"/>
      <c r="APC85" s="633"/>
      <c r="APD85" s="633"/>
      <c r="APE85" s="633"/>
      <c r="APF85" s="633"/>
      <c r="APG85" s="633"/>
      <c r="APH85" s="633"/>
      <c r="API85" s="633"/>
      <c r="APJ85" s="633"/>
      <c r="APK85" s="633"/>
      <c r="APL85" s="633"/>
      <c r="APM85" s="633"/>
      <c r="APN85" s="633"/>
      <c r="APO85" s="633"/>
      <c r="APP85" s="633"/>
      <c r="APQ85" s="633"/>
      <c r="APR85" s="633"/>
      <c r="APS85" s="633"/>
      <c r="APT85" s="633"/>
      <c r="APU85" s="633"/>
      <c r="APV85" s="633"/>
      <c r="APW85" s="633"/>
      <c r="APX85" s="633"/>
      <c r="APY85" s="633"/>
      <c r="APZ85" s="633"/>
      <c r="AQA85" s="633"/>
      <c r="AQB85" s="633"/>
      <c r="AQC85" s="633"/>
      <c r="AQD85" s="633"/>
      <c r="AQE85" s="633"/>
      <c r="AQF85" s="633"/>
      <c r="AQG85" s="633"/>
      <c r="AQH85" s="633"/>
      <c r="AQI85" s="633"/>
      <c r="AQJ85" s="633"/>
      <c r="AQK85" s="633"/>
      <c r="AQL85" s="633"/>
      <c r="AQM85" s="633"/>
      <c r="AQN85" s="633"/>
      <c r="AQO85" s="633"/>
      <c r="AQP85" s="633"/>
      <c r="AQQ85" s="633"/>
      <c r="AQR85" s="633"/>
      <c r="AQS85" s="633"/>
      <c r="AQT85" s="633"/>
      <c r="AQU85" s="633"/>
      <c r="AQV85" s="633"/>
      <c r="AQW85" s="633"/>
      <c r="AQX85" s="633"/>
      <c r="AQY85" s="633"/>
      <c r="AQZ85" s="633"/>
      <c r="ARA85" s="633"/>
      <c r="ARB85" s="633"/>
      <c r="ARC85" s="633"/>
      <c r="ARD85" s="633"/>
      <c r="ARE85" s="633"/>
      <c r="ARF85" s="633"/>
      <c r="ARG85" s="633"/>
      <c r="ARH85" s="633"/>
      <c r="ARI85" s="633"/>
      <c r="ARJ85" s="633"/>
      <c r="ARK85" s="633"/>
      <c r="ARL85" s="633"/>
      <c r="ARM85" s="633"/>
      <c r="ARN85" s="633"/>
      <c r="ARO85" s="633"/>
      <c r="ARP85" s="633"/>
      <c r="ARQ85" s="633"/>
      <c r="ARR85" s="633"/>
      <c r="ARS85" s="633"/>
      <c r="ART85" s="633"/>
      <c r="ARU85" s="633"/>
      <c r="ARV85" s="633"/>
      <c r="ARW85" s="633"/>
      <c r="ARX85" s="633"/>
      <c r="ARY85" s="633"/>
      <c r="ARZ85" s="633"/>
      <c r="ASA85" s="633"/>
      <c r="ASB85" s="633"/>
      <c r="ASC85" s="633"/>
      <c r="ASD85" s="633"/>
      <c r="ASE85" s="633"/>
      <c r="ASF85" s="633"/>
      <c r="ASG85" s="633"/>
      <c r="ASH85" s="633"/>
      <c r="ASI85" s="633"/>
      <c r="ASJ85" s="633"/>
      <c r="ASK85" s="633"/>
      <c r="ASL85" s="633"/>
      <c r="ASM85" s="633"/>
      <c r="ASN85" s="633"/>
      <c r="ASO85" s="633"/>
      <c r="ASP85" s="633"/>
      <c r="ASQ85" s="633"/>
      <c r="ASR85" s="633"/>
      <c r="ASS85" s="633"/>
      <c r="AST85" s="633"/>
      <c r="ASU85" s="633"/>
      <c r="ASV85" s="633"/>
      <c r="ASW85" s="633"/>
      <c r="ASX85" s="633"/>
      <c r="ASY85" s="633"/>
      <c r="ASZ85" s="633"/>
      <c r="ATA85" s="633"/>
      <c r="ATB85" s="633"/>
      <c r="ATC85" s="633"/>
      <c r="ATD85" s="633"/>
      <c r="ATE85" s="633"/>
      <c r="ATF85" s="633"/>
      <c r="ATG85" s="633"/>
      <c r="ATH85" s="633"/>
      <c r="ATI85" s="633"/>
      <c r="ATJ85" s="633"/>
      <c r="ATK85" s="633"/>
      <c r="ATL85" s="633"/>
      <c r="ATM85" s="633"/>
      <c r="ATN85" s="633"/>
      <c r="ATO85" s="633"/>
      <c r="ATP85" s="633"/>
      <c r="ATQ85" s="633"/>
      <c r="ATR85" s="633"/>
      <c r="ATS85" s="633"/>
      <c r="ATT85" s="633"/>
      <c r="ATU85" s="633"/>
      <c r="ATV85" s="633"/>
      <c r="ATW85" s="633"/>
      <c r="ATX85" s="633"/>
      <c r="ATY85" s="633"/>
      <c r="ATZ85" s="633"/>
      <c r="AUA85" s="633"/>
      <c r="AUB85" s="633"/>
      <c r="AUC85" s="633"/>
      <c r="AUD85" s="633"/>
      <c r="AUE85" s="633"/>
      <c r="AUF85" s="633"/>
      <c r="AUG85" s="633"/>
      <c r="AUH85" s="633"/>
      <c r="AUI85" s="633"/>
      <c r="AUJ85" s="633"/>
      <c r="AUK85" s="633"/>
      <c r="AUL85" s="633"/>
      <c r="AUM85" s="633"/>
      <c r="AUN85" s="633"/>
      <c r="AUO85" s="633"/>
      <c r="AUP85" s="633"/>
      <c r="AUQ85" s="633"/>
      <c r="AUR85" s="633"/>
      <c r="AUS85" s="633"/>
      <c r="AUT85" s="633"/>
      <c r="AUU85" s="633"/>
      <c r="AUV85" s="633"/>
      <c r="AUW85" s="633"/>
      <c r="AUX85" s="633"/>
      <c r="AUY85" s="633"/>
      <c r="AUZ85" s="633"/>
      <c r="AVA85" s="633"/>
      <c r="AVB85" s="633"/>
      <c r="AVC85" s="633"/>
      <c r="AVD85" s="633"/>
      <c r="AVE85" s="633"/>
      <c r="AVF85" s="633"/>
      <c r="AVG85" s="633"/>
      <c r="AVH85" s="633"/>
      <c r="AVI85" s="633"/>
      <c r="AVJ85" s="633"/>
      <c r="AVK85" s="633"/>
      <c r="AVL85" s="633"/>
      <c r="AVM85" s="633"/>
      <c r="AVN85" s="633"/>
      <c r="AVO85" s="633"/>
      <c r="AVP85" s="633"/>
      <c r="AVQ85" s="633"/>
      <c r="AVR85" s="633"/>
      <c r="AVS85" s="633"/>
      <c r="AVT85" s="633"/>
      <c r="AVU85" s="633"/>
      <c r="AVV85" s="633"/>
      <c r="AVW85" s="633"/>
      <c r="AVX85" s="633"/>
      <c r="AVY85" s="633"/>
      <c r="AVZ85" s="633"/>
      <c r="AWA85" s="633"/>
      <c r="AWB85" s="633"/>
      <c r="AWC85" s="633"/>
      <c r="AWD85" s="633"/>
      <c r="AWE85" s="633"/>
      <c r="AWF85" s="633"/>
      <c r="AWG85" s="633"/>
      <c r="AWH85" s="633"/>
      <c r="AWI85" s="633"/>
      <c r="AWJ85" s="633"/>
      <c r="AWK85" s="633"/>
      <c r="AWL85" s="633"/>
      <c r="AWM85" s="633"/>
      <c r="AWN85" s="633"/>
      <c r="AWO85" s="633"/>
      <c r="AWP85" s="633"/>
      <c r="AWQ85" s="633"/>
      <c r="AWR85" s="633"/>
      <c r="AWS85" s="633"/>
      <c r="AWT85" s="633"/>
      <c r="AWU85" s="633"/>
      <c r="AWV85" s="633"/>
      <c r="AWW85" s="633"/>
      <c r="AWX85" s="633"/>
      <c r="AWY85" s="633"/>
      <c r="AWZ85" s="633"/>
      <c r="AXA85" s="633"/>
      <c r="AXB85" s="633"/>
      <c r="AXC85" s="633"/>
      <c r="AXD85" s="633"/>
      <c r="AXE85" s="633"/>
      <c r="AXF85" s="633"/>
      <c r="AXG85" s="633"/>
      <c r="AXH85" s="633"/>
      <c r="AXI85" s="633"/>
      <c r="AXJ85" s="633"/>
      <c r="AXK85" s="633"/>
      <c r="AXL85" s="633"/>
      <c r="AXM85" s="633"/>
      <c r="AXN85" s="633"/>
      <c r="AXO85" s="633"/>
      <c r="AXP85" s="633"/>
      <c r="AXQ85" s="633"/>
      <c r="AXR85" s="633"/>
      <c r="AXS85" s="633"/>
      <c r="AXT85" s="633"/>
      <c r="AXU85" s="633"/>
      <c r="AXV85" s="633"/>
      <c r="AXW85" s="633"/>
      <c r="AXX85" s="633"/>
      <c r="AXY85" s="633"/>
      <c r="AXZ85" s="633"/>
      <c r="AYA85" s="633"/>
      <c r="AYB85" s="633"/>
      <c r="AYC85" s="633"/>
      <c r="AYD85" s="633"/>
      <c r="AYE85" s="633"/>
      <c r="AYF85" s="633"/>
      <c r="AYG85" s="633"/>
      <c r="AYH85" s="633"/>
      <c r="AYI85" s="633"/>
      <c r="AYJ85" s="633"/>
      <c r="AYK85" s="633"/>
      <c r="AYL85" s="633"/>
      <c r="AYM85" s="633"/>
      <c r="AYN85" s="633"/>
      <c r="AYO85" s="633"/>
      <c r="AYP85" s="633"/>
      <c r="AYQ85" s="633"/>
      <c r="AYR85" s="633"/>
      <c r="AYS85" s="633"/>
      <c r="AYT85" s="633"/>
      <c r="AYU85" s="633"/>
      <c r="AYV85" s="633"/>
      <c r="AYW85" s="633"/>
      <c r="AYX85" s="633"/>
      <c r="AYY85" s="633"/>
      <c r="AYZ85" s="633"/>
      <c r="AZA85" s="633"/>
      <c r="AZB85" s="633"/>
      <c r="AZC85" s="633"/>
      <c r="AZD85" s="633"/>
      <c r="AZE85" s="633"/>
      <c r="AZF85" s="633"/>
      <c r="AZG85" s="633"/>
      <c r="AZH85" s="633"/>
      <c r="AZI85" s="633"/>
      <c r="AZJ85" s="633"/>
      <c r="AZK85" s="633"/>
      <c r="AZL85" s="633"/>
      <c r="AZM85" s="633"/>
      <c r="AZN85" s="633"/>
      <c r="AZO85" s="633"/>
      <c r="AZP85" s="633"/>
      <c r="AZQ85" s="633"/>
      <c r="AZR85" s="633"/>
      <c r="AZS85" s="633"/>
      <c r="AZT85" s="633"/>
      <c r="AZU85" s="633"/>
      <c r="AZV85" s="633"/>
      <c r="AZW85" s="633"/>
      <c r="AZX85" s="633"/>
      <c r="AZY85" s="633"/>
      <c r="AZZ85" s="633"/>
      <c r="BAA85" s="633"/>
      <c r="BAB85" s="633"/>
      <c r="BAC85" s="633"/>
      <c r="BAD85" s="633"/>
      <c r="BAE85" s="633"/>
      <c r="BAF85" s="633"/>
      <c r="BAG85" s="633"/>
      <c r="BAH85" s="633"/>
      <c r="BAI85" s="633"/>
      <c r="BAJ85" s="633"/>
      <c r="BAK85" s="633"/>
      <c r="BAL85" s="633"/>
      <c r="BAM85" s="633"/>
      <c r="BAN85" s="633"/>
      <c r="BAO85" s="633"/>
      <c r="BAP85" s="633"/>
      <c r="BAQ85" s="633"/>
      <c r="BAR85" s="633"/>
      <c r="BAS85" s="633"/>
      <c r="BAT85" s="633"/>
      <c r="BAU85" s="633"/>
      <c r="BAV85" s="633"/>
      <c r="BAW85" s="633"/>
      <c r="BAX85" s="633"/>
      <c r="BAY85" s="633"/>
      <c r="BAZ85" s="633"/>
      <c r="BBA85" s="633"/>
      <c r="BBB85" s="633"/>
      <c r="BBC85" s="633"/>
      <c r="BBD85" s="633"/>
      <c r="BBE85" s="633"/>
      <c r="BBF85" s="633"/>
      <c r="BBG85" s="633"/>
      <c r="BBH85" s="633"/>
      <c r="BBI85" s="633"/>
      <c r="BBJ85" s="633"/>
      <c r="BBK85" s="633"/>
      <c r="BBL85" s="633"/>
      <c r="BBM85" s="633"/>
      <c r="BBN85" s="633"/>
      <c r="BBO85" s="633"/>
      <c r="BBP85" s="633"/>
      <c r="BBQ85" s="633"/>
      <c r="BBR85" s="633"/>
      <c r="BBS85" s="633"/>
      <c r="BBT85" s="633"/>
      <c r="BBU85" s="633"/>
      <c r="BBV85" s="633"/>
      <c r="BBW85" s="633"/>
      <c r="BBX85" s="633"/>
      <c r="BBY85" s="633"/>
      <c r="BBZ85" s="633"/>
      <c r="BCA85" s="633"/>
      <c r="BCB85" s="633"/>
      <c r="BCC85" s="633"/>
      <c r="BCD85" s="633"/>
      <c r="BCE85" s="633"/>
      <c r="BCF85" s="633"/>
      <c r="BCG85" s="633"/>
      <c r="BCH85" s="633"/>
      <c r="BCI85" s="633"/>
      <c r="BCJ85" s="633"/>
      <c r="BCK85" s="633"/>
      <c r="BCL85" s="633"/>
      <c r="BCM85" s="633"/>
      <c r="BCN85" s="633"/>
      <c r="BCO85" s="633"/>
      <c r="BCP85" s="633"/>
      <c r="BCQ85" s="633"/>
      <c r="BCR85" s="633"/>
      <c r="BCS85" s="633"/>
      <c r="BCT85" s="633"/>
      <c r="BCU85" s="633"/>
      <c r="BCV85" s="633"/>
      <c r="BCW85" s="633"/>
      <c r="BCX85" s="633"/>
      <c r="BCY85" s="633"/>
      <c r="BCZ85" s="633"/>
      <c r="BDA85" s="633"/>
      <c r="BDB85" s="633"/>
      <c r="BDC85" s="633"/>
      <c r="BDD85" s="633"/>
      <c r="BDE85" s="633"/>
      <c r="BDF85" s="633"/>
      <c r="BDG85" s="633"/>
      <c r="BDH85" s="633"/>
      <c r="BDI85" s="633"/>
      <c r="BDJ85" s="633"/>
      <c r="BDK85" s="633"/>
      <c r="BDL85" s="633"/>
      <c r="BDM85" s="633"/>
      <c r="BDN85" s="633"/>
      <c r="BDO85" s="633"/>
      <c r="BDP85" s="633"/>
      <c r="BDQ85" s="633"/>
      <c r="BDR85" s="633"/>
      <c r="BDS85" s="633"/>
      <c r="BDT85" s="633"/>
      <c r="BDU85" s="633"/>
      <c r="BDV85" s="633"/>
      <c r="BDW85" s="633"/>
      <c r="BDX85" s="633"/>
      <c r="BDY85" s="633"/>
      <c r="BDZ85" s="633"/>
      <c r="BEA85" s="633"/>
      <c r="BEB85" s="633"/>
      <c r="BEC85" s="633"/>
      <c r="BED85" s="633"/>
      <c r="BEE85" s="633"/>
      <c r="BEF85" s="633"/>
      <c r="BEG85" s="633"/>
      <c r="BEH85" s="633"/>
      <c r="BEI85" s="633"/>
      <c r="BEJ85" s="633"/>
      <c r="BEK85" s="633"/>
      <c r="BEL85" s="633"/>
      <c r="BEM85" s="633"/>
      <c r="BEN85" s="633"/>
      <c r="BEO85" s="633"/>
      <c r="BEP85" s="633"/>
      <c r="BEQ85" s="633"/>
      <c r="BER85" s="633"/>
      <c r="BES85" s="633"/>
      <c r="BET85" s="633"/>
      <c r="BEU85" s="633"/>
      <c r="BEV85" s="633"/>
      <c r="BEW85" s="633"/>
      <c r="BEX85" s="633"/>
      <c r="BEY85" s="633"/>
      <c r="BEZ85" s="633"/>
      <c r="BFA85" s="633"/>
      <c r="BFB85" s="633"/>
      <c r="BFC85" s="633"/>
      <c r="BFD85" s="633"/>
      <c r="BFE85" s="633"/>
      <c r="BFF85" s="633"/>
      <c r="BFG85" s="633"/>
      <c r="BFH85" s="633"/>
      <c r="BFI85" s="633"/>
      <c r="BFJ85" s="633"/>
      <c r="BFK85" s="633"/>
      <c r="BFL85" s="633"/>
      <c r="BFM85" s="633"/>
      <c r="BFN85" s="633"/>
      <c r="BFO85" s="633"/>
      <c r="BFP85" s="633"/>
      <c r="BFQ85" s="633"/>
      <c r="BFR85" s="633"/>
      <c r="BFS85" s="633"/>
      <c r="BFT85" s="633"/>
      <c r="BFU85" s="633"/>
      <c r="BFV85" s="633"/>
      <c r="BFW85" s="633"/>
      <c r="BFX85" s="633"/>
      <c r="BFY85" s="633"/>
      <c r="BFZ85" s="633"/>
      <c r="BGA85" s="633"/>
      <c r="BGB85" s="633"/>
      <c r="BGC85" s="633"/>
      <c r="BGD85" s="633"/>
      <c r="BGE85" s="633"/>
      <c r="BGF85" s="633"/>
      <c r="BGG85" s="633"/>
      <c r="BGH85" s="633"/>
      <c r="BGI85" s="633"/>
      <c r="BGJ85" s="633"/>
      <c r="BGK85" s="633"/>
      <c r="BGL85" s="633"/>
      <c r="BGM85" s="633"/>
      <c r="BGN85" s="633"/>
      <c r="BGO85" s="633"/>
      <c r="BGP85" s="633"/>
      <c r="BGQ85" s="633"/>
      <c r="BGR85" s="633"/>
      <c r="BGS85" s="633"/>
      <c r="BGT85" s="633"/>
      <c r="BGU85" s="633"/>
      <c r="BGV85" s="633"/>
      <c r="BGW85" s="633"/>
      <c r="BGX85" s="633"/>
      <c r="BGY85" s="633"/>
      <c r="BGZ85" s="633"/>
      <c r="BHA85" s="633"/>
      <c r="BHB85" s="633"/>
      <c r="BHC85" s="633"/>
      <c r="BHD85" s="633"/>
      <c r="BHE85" s="633"/>
      <c r="BHF85" s="633"/>
      <c r="BHG85" s="633"/>
      <c r="BHH85" s="633"/>
      <c r="BHI85" s="633"/>
      <c r="BHJ85" s="633"/>
      <c r="BHK85" s="633"/>
      <c r="BHL85" s="633"/>
      <c r="BHM85" s="633"/>
      <c r="BHN85" s="633"/>
      <c r="BHO85" s="633"/>
      <c r="BHP85" s="633"/>
      <c r="BHQ85" s="633"/>
      <c r="BHR85" s="633"/>
      <c r="BHS85" s="633"/>
      <c r="BHT85" s="633"/>
      <c r="BHU85" s="633"/>
      <c r="BHV85" s="633"/>
      <c r="BHW85" s="633"/>
      <c r="BHX85" s="633"/>
      <c r="BHY85" s="633"/>
      <c r="BHZ85" s="633"/>
      <c r="BIA85" s="633"/>
      <c r="BIB85" s="633"/>
      <c r="BIC85" s="633"/>
      <c r="BID85" s="633"/>
      <c r="BIE85" s="633"/>
      <c r="BIF85" s="633"/>
      <c r="BIG85" s="633"/>
      <c r="BIH85" s="633"/>
      <c r="BII85" s="633"/>
      <c r="BIJ85" s="633"/>
      <c r="BIK85" s="633"/>
      <c r="BIL85" s="633"/>
      <c r="BIM85" s="633"/>
      <c r="BIN85" s="633"/>
      <c r="BIO85" s="633"/>
      <c r="BIP85" s="633"/>
      <c r="BIQ85" s="633"/>
      <c r="BIR85" s="633"/>
      <c r="BIS85" s="633"/>
      <c r="BIT85" s="633"/>
      <c r="BIU85" s="633"/>
      <c r="BIV85" s="633"/>
      <c r="BIW85" s="633"/>
      <c r="BIX85" s="633"/>
      <c r="BIY85" s="633"/>
      <c r="BIZ85" s="633"/>
      <c r="BJA85" s="633"/>
      <c r="BJB85" s="633"/>
      <c r="BJC85" s="633"/>
      <c r="BJD85" s="633"/>
      <c r="BJE85" s="633"/>
      <c r="BJF85" s="633"/>
      <c r="BJG85" s="633"/>
      <c r="BJH85" s="633"/>
      <c r="BJI85" s="633"/>
      <c r="BJJ85" s="633"/>
      <c r="BJK85" s="633"/>
      <c r="BJL85" s="633"/>
      <c r="BJM85" s="633"/>
      <c r="BJN85" s="633"/>
      <c r="BJO85" s="633"/>
      <c r="BJP85" s="633"/>
      <c r="BJQ85" s="633"/>
      <c r="BJR85" s="633"/>
      <c r="BJS85" s="633"/>
      <c r="BJT85" s="633"/>
      <c r="BJU85" s="633"/>
      <c r="BJV85" s="633"/>
      <c r="BJW85" s="633"/>
      <c r="BJX85" s="633"/>
      <c r="BJY85" s="633"/>
      <c r="BJZ85" s="633"/>
      <c r="BKA85" s="633"/>
      <c r="BKB85" s="633"/>
      <c r="BKC85" s="633"/>
      <c r="BKD85" s="633"/>
      <c r="BKE85" s="633"/>
      <c r="BKF85" s="633"/>
      <c r="BKG85" s="633"/>
      <c r="BKH85" s="633"/>
      <c r="BKI85" s="633"/>
      <c r="BKJ85" s="633"/>
      <c r="BKK85" s="633"/>
      <c r="BKL85" s="633"/>
      <c r="BKM85" s="633"/>
      <c r="BKN85" s="633"/>
      <c r="BKO85" s="633"/>
      <c r="BKP85" s="633"/>
      <c r="BKQ85" s="633"/>
      <c r="BKR85" s="633"/>
      <c r="BKS85" s="633"/>
      <c r="BKT85" s="633"/>
      <c r="BKU85" s="633"/>
      <c r="BKV85" s="633"/>
      <c r="BKW85" s="633"/>
      <c r="BKX85" s="633"/>
      <c r="BKY85" s="633"/>
      <c r="BKZ85" s="633"/>
      <c r="BLA85" s="633"/>
      <c r="BLB85" s="633"/>
      <c r="BLC85" s="633"/>
      <c r="BLD85" s="633"/>
      <c r="BLE85" s="633"/>
      <c r="BLF85" s="633"/>
      <c r="BLG85" s="633"/>
      <c r="BLH85" s="633"/>
      <c r="BLI85" s="633"/>
      <c r="BLJ85" s="633"/>
      <c r="BLK85" s="633"/>
      <c r="BLL85" s="633"/>
      <c r="BLM85" s="633"/>
      <c r="BLN85" s="633"/>
      <c r="BLO85" s="633"/>
      <c r="BLP85" s="633"/>
      <c r="BLQ85" s="633"/>
      <c r="BLR85" s="633"/>
      <c r="BLS85" s="633"/>
      <c r="BLT85" s="633"/>
      <c r="BLU85" s="633"/>
      <c r="BLV85" s="633"/>
      <c r="BLW85" s="633"/>
      <c r="BLX85" s="633"/>
      <c r="BLY85" s="633"/>
      <c r="BLZ85" s="633"/>
      <c r="BMA85" s="633"/>
      <c r="BMB85" s="633"/>
      <c r="BMC85" s="633"/>
      <c r="BMD85" s="633"/>
      <c r="BME85" s="633"/>
      <c r="BMF85" s="633"/>
      <c r="BMG85" s="633"/>
      <c r="BMH85" s="633"/>
      <c r="BMI85" s="633"/>
      <c r="BMJ85" s="633"/>
      <c r="BMK85" s="633"/>
      <c r="BML85" s="633"/>
      <c r="BMM85" s="633"/>
      <c r="BMN85" s="633"/>
      <c r="BMO85" s="633"/>
      <c r="BMP85" s="633"/>
      <c r="BMQ85" s="633"/>
      <c r="BMR85" s="633"/>
      <c r="BMS85" s="633"/>
      <c r="BMT85" s="633"/>
      <c r="BMU85" s="633"/>
      <c r="BMV85" s="633"/>
      <c r="BMW85" s="633"/>
      <c r="BMX85" s="633"/>
      <c r="BMY85" s="633"/>
      <c r="BMZ85" s="633"/>
      <c r="BNA85" s="633"/>
      <c r="BNB85" s="633"/>
      <c r="BNC85" s="633"/>
      <c r="BND85" s="633"/>
      <c r="BNE85" s="633"/>
      <c r="BNF85" s="633"/>
      <c r="BNG85" s="633"/>
      <c r="BNH85" s="633"/>
      <c r="BNI85" s="633"/>
      <c r="BNJ85" s="633"/>
      <c r="BNK85" s="633"/>
      <c r="BNL85" s="633"/>
      <c r="BNM85" s="633"/>
      <c r="BNN85" s="633"/>
      <c r="BNO85" s="633"/>
      <c r="BNP85" s="633"/>
      <c r="BNQ85" s="633"/>
      <c r="BNR85" s="633"/>
      <c r="BNS85" s="633"/>
      <c r="BNT85" s="633"/>
      <c r="BNU85" s="633"/>
      <c r="BNV85" s="633"/>
      <c r="BNW85" s="633"/>
      <c r="BNX85" s="633"/>
      <c r="BNY85" s="633"/>
      <c r="BNZ85" s="633"/>
      <c r="BOA85" s="633"/>
      <c r="BOB85" s="633"/>
      <c r="BOC85" s="633"/>
      <c r="BOD85" s="633"/>
      <c r="BOE85" s="633"/>
      <c r="BOF85" s="633"/>
      <c r="BOG85" s="633"/>
      <c r="BOH85" s="633"/>
      <c r="BOI85" s="633"/>
      <c r="BOJ85" s="633"/>
      <c r="BOK85" s="633"/>
      <c r="BOL85" s="633"/>
      <c r="BOM85" s="633"/>
      <c r="BON85" s="633"/>
      <c r="BOO85" s="633"/>
      <c r="BOP85" s="633"/>
      <c r="BOQ85" s="633"/>
      <c r="BOR85" s="633"/>
      <c r="BOS85" s="633"/>
      <c r="BOT85" s="633"/>
      <c r="BOU85" s="633"/>
      <c r="BOV85" s="633"/>
      <c r="BOW85" s="633"/>
      <c r="BOX85" s="633"/>
      <c r="BOY85" s="633"/>
      <c r="BOZ85" s="633"/>
      <c r="BPA85" s="633"/>
      <c r="BPB85" s="633"/>
      <c r="BPC85" s="633"/>
      <c r="BPD85" s="633"/>
      <c r="BPE85" s="633"/>
      <c r="BPF85" s="633"/>
      <c r="BPG85" s="633"/>
      <c r="BPH85" s="633"/>
      <c r="BPI85" s="633"/>
      <c r="BPJ85" s="633"/>
      <c r="BPK85" s="633"/>
      <c r="BPL85" s="633"/>
      <c r="BPM85" s="633"/>
      <c r="BPN85" s="633"/>
      <c r="BPO85" s="633"/>
      <c r="BPP85" s="633"/>
      <c r="BPQ85" s="633"/>
      <c r="BPR85" s="633"/>
      <c r="BPS85" s="633"/>
      <c r="BPT85" s="633"/>
      <c r="BPU85" s="633"/>
      <c r="BPV85" s="633"/>
      <c r="BPW85" s="633"/>
      <c r="BPX85" s="633"/>
      <c r="BPY85" s="633"/>
      <c r="BPZ85" s="633"/>
      <c r="BQA85" s="633"/>
      <c r="BQB85" s="633"/>
      <c r="BQC85" s="633"/>
      <c r="BQD85" s="633"/>
      <c r="BQE85" s="633"/>
      <c r="BQF85" s="633"/>
      <c r="BQG85" s="633"/>
      <c r="BQH85" s="633"/>
      <c r="BQI85" s="633"/>
      <c r="BQJ85" s="633"/>
      <c r="BQK85" s="633"/>
      <c r="BQL85" s="633"/>
      <c r="BQM85" s="633"/>
      <c r="BQN85" s="633"/>
      <c r="BQO85" s="633"/>
      <c r="BQP85" s="633"/>
      <c r="BQQ85" s="633"/>
      <c r="BQR85" s="633"/>
      <c r="BQS85" s="633"/>
      <c r="BQT85" s="633"/>
      <c r="BQU85" s="633"/>
      <c r="BQV85" s="633"/>
      <c r="BQW85" s="633"/>
      <c r="BQX85" s="633"/>
      <c r="BQY85" s="633"/>
      <c r="BQZ85" s="633"/>
      <c r="BRA85" s="633"/>
      <c r="BRB85" s="633"/>
      <c r="BRC85" s="633"/>
      <c r="BRD85" s="633"/>
      <c r="BRE85" s="633"/>
      <c r="BRF85" s="633"/>
      <c r="BRG85" s="633"/>
      <c r="BRH85" s="633"/>
      <c r="BRI85" s="633"/>
      <c r="BRJ85" s="633"/>
      <c r="BRK85" s="633"/>
      <c r="BRL85" s="633"/>
      <c r="BRM85" s="633"/>
      <c r="BRN85" s="633"/>
      <c r="BRO85" s="633"/>
      <c r="BRP85" s="633"/>
      <c r="BRQ85" s="633"/>
      <c r="BRR85" s="633"/>
      <c r="BRS85" s="633"/>
      <c r="BRT85" s="633"/>
      <c r="BRU85" s="633"/>
      <c r="BRV85" s="633"/>
      <c r="BRW85" s="633"/>
      <c r="BRX85" s="633"/>
      <c r="BRY85" s="633"/>
      <c r="BRZ85" s="633"/>
      <c r="BSA85" s="633"/>
      <c r="BSB85" s="633"/>
      <c r="BSC85" s="633"/>
      <c r="BSD85" s="633"/>
      <c r="BSE85" s="633"/>
      <c r="BSF85" s="633"/>
      <c r="BSG85" s="633"/>
      <c r="BSH85" s="633"/>
      <c r="BSI85" s="633"/>
      <c r="BSJ85" s="633"/>
      <c r="BSK85" s="633"/>
      <c r="BSL85" s="633"/>
      <c r="BSM85" s="633"/>
      <c r="BSN85" s="633"/>
      <c r="BSO85" s="633"/>
      <c r="BSP85" s="633"/>
      <c r="BSQ85" s="633"/>
      <c r="BSR85" s="633"/>
      <c r="BSS85" s="633"/>
      <c r="BST85" s="633"/>
      <c r="BSU85" s="633"/>
      <c r="BSV85" s="633"/>
      <c r="BSW85" s="633"/>
      <c r="BSX85" s="633"/>
      <c r="BSY85" s="633"/>
      <c r="BSZ85" s="633"/>
      <c r="BTA85" s="633"/>
      <c r="BTB85" s="633"/>
      <c r="BTC85" s="633"/>
      <c r="BTD85" s="633"/>
      <c r="BTE85" s="633"/>
      <c r="BTF85" s="633"/>
      <c r="BTG85" s="633"/>
      <c r="BTH85" s="633"/>
      <c r="BTI85" s="633"/>
    </row>
    <row r="86" spans="1:1881" ht="48" customHeight="1" x14ac:dyDescent="0.25">
      <c r="A86" s="189">
        <v>381</v>
      </c>
      <c r="B86" s="64" t="s">
        <v>42</v>
      </c>
      <c r="C86" s="160" t="s">
        <v>186</v>
      </c>
      <c r="D86" s="131" t="s">
        <v>138</v>
      </c>
      <c r="E86" s="32" t="e">
        <f>HLOOKUP($D$2,'2019 Data(H)'!$C$1:$CG$300,140,FALSE)</f>
        <v>#N/A</v>
      </c>
      <c r="F86" s="647"/>
      <c r="G86" s="413">
        <f>IF(F84&gt;F86,"Error: Please review components of current assets above. Account numbers 654&gt;381",)</f>
        <v>0</v>
      </c>
      <c r="H86" s="13"/>
      <c r="I86" s="31"/>
    </row>
    <row r="87" spans="1:1881" s="226" customFormat="1" ht="63" customHeight="1" x14ac:dyDescent="0.25">
      <c r="A87" s="189">
        <v>578</v>
      </c>
      <c r="B87" s="151" t="s">
        <v>66</v>
      </c>
      <c r="C87" s="183" t="s">
        <v>186</v>
      </c>
      <c r="D87" s="312" t="s">
        <v>658</v>
      </c>
      <c r="E87" s="32" t="e">
        <f>HLOOKUP($D$2,'2019 Data(H)'!$C$1:$CG$300,228,FALSE)</f>
        <v>#N/A</v>
      </c>
      <c r="F87" s="647"/>
      <c r="G87" s="413"/>
      <c r="H87" s="150"/>
      <c r="I87" s="298"/>
      <c r="J87" s="412"/>
      <c r="K87" s="412"/>
      <c r="L87" s="412"/>
      <c r="M87" s="412"/>
      <c r="N87"/>
      <c r="O87" s="412"/>
      <c r="P87" s="412"/>
      <c r="Q87" s="412"/>
      <c r="R87" s="412"/>
      <c r="S87" s="412"/>
      <c r="T87" s="412"/>
      <c r="U87" s="412"/>
      <c r="V87" s="412"/>
      <c r="W87" s="412"/>
      <c r="X87" s="412"/>
      <c r="Y87" s="412"/>
      <c r="Z87" s="412"/>
      <c r="AA87" s="412"/>
      <c r="AB87" s="412"/>
      <c r="AC87" s="412"/>
      <c r="AD87" s="412"/>
      <c r="AE87" s="412"/>
      <c r="AF87" s="412"/>
      <c r="AG87" s="412"/>
      <c r="AH87" s="412"/>
      <c r="AI87" s="412"/>
      <c r="AJ87" s="412"/>
      <c r="AK87" s="412"/>
      <c r="AL87" s="412"/>
      <c r="AM87" s="412"/>
      <c r="AN87" s="412"/>
      <c r="AO87" s="412"/>
      <c r="AP87" s="412"/>
      <c r="AQ87" s="412"/>
      <c r="AR87" s="412"/>
      <c r="AS87" s="412"/>
      <c r="AT87" s="412"/>
      <c r="AU87" s="412"/>
      <c r="AV87" s="412"/>
      <c r="AW87" s="412"/>
      <c r="AX87" s="412"/>
      <c r="AY87" s="412"/>
      <c r="AZ87" s="412"/>
      <c r="BA87" s="412"/>
      <c r="BB87" s="412"/>
      <c r="BC87" s="412"/>
      <c r="BD87" s="412"/>
      <c r="BE87" s="412"/>
      <c r="BF87" s="412"/>
      <c r="BG87" s="412"/>
      <c r="BH87" s="412"/>
      <c r="BI87" s="412"/>
      <c r="BJ87" s="412"/>
      <c r="BK87" s="412"/>
      <c r="BL87" s="412"/>
      <c r="BM87" s="412"/>
      <c r="BN87" s="412"/>
      <c r="BO87" s="412"/>
      <c r="BP87" s="412"/>
      <c r="BQ87" s="412"/>
      <c r="BR87" s="412"/>
      <c r="BS87" s="412"/>
      <c r="BT87" s="412"/>
      <c r="BU87" s="412"/>
      <c r="BV87" s="412"/>
      <c r="BW87" s="412"/>
      <c r="BX87" s="412"/>
      <c r="BY87" s="412"/>
      <c r="BZ87" s="412"/>
      <c r="CA87" s="412"/>
      <c r="CB87" s="412"/>
      <c r="CC87" s="412"/>
      <c r="CD87" s="412"/>
      <c r="CE87" s="412"/>
      <c r="CF87" s="412"/>
      <c r="CG87" s="412"/>
      <c r="CH87" s="412"/>
      <c r="CI87" s="412"/>
      <c r="CJ87" s="412"/>
      <c r="CK87" s="412"/>
      <c r="CL87" s="412"/>
      <c r="CM87" s="412"/>
      <c r="CN87" s="412"/>
      <c r="CO87" s="412"/>
      <c r="CP87" s="412"/>
      <c r="CQ87" s="412"/>
      <c r="CR87" s="412"/>
      <c r="CS87" s="412"/>
      <c r="CT87" s="412"/>
      <c r="CU87" s="412"/>
      <c r="CV87" s="412"/>
      <c r="CW87" s="412"/>
      <c r="CX87" s="412"/>
      <c r="CY87" s="412"/>
      <c r="CZ87" s="412"/>
      <c r="DA87" s="412"/>
      <c r="DB87" s="412"/>
      <c r="DC87" s="412"/>
      <c r="DD87" s="412"/>
      <c r="DE87" s="412"/>
      <c r="DF87" s="412"/>
      <c r="DG87" s="412"/>
      <c r="DH87" s="412"/>
      <c r="DI87" s="412"/>
      <c r="DJ87" s="412"/>
      <c r="DK87" s="412"/>
      <c r="DL87" s="412"/>
      <c r="DM87" s="412"/>
      <c r="DN87" s="412"/>
      <c r="DO87" s="412"/>
      <c r="DP87" s="412"/>
      <c r="DQ87" s="412"/>
      <c r="DR87" s="412"/>
      <c r="DS87" s="412"/>
      <c r="DT87" s="412"/>
      <c r="DU87" s="412"/>
      <c r="DV87" s="412"/>
      <c r="DW87" s="412"/>
      <c r="DX87" s="412"/>
      <c r="DY87" s="412"/>
      <c r="DZ87" s="412"/>
      <c r="EA87" s="412"/>
      <c r="EB87" s="412"/>
      <c r="EC87" s="412"/>
      <c r="ED87" s="412"/>
      <c r="EE87" s="412"/>
      <c r="EF87" s="412"/>
      <c r="EG87" s="412"/>
      <c r="EH87" s="412"/>
      <c r="EI87" s="412"/>
      <c r="EJ87" s="412"/>
      <c r="EK87" s="412"/>
      <c r="EL87" s="412"/>
      <c r="EM87" s="412"/>
      <c r="EN87" s="412"/>
      <c r="EO87" s="412"/>
      <c r="EP87" s="412"/>
      <c r="EQ87" s="412"/>
      <c r="ER87" s="412"/>
      <c r="ES87" s="412"/>
      <c r="ET87" s="412"/>
      <c r="EU87" s="412"/>
      <c r="EV87" s="412"/>
      <c r="EW87" s="412"/>
      <c r="EX87" s="412"/>
      <c r="EY87" s="412"/>
      <c r="EZ87" s="412"/>
      <c r="FA87" s="412"/>
      <c r="FB87" s="412"/>
      <c r="FC87" s="412"/>
      <c r="FD87" s="412"/>
      <c r="FE87" s="412"/>
      <c r="FF87" s="412"/>
      <c r="FG87" s="412"/>
      <c r="FH87" s="412"/>
      <c r="FI87" s="412"/>
      <c r="FJ87" s="412"/>
      <c r="FK87" s="412"/>
      <c r="FL87" s="412"/>
      <c r="FM87" s="412"/>
      <c r="FN87" s="412"/>
      <c r="FO87" s="412"/>
      <c r="FP87" s="412"/>
      <c r="FQ87" s="412"/>
      <c r="FR87" s="412"/>
      <c r="FS87" s="412"/>
      <c r="FT87" s="412"/>
      <c r="FU87" s="412"/>
      <c r="FV87" s="412"/>
      <c r="FW87" s="412"/>
      <c r="FX87" s="412"/>
      <c r="FY87" s="412"/>
      <c r="FZ87" s="412"/>
      <c r="GA87" s="412"/>
      <c r="GB87" s="412"/>
      <c r="GC87" s="412"/>
      <c r="GD87" s="412"/>
      <c r="GE87" s="412"/>
      <c r="GF87" s="412"/>
      <c r="GG87" s="412"/>
      <c r="GH87" s="412"/>
      <c r="GI87" s="412"/>
      <c r="GJ87" s="412"/>
      <c r="GK87" s="412"/>
      <c r="GL87" s="412"/>
      <c r="GM87" s="412"/>
      <c r="GN87" s="412"/>
      <c r="GO87" s="412"/>
      <c r="GP87" s="412"/>
      <c r="GQ87" s="412"/>
      <c r="GR87" s="412"/>
      <c r="GS87" s="412"/>
      <c r="GT87" s="412"/>
      <c r="GU87" s="412"/>
      <c r="GV87" s="412"/>
      <c r="GW87" s="412"/>
      <c r="GX87" s="412"/>
      <c r="GY87" s="412"/>
      <c r="GZ87" s="412"/>
      <c r="HA87" s="412"/>
      <c r="HB87" s="412"/>
      <c r="HC87" s="412"/>
      <c r="HD87" s="412"/>
      <c r="HE87" s="412"/>
      <c r="HF87" s="412"/>
      <c r="HG87" s="412"/>
      <c r="HH87" s="412"/>
      <c r="HI87" s="412"/>
      <c r="HJ87" s="412"/>
      <c r="HK87" s="412"/>
      <c r="HL87" s="412"/>
      <c r="HM87" s="412"/>
      <c r="HN87" s="412"/>
      <c r="HO87" s="412"/>
      <c r="HP87" s="412"/>
      <c r="HQ87" s="412"/>
      <c r="HR87" s="412"/>
      <c r="HS87" s="412"/>
      <c r="HT87" s="412"/>
      <c r="HU87" s="412"/>
      <c r="HV87" s="412"/>
      <c r="HW87" s="412"/>
      <c r="HX87" s="412"/>
      <c r="HY87" s="412"/>
      <c r="HZ87" s="412"/>
      <c r="IA87" s="412"/>
      <c r="IB87" s="412"/>
      <c r="IC87" s="412"/>
      <c r="ID87" s="412"/>
      <c r="IE87" s="412"/>
      <c r="IF87" s="412"/>
      <c r="IG87" s="412"/>
      <c r="IH87" s="412"/>
      <c r="II87" s="412"/>
      <c r="IJ87" s="412"/>
      <c r="IK87" s="412"/>
      <c r="IL87" s="412"/>
      <c r="IM87" s="412"/>
      <c r="IN87" s="412"/>
      <c r="IO87" s="412"/>
      <c r="IP87" s="412"/>
      <c r="IQ87" s="412"/>
      <c r="IR87" s="412"/>
      <c r="IS87" s="412"/>
      <c r="IT87" s="412"/>
      <c r="IU87" s="412"/>
      <c r="IV87" s="412"/>
      <c r="IW87" s="412"/>
      <c r="IX87" s="412"/>
      <c r="IY87" s="412"/>
      <c r="IZ87" s="412"/>
      <c r="JA87" s="412"/>
      <c r="JB87" s="412"/>
      <c r="JC87" s="412"/>
      <c r="JD87" s="412"/>
      <c r="JE87" s="412"/>
      <c r="JF87" s="412"/>
      <c r="JG87" s="412"/>
      <c r="JH87" s="412"/>
      <c r="JI87" s="412"/>
      <c r="JJ87" s="412"/>
      <c r="JK87" s="412"/>
      <c r="JL87" s="412"/>
      <c r="JM87" s="412"/>
      <c r="JN87" s="412"/>
      <c r="JO87" s="412"/>
      <c r="JP87" s="412"/>
      <c r="JQ87" s="412"/>
      <c r="JR87" s="412"/>
      <c r="JS87" s="412"/>
      <c r="JT87" s="412"/>
      <c r="JU87" s="412"/>
      <c r="JV87" s="412"/>
      <c r="JW87" s="412"/>
      <c r="JX87" s="412"/>
      <c r="JY87" s="412"/>
      <c r="JZ87" s="412"/>
      <c r="KA87" s="412"/>
      <c r="KB87" s="412"/>
      <c r="KC87" s="412"/>
      <c r="KD87" s="412"/>
      <c r="KE87" s="412"/>
      <c r="KF87" s="412"/>
      <c r="KG87" s="412"/>
      <c r="KH87" s="412"/>
      <c r="KI87" s="412"/>
      <c r="KJ87" s="412"/>
      <c r="KK87" s="412"/>
      <c r="KL87" s="412"/>
      <c r="KM87" s="412"/>
      <c r="KN87" s="412"/>
      <c r="KO87" s="412"/>
      <c r="KP87" s="412"/>
      <c r="KQ87" s="412"/>
      <c r="KR87" s="412"/>
      <c r="KS87" s="412"/>
      <c r="KT87" s="412"/>
      <c r="KU87" s="412"/>
      <c r="KV87" s="412"/>
      <c r="KW87" s="412"/>
      <c r="KX87" s="412"/>
      <c r="KY87" s="412"/>
      <c r="KZ87" s="412"/>
      <c r="LA87" s="412"/>
      <c r="LB87" s="412"/>
      <c r="LC87" s="412"/>
      <c r="LD87" s="412"/>
      <c r="LE87" s="412"/>
      <c r="LF87" s="412"/>
      <c r="LG87" s="412"/>
      <c r="LH87" s="412"/>
      <c r="LI87" s="412"/>
      <c r="LJ87" s="412"/>
      <c r="LK87" s="412"/>
      <c r="LL87" s="412"/>
      <c r="LM87" s="412"/>
      <c r="LN87" s="412"/>
      <c r="LO87" s="412"/>
      <c r="LP87" s="412"/>
      <c r="LQ87" s="412"/>
      <c r="LR87" s="412"/>
      <c r="LS87" s="412"/>
      <c r="LT87" s="412"/>
      <c r="LU87" s="412"/>
      <c r="LV87" s="412"/>
      <c r="LW87" s="412"/>
      <c r="LX87" s="412"/>
      <c r="LY87" s="412"/>
      <c r="LZ87" s="412"/>
      <c r="MA87" s="412"/>
      <c r="MB87" s="412"/>
      <c r="MC87" s="412"/>
      <c r="MD87" s="412"/>
      <c r="ME87" s="412"/>
      <c r="MF87" s="412"/>
      <c r="MG87" s="412"/>
      <c r="MH87" s="412"/>
      <c r="MI87" s="412"/>
      <c r="MJ87" s="412"/>
      <c r="MK87" s="412"/>
      <c r="ML87" s="412"/>
      <c r="MM87" s="412"/>
      <c r="MN87" s="412"/>
      <c r="MO87" s="412"/>
      <c r="MP87" s="412"/>
      <c r="MQ87" s="412"/>
      <c r="MR87" s="412"/>
      <c r="MS87" s="412"/>
      <c r="MT87" s="412"/>
      <c r="MU87" s="412"/>
      <c r="MV87" s="412"/>
      <c r="MW87" s="412"/>
      <c r="MX87" s="412"/>
      <c r="MY87" s="412"/>
      <c r="MZ87" s="412"/>
      <c r="NA87" s="412"/>
      <c r="NB87" s="412"/>
      <c r="NC87" s="412"/>
      <c r="ND87" s="412"/>
      <c r="NE87" s="412"/>
      <c r="NF87" s="412"/>
      <c r="NG87" s="412"/>
      <c r="NH87" s="412"/>
      <c r="NI87" s="412"/>
      <c r="NJ87" s="412"/>
      <c r="NK87" s="412"/>
      <c r="NL87" s="412"/>
      <c r="NM87" s="412"/>
      <c r="NN87" s="412"/>
      <c r="NO87" s="412"/>
      <c r="NP87" s="412"/>
      <c r="NQ87" s="412"/>
      <c r="NR87" s="412"/>
      <c r="NS87" s="412"/>
      <c r="NT87" s="412"/>
      <c r="NU87" s="412"/>
      <c r="NV87" s="412"/>
      <c r="NW87" s="412"/>
      <c r="NX87" s="412"/>
      <c r="NY87" s="412"/>
      <c r="NZ87" s="412"/>
      <c r="OA87" s="412"/>
      <c r="OB87" s="412"/>
      <c r="OC87" s="412"/>
      <c r="OD87" s="412"/>
      <c r="OE87" s="412"/>
      <c r="OF87" s="412"/>
      <c r="OG87" s="412"/>
      <c r="OH87" s="412"/>
      <c r="OI87" s="412"/>
      <c r="OJ87" s="412"/>
      <c r="OK87" s="412"/>
      <c r="OL87" s="412"/>
      <c r="OM87" s="412"/>
      <c r="ON87" s="412"/>
      <c r="OO87" s="412"/>
      <c r="OP87" s="412"/>
      <c r="OQ87" s="412"/>
      <c r="OR87" s="412"/>
      <c r="OS87" s="412"/>
      <c r="OT87" s="412"/>
      <c r="OU87" s="412"/>
      <c r="OV87" s="412"/>
      <c r="OW87" s="412"/>
      <c r="OX87" s="412"/>
      <c r="OY87" s="412"/>
      <c r="OZ87" s="412"/>
      <c r="PA87" s="412"/>
      <c r="PB87" s="412"/>
      <c r="PC87" s="412"/>
      <c r="PD87" s="412"/>
      <c r="PE87" s="412"/>
      <c r="PF87" s="412"/>
      <c r="PG87" s="412"/>
      <c r="PH87" s="412"/>
      <c r="PI87" s="412"/>
      <c r="PJ87" s="412"/>
      <c r="PK87" s="412"/>
      <c r="PL87" s="412"/>
      <c r="PM87" s="412"/>
      <c r="PN87" s="412"/>
      <c r="PO87" s="412"/>
      <c r="PP87" s="412"/>
      <c r="PQ87" s="412"/>
      <c r="PR87" s="412"/>
      <c r="PS87" s="412"/>
      <c r="PT87" s="412"/>
      <c r="PU87" s="412"/>
      <c r="PV87" s="412"/>
      <c r="PW87" s="412"/>
      <c r="PX87" s="412"/>
      <c r="PY87" s="412"/>
      <c r="PZ87" s="412"/>
      <c r="QA87" s="412"/>
      <c r="QB87" s="412"/>
      <c r="QC87" s="412"/>
      <c r="QD87" s="412"/>
      <c r="QE87" s="412"/>
      <c r="QF87" s="412"/>
      <c r="QG87" s="412"/>
      <c r="QH87" s="412"/>
      <c r="QI87" s="412"/>
      <c r="QJ87" s="412"/>
      <c r="QK87" s="412"/>
      <c r="QL87" s="412"/>
      <c r="QM87" s="412"/>
      <c r="QN87" s="412"/>
      <c r="QO87" s="412"/>
      <c r="QP87" s="412"/>
      <c r="QQ87" s="412"/>
      <c r="QR87" s="412"/>
      <c r="QS87" s="412"/>
      <c r="QT87" s="412"/>
      <c r="QU87" s="412"/>
      <c r="QV87" s="412"/>
      <c r="QW87" s="412"/>
      <c r="QX87" s="412"/>
      <c r="QY87" s="412"/>
      <c r="QZ87" s="412"/>
      <c r="RA87" s="412"/>
      <c r="RB87" s="412"/>
      <c r="RC87" s="412"/>
      <c r="RD87" s="412"/>
      <c r="RE87" s="412"/>
      <c r="RF87" s="412"/>
      <c r="RG87" s="412"/>
      <c r="RH87" s="412"/>
      <c r="RI87" s="412"/>
      <c r="RJ87" s="412"/>
      <c r="RK87" s="412"/>
      <c r="RL87" s="412"/>
      <c r="RM87" s="412"/>
      <c r="RN87" s="412"/>
      <c r="RO87" s="412"/>
      <c r="RP87" s="412"/>
      <c r="RQ87" s="412"/>
      <c r="RR87" s="412"/>
      <c r="RS87" s="412"/>
      <c r="RT87" s="412"/>
      <c r="RU87" s="412"/>
      <c r="RV87" s="412"/>
      <c r="RW87" s="412"/>
      <c r="RX87" s="412"/>
      <c r="RY87" s="412"/>
      <c r="RZ87" s="412"/>
      <c r="SA87" s="412"/>
      <c r="SB87" s="412"/>
      <c r="SC87" s="412"/>
      <c r="SD87" s="412"/>
      <c r="SE87" s="412"/>
      <c r="SF87" s="412"/>
      <c r="SG87" s="412"/>
      <c r="SH87" s="412"/>
      <c r="SI87" s="412"/>
      <c r="SJ87" s="412"/>
      <c r="SK87" s="412"/>
      <c r="SL87" s="412"/>
      <c r="SM87" s="412"/>
      <c r="SN87" s="412"/>
      <c r="SO87" s="412"/>
      <c r="SP87" s="412"/>
      <c r="SQ87" s="412"/>
      <c r="SR87" s="412"/>
      <c r="SS87" s="412"/>
      <c r="ST87" s="412"/>
      <c r="SU87" s="412"/>
      <c r="SV87" s="412"/>
      <c r="SW87" s="412"/>
      <c r="SX87" s="412"/>
      <c r="SY87" s="412"/>
      <c r="SZ87" s="412"/>
      <c r="TA87" s="412"/>
      <c r="TB87" s="412"/>
      <c r="TC87" s="412"/>
      <c r="TD87" s="412"/>
      <c r="TE87" s="412"/>
      <c r="TF87" s="412"/>
      <c r="TG87" s="412"/>
      <c r="TH87" s="412"/>
      <c r="TI87" s="412"/>
      <c r="TJ87" s="412"/>
      <c r="TK87" s="412"/>
      <c r="TL87" s="412"/>
      <c r="TM87" s="412"/>
      <c r="TN87" s="412"/>
      <c r="TO87" s="412"/>
      <c r="TP87" s="412"/>
      <c r="TQ87" s="412"/>
      <c r="TR87" s="412"/>
      <c r="TS87" s="412"/>
      <c r="TT87" s="412"/>
      <c r="TU87" s="412"/>
      <c r="TV87" s="412"/>
      <c r="TW87" s="412"/>
      <c r="TX87" s="412"/>
      <c r="TY87" s="412"/>
      <c r="TZ87" s="412"/>
      <c r="UA87" s="412"/>
      <c r="UB87" s="412"/>
      <c r="UC87" s="412"/>
      <c r="UD87" s="412"/>
      <c r="UE87" s="412"/>
      <c r="UF87" s="412"/>
      <c r="UG87" s="412"/>
      <c r="UH87" s="412"/>
      <c r="UI87" s="412"/>
      <c r="UJ87" s="412"/>
      <c r="UK87" s="412"/>
      <c r="UL87" s="412"/>
      <c r="UM87" s="412"/>
      <c r="UN87" s="412"/>
      <c r="UO87" s="412"/>
      <c r="UP87" s="412"/>
      <c r="UQ87" s="412"/>
      <c r="UR87" s="412"/>
      <c r="US87" s="412"/>
      <c r="UT87" s="412"/>
      <c r="UU87" s="412"/>
      <c r="UV87" s="412"/>
      <c r="UW87" s="412"/>
      <c r="UX87" s="412"/>
      <c r="UY87" s="412"/>
      <c r="UZ87" s="412"/>
      <c r="VA87" s="412"/>
      <c r="VB87" s="412"/>
      <c r="VC87" s="412"/>
      <c r="VD87" s="412"/>
      <c r="VE87" s="412"/>
      <c r="VF87" s="412"/>
      <c r="VG87" s="412"/>
      <c r="VH87" s="412"/>
      <c r="VI87" s="412"/>
      <c r="VJ87" s="412"/>
      <c r="VK87" s="412"/>
      <c r="VL87" s="412"/>
      <c r="VM87" s="412"/>
      <c r="VN87" s="412"/>
      <c r="VO87" s="412"/>
      <c r="VP87" s="412"/>
      <c r="VQ87" s="412"/>
      <c r="VR87" s="412"/>
      <c r="VS87" s="412"/>
      <c r="VT87" s="412"/>
      <c r="VU87" s="412"/>
      <c r="VV87" s="412"/>
      <c r="VW87" s="412"/>
      <c r="VX87" s="412"/>
      <c r="VY87" s="412"/>
      <c r="VZ87" s="412"/>
      <c r="WA87" s="412"/>
      <c r="WB87" s="412"/>
      <c r="WC87" s="412"/>
      <c r="WD87" s="412"/>
      <c r="WE87" s="412"/>
      <c r="WF87" s="412"/>
      <c r="WG87" s="412"/>
      <c r="WH87" s="412"/>
      <c r="WI87" s="412"/>
      <c r="WJ87" s="412"/>
      <c r="WK87" s="412"/>
      <c r="WL87" s="412"/>
      <c r="WM87" s="412"/>
      <c r="WN87" s="412"/>
      <c r="WO87" s="412"/>
      <c r="WP87" s="412"/>
      <c r="WQ87" s="412"/>
      <c r="WR87" s="412"/>
      <c r="WS87" s="412"/>
      <c r="WT87" s="412"/>
      <c r="WU87" s="412"/>
      <c r="WV87" s="412"/>
      <c r="WW87" s="412"/>
      <c r="WX87" s="412"/>
      <c r="WY87" s="412"/>
      <c r="WZ87" s="412"/>
      <c r="XA87" s="412"/>
      <c r="XB87" s="412"/>
      <c r="XC87" s="412"/>
      <c r="XD87" s="412"/>
      <c r="XE87" s="412"/>
      <c r="XF87" s="412"/>
      <c r="XG87" s="412"/>
      <c r="XH87" s="412"/>
      <c r="XI87" s="412"/>
      <c r="XJ87" s="412"/>
      <c r="XK87" s="412"/>
      <c r="XL87" s="412"/>
      <c r="XM87" s="412"/>
      <c r="XN87" s="412"/>
      <c r="XO87" s="412"/>
      <c r="XP87" s="412"/>
      <c r="XQ87" s="412"/>
      <c r="XR87" s="412"/>
      <c r="XS87" s="412"/>
      <c r="XT87" s="412"/>
      <c r="XU87" s="412"/>
      <c r="XV87" s="412"/>
      <c r="XW87" s="412"/>
      <c r="XX87" s="412"/>
      <c r="XY87" s="412"/>
      <c r="XZ87" s="412"/>
      <c r="YA87" s="412"/>
      <c r="YB87" s="412"/>
      <c r="YC87" s="412"/>
      <c r="YD87" s="412"/>
      <c r="YE87" s="412"/>
      <c r="YF87" s="412"/>
      <c r="YG87" s="412"/>
      <c r="YH87" s="412"/>
      <c r="YI87" s="412"/>
      <c r="YJ87" s="412"/>
      <c r="YK87" s="412"/>
      <c r="YL87" s="412"/>
      <c r="YM87" s="412"/>
      <c r="YN87" s="412"/>
      <c r="YO87" s="412"/>
      <c r="YP87" s="412"/>
      <c r="YQ87" s="412"/>
      <c r="YR87" s="412"/>
      <c r="YS87" s="412"/>
      <c r="YT87" s="412"/>
      <c r="YU87" s="412"/>
      <c r="YV87" s="412"/>
      <c r="YW87" s="412"/>
      <c r="YX87" s="412"/>
      <c r="YY87" s="412"/>
      <c r="YZ87" s="412"/>
      <c r="ZA87" s="412"/>
      <c r="ZB87" s="412"/>
      <c r="ZC87" s="412"/>
      <c r="ZD87" s="412"/>
      <c r="ZE87" s="412"/>
      <c r="ZF87" s="412"/>
      <c r="ZG87" s="412"/>
      <c r="ZH87" s="412"/>
      <c r="ZI87" s="412"/>
      <c r="ZJ87" s="412"/>
      <c r="ZK87" s="412"/>
      <c r="ZL87" s="412"/>
      <c r="ZM87" s="412"/>
      <c r="ZN87" s="412"/>
      <c r="ZO87" s="412"/>
      <c r="ZP87" s="412"/>
      <c r="ZQ87" s="412"/>
      <c r="ZR87" s="412"/>
      <c r="ZS87" s="412"/>
      <c r="ZT87" s="412"/>
      <c r="ZU87" s="412"/>
      <c r="ZV87" s="412"/>
      <c r="ZW87" s="412"/>
      <c r="ZX87" s="412"/>
      <c r="ZY87" s="412"/>
      <c r="ZZ87" s="412"/>
      <c r="AAA87" s="412"/>
      <c r="AAB87" s="412"/>
      <c r="AAC87" s="412"/>
      <c r="AAD87" s="412"/>
      <c r="AAE87" s="412"/>
      <c r="AAF87" s="412"/>
      <c r="AAG87" s="412"/>
      <c r="AAH87" s="412"/>
      <c r="AAI87" s="412"/>
      <c r="AAJ87" s="412"/>
      <c r="AAK87" s="412"/>
      <c r="AAL87" s="412"/>
      <c r="AAM87" s="412"/>
      <c r="AAN87" s="412"/>
      <c r="AAO87" s="412"/>
      <c r="AAP87" s="412"/>
      <c r="AAQ87" s="412"/>
      <c r="AAR87" s="412"/>
      <c r="AAS87" s="412"/>
      <c r="AAT87" s="412"/>
      <c r="AAU87" s="412"/>
      <c r="AAV87" s="412"/>
      <c r="AAW87" s="412"/>
      <c r="AAX87" s="412"/>
      <c r="AAY87" s="412"/>
      <c r="AAZ87" s="412"/>
      <c r="ABA87" s="412"/>
      <c r="ABB87" s="412"/>
      <c r="ABC87" s="412"/>
      <c r="ABD87" s="412"/>
      <c r="ABE87" s="412"/>
      <c r="ABF87" s="412"/>
      <c r="ABG87" s="412"/>
      <c r="ABH87" s="412"/>
      <c r="ABI87" s="412"/>
      <c r="ABJ87" s="412"/>
      <c r="ABK87" s="412"/>
      <c r="ABL87" s="412"/>
      <c r="ABM87" s="412"/>
      <c r="ABN87" s="412"/>
      <c r="ABO87" s="412"/>
      <c r="ABP87" s="412"/>
      <c r="ABQ87" s="412"/>
      <c r="ABR87" s="412"/>
      <c r="ABS87" s="412"/>
      <c r="ABT87" s="412"/>
      <c r="ABU87" s="412"/>
      <c r="ABV87" s="412"/>
      <c r="ABW87" s="412"/>
      <c r="ABX87" s="412"/>
      <c r="ABY87" s="412"/>
      <c r="ABZ87" s="412"/>
      <c r="ACA87" s="412"/>
      <c r="ACB87" s="412"/>
      <c r="ACC87" s="412"/>
      <c r="ACD87" s="412"/>
      <c r="ACE87" s="412"/>
      <c r="ACF87" s="412"/>
      <c r="ACG87" s="412"/>
      <c r="ACH87" s="412"/>
      <c r="ACI87" s="412"/>
      <c r="ACJ87" s="412"/>
      <c r="ACK87" s="412"/>
      <c r="ACL87" s="412"/>
      <c r="ACM87" s="412"/>
      <c r="ACN87" s="412"/>
      <c r="ACO87" s="412"/>
      <c r="ACP87" s="412"/>
      <c r="ACQ87" s="412"/>
      <c r="ACR87" s="412"/>
      <c r="ACS87" s="412"/>
      <c r="ACT87" s="412"/>
      <c r="ACU87" s="412"/>
      <c r="ACV87" s="412"/>
      <c r="ACW87" s="412"/>
      <c r="ACX87" s="412"/>
      <c r="ACY87" s="412"/>
      <c r="ACZ87" s="412"/>
      <c r="ADA87" s="412"/>
      <c r="ADB87" s="412"/>
      <c r="ADC87" s="412"/>
      <c r="ADD87" s="412"/>
      <c r="ADE87" s="412"/>
      <c r="ADF87" s="412"/>
      <c r="ADG87" s="412"/>
      <c r="ADH87" s="412"/>
      <c r="ADI87" s="412"/>
      <c r="ADJ87" s="412"/>
      <c r="ADK87" s="412"/>
      <c r="ADL87" s="412"/>
      <c r="ADM87" s="412"/>
      <c r="ADN87" s="412"/>
      <c r="ADO87" s="412"/>
      <c r="ADP87" s="412"/>
      <c r="ADQ87" s="412"/>
      <c r="ADR87" s="412"/>
      <c r="ADS87" s="412"/>
      <c r="ADT87" s="412"/>
      <c r="ADU87" s="412"/>
      <c r="ADV87" s="412"/>
      <c r="ADW87" s="412"/>
      <c r="ADX87" s="412"/>
      <c r="ADY87" s="412"/>
      <c r="ADZ87" s="412"/>
      <c r="AEA87" s="412"/>
      <c r="AEB87" s="412"/>
      <c r="AEC87" s="412"/>
      <c r="AED87" s="412"/>
      <c r="AEE87" s="412"/>
      <c r="AEF87" s="412"/>
      <c r="AEG87" s="412"/>
      <c r="AEH87" s="412"/>
      <c r="AEI87" s="412"/>
      <c r="AEJ87" s="412"/>
      <c r="AEK87" s="412"/>
      <c r="AEL87" s="412"/>
      <c r="AEM87" s="412"/>
      <c r="AEN87" s="412"/>
      <c r="AEO87" s="412"/>
      <c r="AEP87" s="412"/>
      <c r="AEQ87" s="412"/>
      <c r="AER87" s="412"/>
      <c r="AES87" s="412"/>
      <c r="AET87" s="412"/>
      <c r="AEU87" s="412"/>
      <c r="AEV87" s="412"/>
      <c r="AEW87" s="412"/>
      <c r="AEX87" s="412"/>
      <c r="AEY87" s="412"/>
      <c r="AEZ87" s="412"/>
      <c r="AFA87" s="412"/>
      <c r="AFB87" s="412"/>
      <c r="AFC87" s="412"/>
      <c r="AFD87" s="412"/>
      <c r="AFE87" s="412"/>
      <c r="AFF87" s="412"/>
      <c r="AFG87" s="412"/>
      <c r="AFH87" s="412"/>
      <c r="AFI87" s="412"/>
      <c r="AFJ87" s="412"/>
      <c r="AFK87" s="412"/>
      <c r="AFL87" s="412"/>
      <c r="AFM87" s="412"/>
      <c r="AFN87" s="412"/>
      <c r="AFO87" s="412"/>
      <c r="AFP87" s="412"/>
      <c r="AFQ87" s="412"/>
      <c r="AFR87" s="412"/>
      <c r="AFS87" s="412"/>
      <c r="AFT87" s="412"/>
      <c r="AFU87" s="412"/>
      <c r="AFV87" s="412"/>
      <c r="AFW87" s="412"/>
      <c r="AFX87" s="412"/>
      <c r="AFY87" s="412"/>
      <c r="AFZ87" s="412"/>
      <c r="AGA87" s="412"/>
      <c r="AGB87" s="412"/>
      <c r="AGC87" s="412"/>
      <c r="AGD87" s="412"/>
      <c r="AGE87" s="412"/>
      <c r="AGF87" s="412"/>
      <c r="AGG87" s="412"/>
      <c r="AGH87" s="412"/>
      <c r="AGI87" s="412"/>
      <c r="AGJ87" s="412"/>
      <c r="AGK87" s="412"/>
      <c r="AGL87" s="412"/>
      <c r="AGM87" s="412"/>
      <c r="AGN87" s="412"/>
      <c r="AGO87" s="412"/>
      <c r="AGP87" s="412"/>
      <c r="AGQ87" s="412"/>
      <c r="AGR87" s="412"/>
      <c r="AGS87" s="412"/>
      <c r="AGT87" s="412"/>
      <c r="AGU87" s="412"/>
      <c r="AGV87" s="412"/>
      <c r="AGW87" s="412"/>
      <c r="AGX87" s="412"/>
      <c r="AGY87" s="412"/>
      <c r="AGZ87" s="412"/>
      <c r="AHA87" s="412"/>
      <c r="AHB87" s="412"/>
      <c r="AHC87" s="412"/>
      <c r="AHD87" s="412"/>
      <c r="AHE87" s="412"/>
      <c r="AHF87" s="412"/>
      <c r="AHG87" s="412"/>
      <c r="AHH87" s="412"/>
      <c r="AHI87" s="412"/>
      <c r="AHJ87" s="412"/>
      <c r="AHK87" s="412"/>
      <c r="AHL87" s="412"/>
      <c r="AHM87" s="412"/>
      <c r="AHN87" s="412"/>
      <c r="AHO87" s="412"/>
      <c r="AHP87" s="412"/>
      <c r="AHQ87" s="412"/>
      <c r="AHR87" s="412"/>
      <c r="AHS87" s="412"/>
      <c r="AHT87" s="412"/>
      <c r="AHU87" s="412"/>
      <c r="AHV87" s="412"/>
      <c r="AHW87" s="412"/>
      <c r="AHX87" s="412"/>
      <c r="AHY87" s="412"/>
      <c r="AHZ87" s="412"/>
      <c r="AIA87" s="412"/>
      <c r="AIB87" s="412"/>
      <c r="AIC87" s="412"/>
      <c r="AID87" s="412"/>
      <c r="AIE87" s="412"/>
      <c r="AIF87" s="412"/>
      <c r="AIG87" s="412"/>
      <c r="AIH87" s="412"/>
      <c r="AII87" s="412"/>
      <c r="AIJ87" s="412"/>
      <c r="AIK87" s="412"/>
      <c r="AIL87" s="412"/>
      <c r="AIM87" s="412"/>
      <c r="AIN87" s="412"/>
      <c r="AIO87" s="412"/>
      <c r="AIP87" s="412"/>
      <c r="AIQ87" s="412"/>
      <c r="AIR87" s="412"/>
      <c r="AIS87" s="412"/>
      <c r="AIT87" s="412"/>
      <c r="AIU87" s="412"/>
      <c r="AIV87" s="412"/>
      <c r="AIW87" s="412"/>
      <c r="AIX87" s="412"/>
      <c r="AIY87" s="412"/>
      <c r="AIZ87" s="412"/>
      <c r="AJA87" s="412"/>
      <c r="AJB87" s="412"/>
      <c r="AJC87" s="412"/>
      <c r="AJD87" s="412"/>
      <c r="AJE87" s="412"/>
      <c r="AJF87" s="412"/>
      <c r="AJG87" s="412"/>
      <c r="AJH87" s="412"/>
      <c r="AJI87" s="412"/>
      <c r="AJJ87" s="412"/>
      <c r="AJK87" s="412"/>
      <c r="AJL87" s="412"/>
      <c r="AJM87" s="412"/>
      <c r="AJN87" s="412"/>
      <c r="AJO87" s="412"/>
      <c r="AJP87" s="412"/>
      <c r="AJQ87" s="412"/>
      <c r="AJR87" s="412"/>
      <c r="AJS87" s="412"/>
      <c r="AJT87" s="412"/>
      <c r="AJU87" s="412"/>
      <c r="AJV87" s="412"/>
      <c r="AJW87" s="412"/>
      <c r="AJX87" s="412"/>
      <c r="AJY87" s="412"/>
      <c r="AJZ87" s="412"/>
      <c r="AKA87" s="412"/>
      <c r="AKB87" s="412"/>
      <c r="AKC87" s="412"/>
      <c r="AKD87" s="412"/>
      <c r="AKE87" s="412"/>
      <c r="AKF87" s="412"/>
      <c r="AKG87" s="412"/>
      <c r="AKH87" s="412"/>
      <c r="AKI87" s="412"/>
      <c r="AKJ87" s="412"/>
      <c r="AKK87" s="412"/>
      <c r="AKL87" s="412"/>
      <c r="AKM87" s="412"/>
      <c r="AKN87" s="412"/>
      <c r="AKO87" s="412"/>
      <c r="AKP87" s="412"/>
      <c r="AKQ87" s="412"/>
      <c r="AKR87" s="412"/>
      <c r="AKS87" s="412"/>
      <c r="AKT87" s="412"/>
      <c r="AKU87" s="412"/>
      <c r="AKV87" s="412"/>
      <c r="AKW87" s="412"/>
      <c r="AKX87" s="412"/>
      <c r="AKY87" s="412"/>
      <c r="AKZ87" s="412"/>
      <c r="ALA87" s="412"/>
      <c r="ALB87" s="412"/>
      <c r="ALC87" s="412"/>
      <c r="ALD87" s="412"/>
      <c r="ALE87" s="412"/>
      <c r="ALF87" s="412"/>
      <c r="ALG87" s="412"/>
      <c r="ALH87" s="412"/>
      <c r="ALI87" s="412"/>
      <c r="ALJ87" s="412"/>
      <c r="ALK87" s="412"/>
      <c r="ALL87" s="412"/>
      <c r="ALM87" s="412"/>
      <c r="ALN87" s="412"/>
      <c r="ALO87" s="412"/>
      <c r="ALP87" s="412"/>
      <c r="ALQ87" s="412"/>
      <c r="ALR87" s="412"/>
      <c r="ALS87" s="412"/>
      <c r="ALT87" s="412"/>
      <c r="ALU87" s="412"/>
      <c r="ALV87" s="412"/>
      <c r="ALW87" s="412"/>
      <c r="ALX87" s="412"/>
      <c r="ALY87" s="412"/>
      <c r="ALZ87" s="412"/>
      <c r="AMA87" s="412"/>
      <c r="AMB87" s="412"/>
      <c r="AMC87" s="412"/>
      <c r="AMD87" s="412"/>
      <c r="AME87" s="412"/>
      <c r="AMF87" s="412"/>
      <c r="AMG87" s="412"/>
      <c r="AMH87" s="412"/>
      <c r="AMI87" s="412"/>
      <c r="AMJ87" s="412"/>
      <c r="AMK87" s="412"/>
      <c r="AML87" s="412"/>
      <c r="AMM87" s="412"/>
      <c r="AMN87" s="412"/>
      <c r="AMO87" s="412"/>
      <c r="AMP87" s="412"/>
      <c r="AMQ87" s="412"/>
      <c r="AMR87" s="412"/>
      <c r="AMS87" s="412"/>
      <c r="AMT87" s="412"/>
      <c r="AMU87" s="412"/>
      <c r="AMV87" s="412"/>
      <c r="AMW87" s="412"/>
      <c r="AMX87" s="412"/>
      <c r="AMY87" s="412"/>
      <c r="AMZ87" s="412"/>
      <c r="ANA87" s="412"/>
      <c r="ANB87" s="412"/>
      <c r="ANC87" s="412"/>
      <c r="AND87" s="412"/>
      <c r="ANE87" s="412"/>
      <c r="ANF87" s="412"/>
      <c r="ANG87" s="412"/>
      <c r="ANH87" s="412"/>
      <c r="ANI87" s="412"/>
      <c r="ANJ87" s="412"/>
      <c r="ANK87" s="412"/>
      <c r="ANL87" s="412"/>
      <c r="ANM87" s="412"/>
      <c r="ANN87" s="412"/>
      <c r="ANO87" s="412"/>
      <c r="ANP87" s="412"/>
      <c r="ANQ87" s="412"/>
      <c r="ANR87" s="412"/>
      <c r="ANS87" s="412"/>
      <c r="ANT87" s="412"/>
      <c r="ANU87" s="412"/>
      <c r="ANV87" s="412"/>
      <c r="ANW87" s="412"/>
      <c r="ANX87" s="412"/>
      <c r="ANY87" s="412"/>
      <c r="ANZ87" s="412"/>
      <c r="AOA87" s="412"/>
      <c r="AOB87" s="412"/>
      <c r="AOC87" s="412"/>
      <c r="AOD87" s="412"/>
      <c r="AOE87" s="412"/>
      <c r="AOF87" s="412"/>
      <c r="AOG87" s="412"/>
      <c r="AOH87" s="412"/>
      <c r="AOI87" s="412"/>
      <c r="AOJ87" s="412"/>
      <c r="AOK87" s="412"/>
      <c r="AOL87" s="412"/>
      <c r="AOM87" s="412"/>
      <c r="AON87" s="412"/>
      <c r="AOO87" s="412"/>
      <c r="AOP87" s="412"/>
      <c r="AOQ87" s="412"/>
      <c r="AOR87" s="412"/>
      <c r="AOS87" s="412"/>
      <c r="AOT87" s="412"/>
      <c r="AOU87" s="412"/>
      <c r="AOV87" s="412"/>
      <c r="AOW87" s="412"/>
      <c r="AOX87" s="412"/>
      <c r="AOY87" s="412"/>
      <c r="AOZ87" s="412"/>
      <c r="APA87" s="412"/>
      <c r="APB87" s="412"/>
      <c r="APC87" s="412"/>
      <c r="APD87" s="412"/>
      <c r="APE87" s="412"/>
      <c r="APF87" s="412"/>
      <c r="APG87" s="412"/>
      <c r="APH87" s="412"/>
      <c r="API87" s="412"/>
      <c r="APJ87" s="412"/>
      <c r="APK87" s="412"/>
      <c r="APL87" s="412"/>
      <c r="APM87" s="412"/>
      <c r="APN87" s="412"/>
      <c r="APO87" s="412"/>
      <c r="APP87" s="412"/>
      <c r="APQ87" s="412"/>
      <c r="APR87" s="412"/>
      <c r="APS87" s="412"/>
      <c r="APT87" s="412"/>
      <c r="APU87" s="412"/>
      <c r="APV87" s="412"/>
      <c r="APW87" s="412"/>
      <c r="APX87" s="412"/>
      <c r="APY87" s="412"/>
      <c r="APZ87" s="412"/>
      <c r="AQA87" s="412"/>
      <c r="AQB87" s="412"/>
      <c r="AQC87" s="412"/>
      <c r="AQD87" s="412"/>
      <c r="AQE87" s="412"/>
      <c r="AQF87" s="412"/>
      <c r="AQG87" s="412"/>
      <c r="AQH87" s="412"/>
      <c r="AQI87" s="412"/>
      <c r="AQJ87" s="412"/>
      <c r="AQK87" s="412"/>
      <c r="AQL87" s="412"/>
      <c r="AQM87" s="412"/>
      <c r="AQN87" s="412"/>
      <c r="AQO87" s="412"/>
      <c r="AQP87" s="412"/>
      <c r="AQQ87" s="412"/>
      <c r="AQR87" s="412"/>
      <c r="AQS87" s="412"/>
      <c r="AQT87" s="412"/>
      <c r="AQU87" s="412"/>
      <c r="AQV87" s="412"/>
      <c r="AQW87" s="412"/>
      <c r="AQX87" s="412"/>
      <c r="AQY87" s="412"/>
      <c r="AQZ87" s="412"/>
      <c r="ARA87" s="412"/>
      <c r="ARB87" s="412"/>
      <c r="ARC87" s="412"/>
      <c r="ARD87" s="412"/>
      <c r="ARE87" s="412"/>
      <c r="ARF87" s="412"/>
      <c r="ARG87" s="412"/>
      <c r="ARH87" s="412"/>
      <c r="ARI87" s="412"/>
      <c r="ARJ87" s="412"/>
      <c r="ARK87" s="412"/>
      <c r="ARL87" s="412"/>
      <c r="ARM87" s="412"/>
      <c r="ARN87" s="412"/>
      <c r="ARO87" s="412"/>
      <c r="ARP87" s="412"/>
      <c r="ARQ87" s="412"/>
      <c r="ARR87" s="412"/>
      <c r="ARS87" s="412"/>
      <c r="ART87" s="412"/>
      <c r="ARU87" s="412"/>
      <c r="ARV87" s="412"/>
      <c r="ARW87" s="412"/>
      <c r="ARX87" s="412"/>
      <c r="ARY87" s="412"/>
      <c r="ARZ87" s="412"/>
      <c r="ASA87" s="412"/>
      <c r="ASB87" s="412"/>
      <c r="ASC87" s="412"/>
      <c r="ASD87" s="412"/>
      <c r="ASE87" s="412"/>
      <c r="ASF87" s="412"/>
      <c r="ASG87" s="412"/>
      <c r="ASH87" s="412"/>
      <c r="ASI87" s="412"/>
      <c r="ASJ87" s="412"/>
      <c r="ASK87" s="412"/>
      <c r="ASL87" s="412"/>
      <c r="ASM87" s="412"/>
      <c r="ASN87" s="412"/>
      <c r="ASO87" s="412"/>
      <c r="ASP87" s="412"/>
      <c r="ASQ87" s="412"/>
      <c r="ASR87" s="412"/>
      <c r="ASS87" s="412"/>
      <c r="AST87" s="412"/>
      <c r="ASU87" s="412"/>
      <c r="ASV87" s="412"/>
      <c r="ASW87" s="412"/>
      <c r="ASX87" s="412"/>
      <c r="ASY87" s="412"/>
      <c r="ASZ87" s="412"/>
      <c r="ATA87" s="412"/>
      <c r="ATB87" s="412"/>
      <c r="ATC87" s="412"/>
      <c r="ATD87" s="412"/>
      <c r="ATE87" s="412"/>
      <c r="ATF87" s="412"/>
      <c r="ATG87" s="412"/>
      <c r="ATH87" s="412"/>
      <c r="ATI87" s="412"/>
      <c r="ATJ87" s="412"/>
      <c r="ATK87" s="412"/>
      <c r="ATL87" s="412"/>
      <c r="ATM87" s="412"/>
      <c r="ATN87" s="412"/>
      <c r="ATO87" s="412"/>
      <c r="ATP87" s="412"/>
      <c r="ATQ87" s="412"/>
      <c r="ATR87" s="412"/>
      <c r="ATS87" s="412"/>
      <c r="ATT87" s="412"/>
      <c r="ATU87" s="412"/>
      <c r="ATV87" s="412"/>
      <c r="ATW87" s="412"/>
      <c r="ATX87" s="412"/>
      <c r="ATY87" s="412"/>
      <c r="ATZ87" s="412"/>
      <c r="AUA87" s="412"/>
      <c r="AUB87" s="412"/>
      <c r="AUC87" s="412"/>
      <c r="AUD87" s="412"/>
      <c r="AUE87" s="412"/>
      <c r="AUF87" s="412"/>
      <c r="AUG87" s="412"/>
      <c r="AUH87" s="412"/>
      <c r="AUI87" s="412"/>
      <c r="AUJ87" s="412"/>
      <c r="AUK87" s="412"/>
      <c r="AUL87" s="412"/>
      <c r="AUM87" s="412"/>
      <c r="AUN87" s="412"/>
      <c r="AUO87" s="412"/>
      <c r="AUP87" s="412"/>
      <c r="AUQ87" s="412"/>
      <c r="AUR87" s="412"/>
      <c r="AUS87" s="412"/>
      <c r="AUT87" s="412"/>
      <c r="AUU87" s="412"/>
      <c r="AUV87" s="412"/>
      <c r="AUW87" s="412"/>
      <c r="AUX87" s="412"/>
      <c r="AUY87" s="412"/>
      <c r="AUZ87" s="412"/>
      <c r="AVA87" s="412"/>
      <c r="AVB87" s="412"/>
      <c r="AVC87" s="412"/>
      <c r="AVD87" s="412"/>
      <c r="AVE87" s="412"/>
      <c r="AVF87" s="412"/>
      <c r="AVG87" s="412"/>
      <c r="AVH87" s="412"/>
      <c r="AVI87" s="412"/>
      <c r="AVJ87" s="412"/>
      <c r="AVK87" s="412"/>
      <c r="AVL87" s="412"/>
      <c r="AVM87" s="412"/>
      <c r="AVN87" s="412"/>
      <c r="AVO87" s="412"/>
      <c r="AVP87" s="412"/>
      <c r="AVQ87" s="412"/>
      <c r="AVR87" s="412"/>
      <c r="AVS87" s="412"/>
      <c r="AVT87" s="412"/>
      <c r="AVU87" s="412"/>
      <c r="AVV87" s="412"/>
      <c r="AVW87" s="412"/>
      <c r="AVX87" s="412"/>
      <c r="AVY87" s="412"/>
      <c r="AVZ87" s="412"/>
      <c r="AWA87" s="412"/>
      <c r="AWB87" s="412"/>
      <c r="AWC87" s="412"/>
      <c r="AWD87" s="412"/>
      <c r="AWE87" s="412"/>
      <c r="AWF87" s="412"/>
      <c r="AWG87" s="412"/>
      <c r="AWH87" s="412"/>
      <c r="AWI87" s="412"/>
      <c r="AWJ87" s="412"/>
      <c r="AWK87" s="412"/>
      <c r="AWL87" s="412"/>
      <c r="AWM87" s="412"/>
      <c r="AWN87" s="412"/>
      <c r="AWO87" s="412"/>
      <c r="AWP87" s="412"/>
      <c r="AWQ87" s="412"/>
      <c r="AWR87" s="412"/>
      <c r="AWS87" s="412"/>
      <c r="AWT87" s="412"/>
      <c r="AWU87" s="412"/>
      <c r="AWV87" s="412"/>
      <c r="AWW87" s="412"/>
      <c r="AWX87" s="412"/>
      <c r="AWY87" s="412"/>
      <c r="AWZ87" s="412"/>
      <c r="AXA87" s="412"/>
      <c r="AXB87" s="412"/>
      <c r="AXC87" s="412"/>
      <c r="AXD87" s="412"/>
      <c r="AXE87" s="412"/>
      <c r="AXF87" s="412"/>
      <c r="AXG87" s="412"/>
      <c r="AXH87" s="412"/>
      <c r="AXI87" s="412"/>
      <c r="AXJ87" s="412"/>
      <c r="AXK87" s="412"/>
      <c r="AXL87" s="412"/>
      <c r="AXM87" s="412"/>
      <c r="AXN87" s="412"/>
      <c r="AXO87" s="412"/>
      <c r="AXP87" s="412"/>
      <c r="AXQ87" s="412"/>
      <c r="AXR87" s="412"/>
      <c r="AXS87" s="412"/>
      <c r="AXT87" s="412"/>
      <c r="AXU87" s="412"/>
      <c r="AXV87" s="412"/>
      <c r="AXW87" s="412"/>
      <c r="AXX87" s="412"/>
      <c r="AXY87" s="412"/>
      <c r="AXZ87" s="412"/>
      <c r="AYA87" s="412"/>
      <c r="AYB87" s="412"/>
      <c r="AYC87" s="412"/>
      <c r="AYD87" s="412"/>
      <c r="AYE87" s="412"/>
      <c r="AYF87" s="412"/>
      <c r="AYG87" s="412"/>
      <c r="AYH87" s="412"/>
      <c r="AYI87" s="412"/>
      <c r="AYJ87" s="412"/>
      <c r="AYK87" s="412"/>
      <c r="AYL87" s="412"/>
      <c r="AYM87" s="412"/>
      <c r="AYN87" s="412"/>
      <c r="AYO87" s="412"/>
      <c r="AYP87" s="412"/>
      <c r="AYQ87" s="412"/>
      <c r="AYR87" s="412"/>
      <c r="AYS87" s="412"/>
      <c r="AYT87" s="412"/>
      <c r="AYU87" s="412"/>
      <c r="AYV87" s="412"/>
      <c r="AYW87" s="412"/>
      <c r="AYX87" s="412"/>
      <c r="AYY87" s="412"/>
      <c r="AYZ87" s="412"/>
      <c r="AZA87" s="412"/>
      <c r="AZB87" s="412"/>
      <c r="AZC87" s="412"/>
      <c r="AZD87" s="412"/>
      <c r="AZE87" s="412"/>
      <c r="AZF87" s="412"/>
      <c r="AZG87" s="412"/>
      <c r="AZH87" s="412"/>
      <c r="AZI87" s="412"/>
      <c r="AZJ87" s="412"/>
      <c r="AZK87" s="412"/>
      <c r="AZL87" s="412"/>
      <c r="AZM87" s="412"/>
      <c r="AZN87" s="412"/>
      <c r="AZO87" s="412"/>
      <c r="AZP87" s="412"/>
      <c r="AZQ87" s="412"/>
      <c r="AZR87" s="412"/>
      <c r="AZS87" s="412"/>
      <c r="AZT87" s="412"/>
      <c r="AZU87" s="412"/>
      <c r="AZV87" s="412"/>
      <c r="AZW87" s="412"/>
      <c r="AZX87" s="412"/>
      <c r="AZY87" s="412"/>
      <c r="AZZ87" s="412"/>
      <c r="BAA87" s="412"/>
      <c r="BAB87" s="412"/>
      <c r="BAC87" s="412"/>
      <c r="BAD87" s="412"/>
      <c r="BAE87" s="412"/>
      <c r="BAF87" s="412"/>
      <c r="BAG87" s="412"/>
      <c r="BAH87" s="412"/>
      <c r="BAI87" s="412"/>
      <c r="BAJ87" s="412"/>
      <c r="BAK87" s="412"/>
      <c r="BAL87" s="412"/>
      <c r="BAM87" s="412"/>
      <c r="BAN87" s="412"/>
      <c r="BAO87" s="412"/>
      <c r="BAP87" s="412"/>
      <c r="BAQ87" s="412"/>
      <c r="BAR87" s="412"/>
      <c r="BAS87" s="412"/>
      <c r="BAT87" s="412"/>
      <c r="BAU87" s="412"/>
      <c r="BAV87" s="412"/>
      <c r="BAW87" s="412"/>
      <c r="BAX87" s="412"/>
      <c r="BAY87" s="412"/>
      <c r="BAZ87" s="412"/>
      <c r="BBA87" s="412"/>
      <c r="BBB87" s="412"/>
      <c r="BBC87" s="412"/>
      <c r="BBD87" s="412"/>
      <c r="BBE87" s="412"/>
      <c r="BBF87" s="412"/>
      <c r="BBG87" s="412"/>
      <c r="BBH87" s="412"/>
      <c r="BBI87" s="412"/>
      <c r="BBJ87" s="412"/>
      <c r="BBK87" s="412"/>
      <c r="BBL87" s="412"/>
      <c r="BBM87" s="412"/>
      <c r="BBN87" s="412"/>
      <c r="BBO87" s="412"/>
      <c r="BBP87" s="412"/>
      <c r="BBQ87" s="412"/>
      <c r="BBR87" s="412"/>
      <c r="BBS87" s="412"/>
      <c r="BBT87" s="412"/>
      <c r="BBU87" s="412"/>
      <c r="BBV87" s="412"/>
      <c r="BBW87" s="412"/>
      <c r="BBX87" s="412"/>
      <c r="BBY87" s="412"/>
      <c r="BBZ87" s="412"/>
      <c r="BCA87" s="412"/>
      <c r="BCB87" s="412"/>
      <c r="BCC87" s="412"/>
      <c r="BCD87" s="412"/>
      <c r="BCE87" s="412"/>
      <c r="BCF87" s="412"/>
      <c r="BCG87" s="412"/>
      <c r="BCH87" s="412"/>
      <c r="BCI87" s="412"/>
      <c r="BCJ87" s="412"/>
      <c r="BCK87" s="412"/>
      <c r="BCL87" s="412"/>
      <c r="BCM87" s="412"/>
      <c r="BCN87" s="412"/>
      <c r="BCO87" s="412"/>
      <c r="BCP87" s="412"/>
      <c r="BCQ87" s="412"/>
      <c r="BCR87" s="412"/>
      <c r="BCS87" s="412"/>
      <c r="BCT87" s="412"/>
      <c r="BCU87" s="412"/>
      <c r="BCV87" s="412"/>
      <c r="BCW87" s="412"/>
      <c r="BCX87" s="412"/>
      <c r="BCY87" s="412"/>
      <c r="BCZ87" s="412"/>
      <c r="BDA87" s="412"/>
      <c r="BDB87" s="412"/>
      <c r="BDC87" s="412"/>
      <c r="BDD87" s="412"/>
      <c r="BDE87" s="412"/>
      <c r="BDF87" s="412"/>
      <c r="BDG87" s="412"/>
      <c r="BDH87" s="412"/>
      <c r="BDI87" s="412"/>
      <c r="BDJ87" s="412"/>
      <c r="BDK87" s="412"/>
      <c r="BDL87" s="412"/>
      <c r="BDM87" s="412"/>
      <c r="BDN87" s="412"/>
      <c r="BDO87" s="412"/>
      <c r="BDP87" s="412"/>
      <c r="BDQ87" s="412"/>
      <c r="BDR87" s="412"/>
      <c r="BDS87" s="412"/>
      <c r="BDT87" s="412"/>
      <c r="BDU87" s="412"/>
      <c r="BDV87" s="412"/>
      <c r="BDW87" s="412"/>
      <c r="BDX87" s="412"/>
      <c r="BDY87" s="412"/>
      <c r="BDZ87" s="412"/>
      <c r="BEA87" s="412"/>
      <c r="BEB87" s="412"/>
      <c r="BEC87" s="412"/>
      <c r="BED87" s="412"/>
      <c r="BEE87" s="412"/>
      <c r="BEF87" s="412"/>
      <c r="BEG87" s="412"/>
      <c r="BEH87" s="412"/>
      <c r="BEI87" s="412"/>
      <c r="BEJ87" s="412"/>
      <c r="BEK87" s="412"/>
      <c r="BEL87" s="412"/>
      <c r="BEM87" s="412"/>
      <c r="BEN87" s="412"/>
      <c r="BEO87" s="412"/>
      <c r="BEP87" s="412"/>
      <c r="BEQ87" s="412"/>
      <c r="BER87" s="412"/>
      <c r="BES87" s="412"/>
      <c r="BET87" s="412"/>
      <c r="BEU87" s="412"/>
      <c r="BEV87" s="412"/>
      <c r="BEW87" s="412"/>
      <c r="BEX87" s="412"/>
      <c r="BEY87" s="412"/>
      <c r="BEZ87" s="412"/>
      <c r="BFA87" s="412"/>
      <c r="BFB87" s="412"/>
      <c r="BFC87" s="412"/>
      <c r="BFD87" s="412"/>
      <c r="BFE87" s="412"/>
      <c r="BFF87" s="412"/>
      <c r="BFG87" s="412"/>
      <c r="BFH87" s="412"/>
      <c r="BFI87" s="412"/>
      <c r="BFJ87" s="412"/>
      <c r="BFK87" s="412"/>
      <c r="BFL87" s="412"/>
      <c r="BFM87" s="412"/>
      <c r="BFN87" s="412"/>
      <c r="BFO87" s="412"/>
      <c r="BFP87" s="412"/>
      <c r="BFQ87" s="412"/>
      <c r="BFR87" s="412"/>
      <c r="BFS87" s="412"/>
      <c r="BFT87" s="412"/>
      <c r="BFU87" s="412"/>
      <c r="BFV87" s="412"/>
      <c r="BFW87" s="412"/>
      <c r="BFX87" s="412"/>
      <c r="BFY87" s="412"/>
      <c r="BFZ87" s="412"/>
      <c r="BGA87" s="412"/>
      <c r="BGB87" s="412"/>
      <c r="BGC87" s="412"/>
      <c r="BGD87" s="412"/>
      <c r="BGE87" s="412"/>
      <c r="BGF87" s="412"/>
      <c r="BGG87" s="412"/>
      <c r="BGH87" s="412"/>
      <c r="BGI87" s="412"/>
      <c r="BGJ87" s="412"/>
      <c r="BGK87" s="412"/>
      <c r="BGL87" s="412"/>
      <c r="BGM87" s="412"/>
      <c r="BGN87" s="412"/>
      <c r="BGO87" s="412"/>
      <c r="BGP87" s="412"/>
      <c r="BGQ87" s="412"/>
      <c r="BGR87" s="412"/>
      <c r="BGS87" s="412"/>
      <c r="BGT87" s="412"/>
      <c r="BGU87" s="412"/>
      <c r="BGV87" s="412"/>
      <c r="BGW87" s="412"/>
      <c r="BGX87" s="412"/>
      <c r="BGY87" s="412"/>
      <c r="BGZ87" s="412"/>
      <c r="BHA87" s="412"/>
      <c r="BHB87" s="412"/>
      <c r="BHC87" s="412"/>
      <c r="BHD87" s="412"/>
      <c r="BHE87" s="412"/>
      <c r="BHF87" s="412"/>
      <c r="BHG87" s="412"/>
      <c r="BHH87" s="412"/>
      <c r="BHI87" s="412"/>
      <c r="BHJ87" s="412"/>
      <c r="BHK87" s="412"/>
      <c r="BHL87" s="412"/>
      <c r="BHM87" s="412"/>
      <c r="BHN87" s="412"/>
      <c r="BHO87" s="412"/>
      <c r="BHP87" s="412"/>
      <c r="BHQ87" s="412"/>
      <c r="BHR87" s="412"/>
      <c r="BHS87" s="412"/>
      <c r="BHT87" s="412"/>
      <c r="BHU87" s="412"/>
      <c r="BHV87" s="412"/>
      <c r="BHW87" s="412"/>
      <c r="BHX87" s="412"/>
      <c r="BHY87" s="412"/>
      <c r="BHZ87" s="412"/>
      <c r="BIA87" s="412"/>
      <c r="BIB87" s="412"/>
      <c r="BIC87" s="412"/>
      <c r="BID87" s="412"/>
      <c r="BIE87" s="412"/>
      <c r="BIF87" s="412"/>
      <c r="BIG87" s="412"/>
      <c r="BIH87" s="412"/>
      <c r="BII87" s="412"/>
      <c r="BIJ87" s="412"/>
      <c r="BIK87" s="412"/>
      <c r="BIL87" s="412"/>
      <c r="BIM87" s="412"/>
      <c r="BIN87" s="412"/>
      <c r="BIO87" s="412"/>
      <c r="BIP87" s="412"/>
      <c r="BIQ87" s="412"/>
      <c r="BIR87" s="412"/>
      <c r="BIS87" s="412"/>
      <c r="BIT87" s="412"/>
      <c r="BIU87" s="412"/>
      <c r="BIV87" s="412"/>
      <c r="BIW87" s="412"/>
      <c r="BIX87" s="412"/>
      <c r="BIY87" s="412"/>
      <c r="BIZ87" s="412"/>
      <c r="BJA87" s="412"/>
      <c r="BJB87" s="412"/>
      <c r="BJC87" s="412"/>
      <c r="BJD87" s="412"/>
      <c r="BJE87" s="412"/>
      <c r="BJF87" s="412"/>
      <c r="BJG87" s="412"/>
      <c r="BJH87" s="412"/>
      <c r="BJI87" s="412"/>
      <c r="BJJ87" s="412"/>
      <c r="BJK87" s="412"/>
      <c r="BJL87" s="412"/>
      <c r="BJM87" s="412"/>
      <c r="BJN87" s="412"/>
      <c r="BJO87" s="412"/>
      <c r="BJP87" s="412"/>
      <c r="BJQ87" s="412"/>
      <c r="BJR87" s="412"/>
      <c r="BJS87" s="412"/>
      <c r="BJT87" s="412"/>
      <c r="BJU87" s="412"/>
      <c r="BJV87" s="412"/>
      <c r="BJW87" s="412"/>
      <c r="BJX87" s="412"/>
      <c r="BJY87" s="412"/>
      <c r="BJZ87" s="412"/>
      <c r="BKA87" s="412"/>
      <c r="BKB87" s="412"/>
      <c r="BKC87" s="412"/>
      <c r="BKD87" s="412"/>
      <c r="BKE87" s="412"/>
      <c r="BKF87" s="412"/>
      <c r="BKG87" s="412"/>
      <c r="BKH87" s="412"/>
      <c r="BKI87" s="412"/>
      <c r="BKJ87" s="412"/>
      <c r="BKK87" s="412"/>
      <c r="BKL87" s="412"/>
      <c r="BKM87" s="412"/>
      <c r="BKN87" s="412"/>
      <c r="BKO87" s="412"/>
      <c r="BKP87" s="412"/>
      <c r="BKQ87" s="412"/>
      <c r="BKR87" s="412"/>
      <c r="BKS87" s="412"/>
      <c r="BKT87" s="412"/>
      <c r="BKU87" s="412"/>
      <c r="BKV87" s="412"/>
      <c r="BKW87" s="412"/>
      <c r="BKX87" s="412"/>
      <c r="BKY87" s="412"/>
      <c r="BKZ87" s="412"/>
      <c r="BLA87" s="412"/>
      <c r="BLB87" s="412"/>
      <c r="BLC87" s="412"/>
      <c r="BLD87" s="412"/>
      <c r="BLE87" s="412"/>
      <c r="BLF87" s="412"/>
      <c r="BLG87" s="412"/>
      <c r="BLH87" s="412"/>
      <c r="BLI87" s="412"/>
      <c r="BLJ87" s="412"/>
      <c r="BLK87" s="412"/>
      <c r="BLL87" s="412"/>
      <c r="BLM87" s="412"/>
      <c r="BLN87" s="412"/>
      <c r="BLO87" s="412"/>
      <c r="BLP87" s="412"/>
      <c r="BLQ87" s="412"/>
      <c r="BLR87" s="412"/>
      <c r="BLS87" s="412"/>
      <c r="BLT87" s="412"/>
      <c r="BLU87" s="412"/>
      <c r="BLV87" s="412"/>
      <c r="BLW87" s="412"/>
      <c r="BLX87" s="412"/>
      <c r="BLY87" s="412"/>
      <c r="BLZ87" s="412"/>
      <c r="BMA87" s="412"/>
      <c r="BMB87" s="412"/>
      <c r="BMC87" s="412"/>
      <c r="BMD87" s="412"/>
      <c r="BME87" s="412"/>
      <c r="BMF87" s="412"/>
      <c r="BMG87" s="412"/>
      <c r="BMH87" s="412"/>
      <c r="BMI87" s="412"/>
      <c r="BMJ87" s="412"/>
      <c r="BMK87" s="412"/>
      <c r="BML87" s="412"/>
      <c r="BMM87" s="412"/>
      <c r="BMN87" s="412"/>
      <c r="BMO87" s="412"/>
      <c r="BMP87" s="412"/>
      <c r="BMQ87" s="412"/>
      <c r="BMR87" s="412"/>
      <c r="BMS87" s="412"/>
      <c r="BMT87" s="412"/>
      <c r="BMU87" s="412"/>
      <c r="BMV87" s="412"/>
      <c r="BMW87" s="412"/>
      <c r="BMX87" s="412"/>
      <c r="BMY87" s="412"/>
      <c r="BMZ87" s="412"/>
      <c r="BNA87" s="412"/>
      <c r="BNB87" s="412"/>
      <c r="BNC87" s="412"/>
      <c r="BND87" s="412"/>
      <c r="BNE87" s="412"/>
      <c r="BNF87" s="412"/>
      <c r="BNG87" s="412"/>
      <c r="BNH87" s="412"/>
      <c r="BNI87" s="412"/>
      <c r="BNJ87" s="412"/>
      <c r="BNK87" s="412"/>
      <c r="BNL87" s="412"/>
      <c r="BNM87" s="412"/>
      <c r="BNN87" s="412"/>
      <c r="BNO87" s="412"/>
      <c r="BNP87" s="412"/>
      <c r="BNQ87" s="412"/>
      <c r="BNR87" s="412"/>
      <c r="BNS87" s="412"/>
      <c r="BNT87" s="412"/>
      <c r="BNU87" s="412"/>
      <c r="BNV87" s="412"/>
      <c r="BNW87" s="412"/>
      <c r="BNX87" s="412"/>
      <c r="BNY87" s="412"/>
      <c r="BNZ87" s="412"/>
      <c r="BOA87" s="412"/>
      <c r="BOB87" s="412"/>
      <c r="BOC87" s="412"/>
      <c r="BOD87" s="412"/>
      <c r="BOE87" s="412"/>
      <c r="BOF87" s="412"/>
      <c r="BOG87" s="412"/>
      <c r="BOH87" s="412"/>
      <c r="BOI87" s="412"/>
      <c r="BOJ87" s="412"/>
      <c r="BOK87" s="412"/>
      <c r="BOL87" s="412"/>
      <c r="BOM87" s="412"/>
      <c r="BON87" s="412"/>
      <c r="BOO87" s="412"/>
      <c r="BOP87" s="412"/>
      <c r="BOQ87" s="412"/>
      <c r="BOR87" s="412"/>
      <c r="BOS87" s="412"/>
      <c r="BOT87" s="412"/>
      <c r="BOU87" s="412"/>
      <c r="BOV87" s="412"/>
      <c r="BOW87" s="412"/>
      <c r="BOX87" s="412"/>
      <c r="BOY87" s="412"/>
      <c r="BOZ87" s="412"/>
      <c r="BPA87" s="412"/>
      <c r="BPB87" s="412"/>
      <c r="BPC87" s="412"/>
      <c r="BPD87" s="412"/>
      <c r="BPE87" s="412"/>
      <c r="BPF87" s="412"/>
      <c r="BPG87" s="412"/>
      <c r="BPH87" s="412"/>
      <c r="BPI87" s="412"/>
      <c r="BPJ87" s="412"/>
      <c r="BPK87" s="412"/>
      <c r="BPL87" s="412"/>
      <c r="BPM87" s="412"/>
      <c r="BPN87" s="412"/>
      <c r="BPO87" s="412"/>
      <c r="BPP87" s="412"/>
      <c r="BPQ87" s="412"/>
      <c r="BPR87" s="412"/>
      <c r="BPS87" s="412"/>
      <c r="BPT87" s="412"/>
      <c r="BPU87" s="412"/>
      <c r="BPV87" s="412"/>
      <c r="BPW87" s="412"/>
      <c r="BPX87" s="412"/>
      <c r="BPY87" s="412"/>
      <c r="BPZ87" s="412"/>
      <c r="BQA87" s="412"/>
      <c r="BQB87" s="412"/>
      <c r="BQC87" s="412"/>
      <c r="BQD87" s="412"/>
      <c r="BQE87" s="412"/>
      <c r="BQF87" s="412"/>
      <c r="BQG87" s="412"/>
      <c r="BQH87" s="412"/>
      <c r="BQI87" s="412"/>
      <c r="BQJ87" s="412"/>
      <c r="BQK87" s="412"/>
      <c r="BQL87" s="412"/>
      <c r="BQM87" s="412"/>
      <c r="BQN87" s="412"/>
      <c r="BQO87" s="412"/>
      <c r="BQP87" s="412"/>
      <c r="BQQ87" s="412"/>
      <c r="BQR87" s="412"/>
      <c r="BQS87" s="412"/>
      <c r="BQT87" s="412"/>
      <c r="BQU87" s="412"/>
      <c r="BQV87" s="412"/>
      <c r="BQW87" s="412"/>
      <c r="BQX87" s="412"/>
      <c r="BQY87" s="412"/>
      <c r="BQZ87" s="412"/>
      <c r="BRA87" s="412"/>
      <c r="BRB87" s="412"/>
      <c r="BRC87" s="412"/>
      <c r="BRD87" s="412"/>
      <c r="BRE87" s="412"/>
      <c r="BRF87" s="412"/>
      <c r="BRG87" s="412"/>
      <c r="BRH87" s="412"/>
      <c r="BRI87" s="412"/>
      <c r="BRJ87" s="412"/>
      <c r="BRK87" s="412"/>
      <c r="BRL87" s="412"/>
      <c r="BRM87" s="412"/>
      <c r="BRN87" s="412"/>
      <c r="BRO87" s="412"/>
      <c r="BRP87" s="412"/>
      <c r="BRQ87" s="412"/>
      <c r="BRR87" s="412"/>
      <c r="BRS87" s="412"/>
      <c r="BRT87" s="412"/>
      <c r="BRU87" s="412"/>
      <c r="BRV87" s="412"/>
      <c r="BRW87" s="412"/>
      <c r="BRX87" s="412"/>
      <c r="BRY87" s="412"/>
      <c r="BRZ87" s="412"/>
      <c r="BSA87" s="412"/>
      <c r="BSB87" s="412"/>
      <c r="BSC87" s="412"/>
      <c r="BSD87" s="412"/>
      <c r="BSE87" s="412"/>
      <c r="BSF87" s="412"/>
      <c r="BSG87" s="412"/>
      <c r="BSH87" s="412"/>
      <c r="BSI87" s="412"/>
      <c r="BSJ87" s="412"/>
      <c r="BSK87" s="412"/>
      <c r="BSL87" s="412"/>
      <c r="BSM87" s="412"/>
      <c r="BSN87" s="412"/>
      <c r="BSO87" s="412"/>
      <c r="BSP87" s="412"/>
      <c r="BSQ87" s="412"/>
      <c r="BSR87" s="412"/>
      <c r="BSS87" s="412"/>
      <c r="BST87" s="412"/>
      <c r="BSU87" s="412"/>
      <c r="BSV87" s="412"/>
      <c r="BSW87" s="412"/>
      <c r="BSX87" s="412"/>
      <c r="BSY87" s="412"/>
      <c r="BSZ87" s="412"/>
      <c r="BTA87" s="412"/>
      <c r="BTB87" s="412"/>
      <c r="BTC87" s="412"/>
      <c r="BTD87" s="412"/>
      <c r="BTE87" s="412"/>
      <c r="BTF87" s="412"/>
      <c r="BTG87" s="412"/>
      <c r="BTH87" s="412"/>
      <c r="BTI87" s="412"/>
    </row>
    <row r="88" spans="1:1881" ht="98.25" customHeight="1" x14ac:dyDescent="0.25">
      <c r="A88" s="468">
        <v>633</v>
      </c>
      <c r="B88" s="469" t="s">
        <v>1204</v>
      </c>
      <c r="C88" s="470" t="s">
        <v>840</v>
      </c>
      <c r="D88" s="471" t="s">
        <v>1223</v>
      </c>
      <c r="E88" s="472" t="s">
        <v>837</v>
      </c>
      <c r="F88" s="647"/>
      <c r="G88" s="455">
        <f>IF(F88&lt;0,"Error: Enter as positive.",)</f>
        <v>0</v>
      </c>
      <c r="H88" s="456"/>
      <c r="I88" s="457"/>
    </row>
    <row r="89" spans="1:1881" ht="88.5" customHeight="1" x14ac:dyDescent="0.25">
      <c r="A89" s="473">
        <v>634</v>
      </c>
      <c r="B89" s="474" t="s">
        <v>835</v>
      </c>
      <c r="C89" s="470" t="s">
        <v>840</v>
      </c>
      <c r="D89" s="471" t="s">
        <v>1071</v>
      </c>
      <c r="E89" s="472" t="s">
        <v>837</v>
      </c>
      <c r="F89" s="647"/>
      <c r="G89" s="872">
        <f>IF(F89&gt;F88,"Please review account numbers 634&gt;633",)</f>
        <v>0</v>
      </c>
      <c r="H89" s="456"/>
      <c r="I89" s="457"/>
    </row>
    <row r="90" spans="1:1881" ht="96.75" customHeight="1" x14ac:dyDescent="0.25">
      <c r="A90" s="473">
        <v>635</v>
      </c>
      <c r="B90" s="474" t="s">
        <v>835</v>
      </c>
      <c r="C90" s="470" t="s">
        <v>840</v>
      </c>
      <c r="D90" s="471" t="s">
        <v>1072</v>
      </c>
      <c r="E90" s="472" t="s">
        <v>837</v>
      </c>
      <c r="F90" s="647"/>
      <c r="G90" s="872">
        <f>IF(F90&gt;F88,"Please review account numbers 635&gt;633",)</f>
        <v>0</v>
      </c>
      <c r="H90" s="456"/>
      <c r="I90" s="457"/>
    </row>
    <row r="91" spans="1:1881" ht="84" customHeight="1" x14ac:dyDescent="0.25">
      <c r="A91" s="473">
        <v>636</v>
      </c>
      <c r="B91" s="474" t="s">
        <v>835</v>
      </c>
      <c r="C91" s="470" t="s">
        <v>840</v>
      </c>
      <c r="D91" s="471" t="s">
        <v>1073</v>
      </c>
      <c r="E91" s="472" t="s">
        <v>837</v>
      </c>
      <c r="F91" s="647"/>
      <c r="G91" s="872">
        <f>IF(F91&gt;F88,"Please review account numbers 636&gt;633",)</f>
        <v>0</v>
      </c>
      <c r="H91" s="456"/>
      <c r="I91" s="457"/>
    </row>
    <row r="92" spans="1:1881" ht="80.25" customHeight="1" x14ac:dyDescent="0.25">
      <c r="A92" s="473">
        <v>637</v>
      </c>
      <c r="B92" s="474" t="s">
        <v>835</v>
      </c>
      <c r="C92" s="470" t="s">
        <v>840</v>
      </c>
      <c r="D92" s="471" t="s">
        <v>1075</v>
      </c>
      <c r="E92" s="472" t="s">
        <v>837</v>
      </c>
      <c r="F92" s="647"/>
      <c r="G92" s="872">
        <f>IF(F92&gt;F88,"Please review account numbers 637&gt;633",)</f>
        <v>0</v>
      </c>
      <c r="H92" s="456"/>
      <c r="I92" s="457"/>
    </row>
    <row r="93" spans="1:1881" ht="92.25" customHeight="1" x14ac:dyDescent="0.25">
      <c r="A93" s="473">
        <v>638</v>
      </c>
      <c r="B93" s="474" t="s">
        <v>835</v>
      </c>
      <c r="C93" s="470" t="s">
        <v>840</v>
      </c>
      <c r="D93" s="471" t="s">
        <v>1074</v>
      </c>
      <c r="E93" s="472" t="s">
        <v>837</v>
      </c>
      <c r="F93" s="647"/>
      <c r="G93" s="872">
        <f>IF(F93&gt;F88,"Please review account numbers 638&gt;633",)</f>
        <v>0</v>
      </c>
      <c r="H93" s="456"/>
      <c r="I93" s="457"/>
    </row>
    <row r="94" spans="1:1881" s="226" customFormat="1" ht="71.25" customHeight="1" x14ac:dyDescent="0.25">
      <c r="A94" s="189">
        <v>383</v>
      </c>
      <c r="B94" s="64" t="s">
        <v>69</v>
      </c>
      <c r="C94" s="160" t="s">
        <v>186</v>
      </c>
      <c r="D94" s="176" t="s">
        <v>1076</v>
      </c>
      <c r="E94" s="32" t="e">
        <f>HLOOKUP($D$2,'2019 Data(H)'!$C$1:$CG$300,142,FALSE)</f>
        <v>#N/A</v>
      </c>
      <c r="F94" s="647"/>
      <c r="G94" s="873">
        <f>IF(F94&gt;F88,"Error: Please review components of current liabilities above. Account number 383&gt;633",)</f>
        <v>0</v>
      </c>
      <c r="H94" s="600"/>
      <c r="I94" s="31"/>
      <c r="J94" s="412"/>
      <c r="K94" s="412"/>
      <c r="L94" s="412"/>
      <c r="M94" s="412"/>
      <c r="N94"/>
      <c r="O94" s="412"/>
      <c r="P94" s="412"/>
      <c r="Q94" s="412"/>
      <c r="R94" s="412"/>
      <c r="S94" s="412"/>
      <c r="T94" s="412"/>
      <c r="U94" s="412"/>
      <c r="V94" s="412"/>
      <c r="W94" s="412"/>
      <c r="X94" s="412"/>
      <c r="Y94" s="412"/>
      <c r="Z94" s="412"/>
      <c r="AA94" s="412"/>
      <c r="AB94" s="412"/>
      <c r="AC94" s="412"/>
      <c r="AD94" s="412"/>
      <c r="AE94" s="412"/>
      <c r="AF94" s="412"/>
      <c r="AG94" s="412"/>
      <c r="AH94" s="412"/>
      <c r="AI94" s="412"/>
      <c r="AJ94" s="412"/>
      <c r="AK94" s="412"/>
      <c r="AL94" s="412"/>
      <c r="AM94" s="412"/>
      <c r="AN94" s="412"/>
      <c r="AO94" s="412"/>
      <c r="AP94" s="412"/>
      <c r="AQ94" s="412"/>
      <c r="AR94" s="412"/>
      <c r="AS94" s="412"/>
      <c r="AT94" s="412"/>
      <c r="AU94" s="412"/>
      <c r="AV94" s="412"/>
      <c r="AW94" s="412"/>
      <c r="AX94" s="412"/>
      <c r="AY94" s="412"/>
      <c r="AZ94" s="412"/>
      <c r="BA94" s="412"/>
      <c r="BB94" s="412"/>
      <c r="BC94" s="412"/>
      <c r="BD94" s="412"/>
      <c r="BE94" s="412"/>
      <c r="BF94" s="412"/>
      <c r="BG94" s="412"/>
      <c r="BH94" s="412"/>
      <c r="BI94" s="412"/>
      <c r="BJ94" s="412"/>
      <c r="BK94" s="412"/>
      <c r="BL94" s="412"/>
      <c r="BM94" s="412"/>
      <c r="BN94" s="412"/>
      <c r="BO94" s="412"/>
      <c r="BP94" s="412"/>
      <c r="BQ94" s="412"/>
      <c r="BR94" s="412"/>
      <c r="BS94" s="412"/>
      <c r="BT94" s="412"/>
      <c r="BU94" s="412"/>
      <c r="BV94" s="412"/>
      <c r="BW94" s="412"/>
      <c r="BX94" s="412"/>
      <c r="BY94" s="412"/>
      <c r="BZ94" s="412"/>
      <c r="CA94" s="412"/>
      <c r="CB94" s="412"/>
      <c r="CC94" s="412"/>
      <c r="CD94" s="412"/>
      <c r="CE94" s="412"/>
      <c r="CF94" s="412"/>
      <c r="CG94" s="412"/>
      <c r="CH94" s="412"/>
      <c r="CI94" s="412"/>
      <c r="CJ94" s="412"/>
      <c r="CK94" s="412"/>
      <c r="CL94" s="412"/>
      <c r="CM94" s="412"/>
      <c r="CN94" s="412"/>
      <c r="CO94" s="412"/>
      <c r="CP94" s="412"/>
      <c r="CQ94" s="412"/>
      <c r="CR94" s="412"/>
      <c r="CS94" s="412"/>
      <c r="CT94" s="412"/>
      <c r="CU94" s="412"/>
      <c r="CV94" s="412"/>
      <c r="CW94" s="412"/>
      <c r="CX94" s="412"/>
      <c r="CY94" s="412"/>
      <c r="CZ94" s="412"/>
      <c r="DA94" s="412"/>
      <c r="DB94" s="412"/>
      <c r="DC94" s="412"/>
      <c r="DD94" s="412"/>
      <c r="DE94" s="412"/>
      <c r="DF94" s="412"/>
      <c r="DG94" s="412"/>
      <c r="DH94" s="412"/>
      <c r="DI94" s="412"/>
      <c r="DJ94" s="412"/>
      <c r="DK94" s="412"/>
      <c r="DL94" s="412"/>
      <c r="DM94" s="412"/>
      <c r="DN94" s="412"/>
      <c r="DO94" s="412"/>
      <c r="DP94" s="412"/>
      <c r="DQ94" s="412"/>
      <c r="DR94" s="412"/>
      <c r="DS94" s="412"/>
      <c r="DT94" s="412"/>
      <c r="DU94" s="412"/>
      <c r="DV94" s="412"/>
      <c r="DW94" s="412"/>
      <c r="DX94" s="412"/>
      <c r="DY94" s="412"/>
      <c r="DZ94" s="412"/>
      <c r="EA94" s="412"/>
      <c r="EB94" s="412"/>
      <c r="EC94" s="412"/>
      <c r="ED94" s="412"/>
      <c r="EE94" s="412"/>
      <c r="EF94" s="412"/>
      <c r="EG94" s="412"/>
      <c r="EH94" s="412"/>
      <c r="EI94" s="412"/>
      <c r="EJ94" s="412"/>
      <c r="EK94" s="412"/>
      <c r="EL94" s="412"/>
      <c r="EM94" s="412"/>
      <c r="EN94" s="412"/>
      <c r="EO94" s="412"/>
      <c r="EP94" s="412"/>
      <c r="EQ94" s="412"/>
      <c r="ER94" s="412"/>
      <c r="ES94" s="412"/>
      <c r="ET94" s="412"/>
      <c r="EU94" s="412"/>
      <c r="EV94" s="412"/>
      <c r="EW94" s="412"/>
      <c r="EX94" s="412"/>
      <c r="EY94" s="412"/>
      <c r="EZ94" s="412"/>
      <c r="FA94" s="412"/>
      <c r="FB94" s="412"/>
      <c r="FC94" s="412"/>
      <c r="FD94" s="412"/>
      <c r="FE94" s="412"/>
      <c r="FF94" s="412"/>
      <c r="FG94" s="412"/>
      <c r="FH94" s="412"/>
      <c r="FI94" s="412"/>
      <c r="FJ94" s="412"/>
      <c r="FK94" s="412"/>
      <c r="FL94" s="412"/>
      <c r="FM94" s="412"/>
      <c r="FN94" s="412"/>
      <c r="FO94" s="412"/>
      <c r="FP94" s="412"/>
      <c r="FQ94" s="412"/>
      <c r="FR94" s="412"/>
      <c r="FS94" s="412"/>
      <c r="FT94" s="412"/>
      <c r="FU94" s="412"/>
      <c r="FV94" s="412"/>
      <c r="FW94" s="412"/>
      <c r="FX94" s="412"/>
      <c r="FY94" s="412"/>
      <c r="FZ94" s="412"/>
      <c r="GA94" s="412"/>
      <c r="GB94" s="412"/>
      <c r="GC94" s="412"/>
      <c r="GD94" s="412"/>
      <c r="GE94" s="412"/>
      <c r="GF94" s="412"/>
      <c r="GG94" s="412"/>
      <c r="GH94" s="412"/>
      <c r="GI94" s="412"/>
      <c r="GJ94" s="412"/>
      <c r="GK94" s="412"/>
      <c r="GL94" s="412"/>
      <c r="GM94" s="412"/>
      <c r="GN94" s="412"/>
      <c r="GO94" s="412"/>
      <c r="GP94" s="412"/>
      <c r="GQ94" s="412"/>
      <c r="GR94" s="412"/>
      <c r="GS94" s="412"/>
      <c r="GT94" s="412"/>
      <c r="GU94" s="412"/>
      <c r="GV94" s="412"/>
      <c r="GW94" s="412"/>
      <c r="GX94" s="412"/>
      <c r="GY94" s="412"/>
      <c r="GZ94" s="412"/>
      <c r="HA94" s="412"/>
      <c r="HB94" s="412"/>
      <c r="HC94" s="412"/>
      <c r="HD94" s="412"/>
      <c r="HE94" s="412"/>
      <c r="HF94" s="412"/>
      <c r="HG94" s="412"/>
      <c r="HH94" s="412"/>
      <c r="HI94" s="412"/>
      <c r="HJ94" s="412"/>
      <c r="HK94" s="412"/>
      <c r="HL94" s="412"/>
      <c r="HM94" s="412"/>
      <c r="HN94" s="412"/>
      <c r="HO94" s="412"/>
      <c r="HP94" s="412"/>
      <c r="HQ94" s="412"/>
      <c r="HR94" s="412"/>
      <c r="HS94" s="412"/>
      <c r="HT94" s="412"/>
      <c r="HU94" s="412"/>
      <c r="HV94" s="412"/>
      <c r="HW94" s="412"/>
      <c r="HX94" s="412"/>
      <c r="HY94" s="412"/>
      <c r="HZ94" s="412"/>
      <c r="IA94" s="412"/>
      <c r="IB94" s="412"/>
      <c r="IC94" s="412"/>
      <c r="ID94" s="412"/>
      <c r="IE94" s="412"/>
      <c r="IF94" s="412"/>
      <c r="IG94" s="412"/>
      <c r="IH94" s="412"/>
      <c r="II94" s="412"/>
      <c r="IJ94" s="412"/>
      <c r="IK94" s="412"/>
      <c r="IL94" s="412"/>
      <c r="IM94" s="412"/>
      <c r="IN94" s="412"/>
      <c r="IO94" s="412"/>
      <c r="IP94" s="412"/>
      <c r="IQ94" s="412"/>
      <c r="IR94" s="412"/>
      <c r="IS94" s="412"/>
      <c r="IT94" s="412"/>
      <c r="IU94" s="412"/>
      <c r="IV94" s="412"/>
      <c r="IW94" s="412"/>
      <c r="IX94" s="412"/>
      <c r="IY94" s="412"/>
      <c r="IZ94" s="412"/>
      <c r="JA94" s="412"/>
      <c r="JB94" s="412"/>
      <c r="JC94" s="412"/>
      <c r="JD94" s="412"/>
      <c r="JE94" s="412"/>
      <c r="JF94" s="412"/>
      <c r="JG94" s="412"/>
      <c r="JH94" s="412"/>
      <c r="JI94" s="412"/>
      <c r="JJ94" s="412"/>
      <c r="JK94" s="412"/>
      <c r="JL94" s="412"/>
      <c r="JM94" s="412"/>
      <c r="JN94" s="412"/>
      <c r="JO94" s="412"/>
      <c r="JP94" s="412"/>
      <c r="JQ94" s="412"/>
      <c r="JR94" s="412"/>
      <c r="JS94" s="412"/>
      <c r="JT94" s="412"/>
      <c r="JU94" s="412"/>
      <c r="JV94" s="412"/>
      <c r="JW94" s="412"/>
      <c r="JX94" s="412"/>
      <c r="JY94" s="412"/>
      <c r="JZ94" s="412"/>
      <c r="KA94" s="412"/>
      <c r="KB94" s="412"/>
      <c r="KC94" s="412"/>
      <c r="KD94" s="412"/>
      <c r="KE94" s="412"/>
      <c r="KF94" s="412"/>
      <c r="KG94" s="412"/>
      <c r="KH94" s="412"/>
      <c r="KI94" s="412"/>
      <c r="KJ94" s="412"/>
      <c r="KK94" s="412"/>
      <c r="KL94" s="412"/>
      <c r="KM94" s="412"/>
      <c r="KN94" s="412"/>
      <c r="KO94" s="412"/>
      <c r="KP94" s="412"/>
      <c r="KQ94" s="412"/>
      <c r="KR94" s="412"/>
      <c r="KS94" s="412"/>
      <c r="KT94" s="412"/>
      <c r="KU94" s="412"/>
      <c r="KV94" s="412"/>
      <c r="KW94" s="412"/>
      <c r="KX94" s="412"/>
      <c r="KY94" s="412"/>
      <c r="KZ94" s="412"/>
      <c r="LA94" s="412"/>
      <c r="LB94" s="412"/>
      <c r="LC94" s="412"/>
      <c r="LD94" s="412"/>
      <c r="LE94" s="412"/>
      <c r="LF94" s="412"/>
      <c r="LG94" s="412"/>
      <c r="LH94" s="412"/>
      <c r="LI94" s="412"/>
      <c r="LJ94" s="412"/>
      <c r="LK94" s="412"/>
      <c r="LL94" s="412"/>
      <c r="LM94" s="412"/>
      <c r="LN94" s="412"/>
      <c r="LO94" s="412"/>
      <c r="LP94" s="412"/>
      <c r="LQ94" s="412"/>
      <c r="LR94" s="412"/>
      <c r="LS94" s="412"/>
      <c r="LT94" s="412"/>
      <c r="LU94" s="412"/>
      <c r="LV94" s="412"/>
      <c r="LW94" s="412"/>
      <c r="LX94" s="412"/>
      <c r="LY94" s="412"/>
      <c r="LZ94" s="412"/>
      <c r="MA94" s="412"/>
      <c r="MB94" s="412"/>
      <c r="MC94" s="412"/>
      <c r="MD94" s="412"/>
      <c r="ME94" s="412"/>
      <c r="MF94" s="412"/>
      <c r="MG94" s="412"/>
      <c r="MH94" s="412"/>
      <c r="MI94" s="412"/>
      <c r="MJ94" s="412"/>
      <c r="MK94" s="412"/>
      <c r="ML94" s="412"/>
      <c r="MM94" s="412"/>
      <c r="MN94" s="412"/>
      <c r="MO94" s="412"/>
      <c r="MP94" s="412"/>
      <c r="MQ94" s="412"/>
      <c r="MR94" s="412"/>
      <c r="MS94" s="412"/>
      <c r="MT94" s="412"/>
      <c r="MU94" s="412"/>
      <c r="MV94" s="412"/>
      <c r="MW94" s="412"/>
      <c r="MX94" s="412"/>
      <c r="MY94" s="412"/>
      <c r="MZ94" s="412"/>
      <c r="NA94" s="412"/>
      <c r="NB94" s="412"/>
      <c r="NC94" s="412"/>
      <c r="ND94" s="412"/>
      <c r="NE94" s="412"/>
      <c r="NF94" s="412"/>
      <c r="NG94" s="412"/>
      <c r="NH94" s="412"/>
      <c r="NI94" s="412"/>
      <c r="NJ94" s="412"/>
      <c r="NK94" s="412"/>
      <c r="NL94" s="412"/>
      <c r="NM94" s="412"/>
      <c r="NN94" s="412"/>
      <c r="NO94" s="412"/>
      <c r="NP94" s="412"/>
      <c r="NQ94" s="412"/>
      <c r="NR94" s="412"/>
      <c r="NS94" s="412"/>
      <c r="NT94" s="412"/>
      <c r="NU94" s="412"/>
      <c r="NV94" s="412"/>
      <c r="NW94" s="412"/>
      <c r="NX94" s="412"/>
      <c r="NY94" s="412"/>
      <c r="NZ94" s="412"/>
      <c r="OA94" s="412"/>
      <c r="OB94" s="412"/>
      <c r="OC94" s="412"/>
      <c r="OD94" s="412"/>
      <c r="OE94" s="412"/>
      <c r="OF94" s="412"/>
      <c r="OG94" s="412"/>
      <c r="OH94" s="412"/>
      <c r="OI94" s="412"/>
      <c r="OJ94" s="412"/>
      <c r="OK94" s="412"/>
      <c r="OL94" s="412"/>
      <c r="OM94" s="412"/>
      <c r="ON94" s="412"/>
      <c r="OO94" s="412"/>
      <c r="OP94" s="412"/>
      <c r="OQ94" s="412"/>
      <c r="OR94" s="412"/>
      <c r="OS94" s="412"/>
      <c r="OT94" s="412"/>
      <c r="OU94" s="412"/>
      <c r="OV94" s="412"/>
      <c r="OW94" s="412"/>
      <c r="OX94" s="412"/>
      <c r="OY94" s="412"/>
      <c r="OZ94" s="412"/>
      <c r="PA94" s="412"/>
      <c r="PB94" s="412"/>
      <c r="PC94" s="412"/>
      <c r="PD94" s="412"/>
      <c r="PE94" s="412"/>
      <c r="PF94" s="412"/>
      <c r="PG94" s="412"/>
      <c r="PH94" s="412"/>
      <c r="PI94" s="412"/>
      <c r="PJ94" s="412"/>
      <c r="PK94" s="412"/>
      <c r="PL94" s="412"/>
      <c r="PM94" s="412"/>
      <c r="PN94" s="412"/>
      <c r="PO94" s="412"/>
      <c r="PP94" s="412"/>
      <c r="PQ94" s="412"/>
      <c r="PR94" s="412"/>
      <c r="PS94" s="412"/>
      <c r="PT94" s="412"/>
      <c r="PU94" s="412"/>
      <c r="PV94" s="412"/>
      <c r="PW94" s="412"/>
      <c r="PX94" s="412"/>
      <c r="PY94" s="412"/>
      <c r="PZ94" s="412"/>
      <c r="QA94" s="412"/>
      <c r="QB94" s="412"/>
      <c r="QC94" s="412"/>
      <c r="QD94" s="412"/>
      <c r="QE94" s="412"/>
      <c r="QF94" s="412"/>
      <c r="QG94" s="412"/>
      <c r="QH94" s="412"/>
      <c r="QI94" s="412"/>
      <c r="QJ94" s="412"/>
      <c r="QK94" s="412"/>
      <c r="QL94" s="412"/>
      <c r="QM94" s="412"/>
      <c r="QN94" s="412"/>
      <c r="QO94" s="412"/>
      <c r="QP94" s="412"/>
      <c r="QQ94" s="412"/>
      <c r="QR94" s="412"/>
      <c r="QS94" s="412"/>
      <c r="QT94" s="412"/>
      <c r="QU94" s="412"/>
      <c r="QV94" s="412"/>
      <c r="QW94" s="412"/>
      <c r="QX94" s="412"/>
      <c r="QY94" s="412"/>
      <c r="QZ94" s="412"/>
      <c r="RA94" s="412"/>
      <c r="RB94" s="412"/>
      <c r="RC94" s="412"/>
      <c r="RD94" s="412"/>
      <c r="RE94" s="412"/>
      <c r="RF94" s="412"/>
      <c r="RG94" s="412"/>
      <c r="RH94" s="412"/>
      <c r="RI94" s="412"/>
      <c r="RJ94" s="412"/>
      <c r="RK94" s="412"/>
      <c r="RL94" s="412"/>
      <c r="RM94" s="412"/>
      <c r="RN94" s="412"/>
      <c r="RO94" s="412"/>
      <c r="RP94" s="412"/>
      <c r="RQ94" s="412"/>
      <c r="RR94" s="412"/>
      <c r="RS94" s="412"/>
      <c r="RT94" s="412"/>
      <c r="RU94" s="412"/>
      <c r="RV94" s="412"/>
      <c r="RW94" s="412"/>
      <c r="RX94" s="412"/>
      <c r="RY94" s="412"/>
      <c r="RZ94" s="412"/>
      <c r="SA94" s="412"/>
      <c r="SB94" s="412"/>
      <c r="SC94" s="412"/>
      <c r="SD94" s="412"/>
      <c r="SE94" s="412"/>
      <c r="SF94" s="412"/>
      <c r="SG94" s="412"/>
      <c r="SH94" s="412"/>
      <c r="SI94" s="412"/>
      <c r="SJ94" s="412"/>
      <c r="SK94" s="412"/>
      <c r="SL94" s="412"/>
      <c r="SM94" s="412"/>
      <c r="SN94" s="412"/>
      <c r="SO94" s="412"/>
      <c r="SP94" s="412"/>
      <c r="SQ94" s="412"/>
      <c r="SR94" s="412"/>
      <c r="SS94" s="412"/>
      <c r="ST94" s="412"/>
      <c r="SU94" s="412"/>
      <c r="SV94" s="412"/>
      <c r="SW94" s="412"/>
      <c r="SX94" s="412"/>
      <c r="SY94" s="412"/>
      <c r="SZ94" s="412"/>
      <c r="TA94" s="412"/>
      <c r="TB94" s="412"/>
      <c r="TC94" s="412"/>
      <c r="TD94" s="412"/>
      <c r="TE94" s="412"/>
      <c r="TF94" s="412"/>
      <c r="TG94" s="412"/>
      <c r="TH94" s="412"/>
      <c r="TI94" s="412"/>
      <c r="TJ94" s="412"/>
      <c r="TK94" s="412"/>
      <c r="TL94" s="412"/>
      <c r="TM94" s="412"/>
      <c r="TN94" s="412"/>
      <c r="TO94" s="412"/>
      <c r="TP94" s="412"/>
      <c r="TQ94" s="412"/>
      <c r="TR94" s="412"/>
      <c r="TS94" s="412"/>
      <c r="TT94" s="412"/>
      <c r="TU94" s="412"/>
      <c r="TV94" s="412"/>
      <c r="TW94" s="412"/>
      <c r="TX94" s="412"/>
      <c r="TY94" s="412"/>
      <c r="TZ94" s="412"/>
      <c r="UA94" s="412"/>
      <c r="UB94" s="412"/>
      <c r="UC94" s="412"/>
      <c r="UD94" s="412"/>
      <c r="UE94" s="412"/>
      <c r="UF94" s="412"/>
      <c r="UG94" s="412"/>
      <c r="UH94" s="412"/>
      <c r="UI94" s="412"/>
      <c r="UJ94" s="412"/>
      <c r="UK94" s="412"/>
      <c r="UL94" s="412"/>
      <c r="UM94" s="412"/>
      <c r="UN94" s="412"/>
      <c r="UO94" s="412"/>
      <c r="UP94" s="412"/>
      <c r="UQ94" s="412"/>
      <c r="UR94" s="412"/>
      <c r="US94" s="412"/>
      <c r="UT94" s="412"/>
      <c r="UU94" s="412"/>
      <c r="UV94" s="412"/>
      <c r="UW94" s="412"/>
      <c r="UX94" s="412"/>
      <c r="UY94" s="412"/>
      <c r="UZ94" s="412"/>
      <c r="VA94" s="412"/>
      <c r="VB94" s="412"/>
      <c r="VC94" s="412"/>
      <c r="VD94" s="412"/>
      <c r="VE94" s="412"/>
      <c r="VF94" s="412"/>
      <c r="VG94" s="412"/>
      <c r="VH94" s="412"/>
      <c r="VI94" s="412"/>
      <c r="VJ94" s="412"/>
      <c r="VK94" s="412"/>
      <c r="VL94" s="412"/>
      <c r="VM94" s="412"/>
      <c r="VN94" s="412"/>
      <c r="VO94" s="412"/>
      <c r="VP94" s="412"/>
      <c r="VQ94" s="412"/>
      <c r="VR94" s="412"/>
      <c r="VS94" s="412"/>
      <c r="VT94" s="412"/>
      <c r="VU94" s="412"/>
      <c r="VV94" s="412"/>
      <c r="VW94" s="412"/>
      <c r="VX94" s="412"/>
      <c r="VY94" s="412"/>
      <c r="VZ94" s="412"/>
      <c r="WA94" s="412"/>
      <c r="WB94" s="412"/>
      <c r="WC94" s="412"/>
      <c r="WD94" s="412"/>
      <c r="WE94" s="412"/>
      <c r="WF94" s="412"/>
      <c r="WG94" s="412"/>
      <c r="WH94" s="412"/>
      <c r="WI94" s="412"/>
      <c r="WJ94" s="412"/>
      <c r="WK94" s="412"/>
      <c r="WL94" s="412"/>
      <c r="WM94" s="412"/>
      <c r="WN94" s="412"/>
      <c r="WO94" s="412"/>
      <c r="WP94" s="412"/>
      <c r="WQ94" s="412"/>
      <c r="WR94" s="412"/>
      <c r="WS94" s="412"/>
      <c r="WT94" s="412"/>
      <c r="WU94" s="412"/>
      <c r="WV94" s="412"/>
      <c r="WW94" s="412"/>
      <c r="WX94" s="412"/>
      <c r="WY94" s="412"/>
      <c r="WZ94" s="412"/>
      <c r="XA94" s="412"/>
      <c r="XB94" s="412"/>
      <c r="XC94" s="412"/>
      <c r="XD94" s="412"/>
      <c r="XE94" s="412"/>
      <c r="XF94" s="412"/>
      <c r="XG94" s="412"/>
      <c r="XH94" s="412"/>
      <c r="XI94" s="412"/>
      <c r="XJ94" s="412"/>
      <c r="XK94" s="412"/>
      <c r="XL94" s="412"/>
      <c r="XM94" s="412"/>
      <c r="XN94" s="412"/>
      <c r="XO94" s="412"/>
      <c r="XP94" s="412"/>
      <c r="XQ94" s="412"/>
      <c r="XR94" s="412"/>
      <c r="XS94" s="412"/>
      <c r="XT94" s="412"/>
      <c r="XU94" s="412"/>
      <c r="XV94" s="412"/>
      <c r="XW94" s="412"/>
      <c r="XX94" s="412"/>
      <c r="XY94" s="412"/>
      <c r="XZ94" s="412"/>
      <c r="YA94" s="412"/>
      <c r="YB94" s="412"/>
      <c r="YC94" s="412"/>
      <c r="YD94" s="412"/>
      <c r="YE94" s="412"/>
      <c r="YF94" s="412"/>
      <c r="YG94" s="412"/>
      <c r="YH94" s="412"/>
      <c r="YI94" s="412"/>
      <c r="YJ94" s="412"/>
      <c r="YK94" s="412"/>
      <c r="YL94" s="412"/>
      <c r="YM94" s="412"/>
      <c r="YN94" s="412"/>
      <c r="YO94" s="412"/>
      <c r="YP94" s="412"/>
      <c r="YQ94" s="412"/>
      <c r="YR94" s="412"/>
      <c r="YS94" s="412"/>
      <c r="YT94" s="412"/>
      <c r="YU94" s="412"/>
      <c r="YV94" s="412"/>
      <c r="YW94" s="412"/>
      <c r="YX94" s="412"/>
      <c r="YY94" s="412"/>
      <c r="YZ94" s="412"/>
      <c r="ZA94" s="412"/>
      <c r="ZB94" s="412"/>
      <c r="ZC94" s="412"/>
      <c r="ZD94" s="412"/>
      <c r="ZE94" s="412"/>
      <c r="ZF94" s="412"/>
      <c r="ZG94" s="412"/>
      <c r="ZH94" s="412"/>
      <c r="ZI94" s="412"/>
      <c r="ZJ94" s="412"/>
      <c r="ZK94" s="412"/>
      <c r="ZL94" s="412"/>
      <c r="ZM94" s="412"/>
      <c r="ZN94" s="412"/>
      <c r="ZO94" s="412"/>
      <c r="ZP94" s="412"/>
      <c r="ZQ94" s="412"/>
      <c r="ZR94" s="412"/>
      <c r="ZS94" s="412"/>
      <c r="ZT94" s="412"/>
      <c r="ZU94" s="412"/>
      <c r="ZV94" s="412"/>
      <c r="ZW94" s="412"/>
      <c r="ZX94" s="412"/>
      <c r="ZY94" s="412"/>
      <c r="ZZ94" s="412"/>
      <c r="AAA94" s="412"/>
      <c r="AAB94" s="412"/>
      <c r="AAC94" s="412"/>
      <c r="AAD94" s="412"/>
      <c r="AAE94" s="412"/>
      <c r="AAF94" s="412"/>
      <c r="AAG94" s="412"/>
      <c r="AAH94" s="412"/>
      <c r="AAI94" s="412"/>
      <c r="AAJ94" s="412"/>
      <c r="AAK94" s="412"/>
      <c r="AAL94" s="412"/>
      <c r="AAM94" s="412"/>
      <c r="AAN94" s="412"/>
      <c r="AAO94" s="412"/>
      <c r="AAP94" s="412"/>
      <c r="AAQ94" s="412"/>
      <c r="AAR94" s="412"/>
      <c r="AAS94" s="412"/>
      <c r="AAT94" s="412"/>
      <c r="AAU94" s="412"/>
      <c r="AAV94" s="412"/>
      <c r="AAW94" s="412"/>
      <c r="AAX94" s="412"/>
      <c r="AAY94" s="412"/>
      <c r="AAZ94" s="412"/>
      <c r="ABA94" s="412"/>
      <c r="ABB94" s="412"/>
      <c r="ABC94" s="412"/>
      <c r="ABD94" s="412"/>
      <c r="ABE94" s="412"/>
      <c r="ABF94" s="412"/>
      <c r="ABG94" s="412"/>
      <c r="ABH94" s="412"/>
      <c r="ABI94" s="412"/>
      <c r="ABJ94" s="412"/>
      <c r="ABK94" s="412"/>
      <c r="ABL94" s="412"/>
      <c r="ABM94" s="412"/>
      <c r="ABN94" s="412"/>
      <c r="ABO94" s="412"/>
      <c r="ABP94" s="412"/>
      <c r="ABQ94" s="412"/>
      <c r="ABR94" s="412"/>
      <c r="ABS94" s="412"/>
      <c r="ABT94" s="412"/>
      <c r="ABU94" s="412"/>
      <c r="ABV94" s="412"/>
      <c r="ABW94" s="412"/>
      <c r="ABX94" s="412"/>
      <c r="ABY94" s="412"/>
      <c r="ABZ94" s="412"/>
      <c r="ACA94" s="412"/>
      <c r="ACB94" s="412"/>
      <c r="ACC94" s="412"/>
      <c r="ACD94" s="412"/>
      <c r="ACE94" s="412"/>
      <c r="ACF94" s="412"/>
      <c r="ACG94" s="412"/>
      <c r="ACH94" s="412"/>
      <c r="ACI94" s="412"/>
      <c r="ACJ94" s="412"/>
      <c r="ACK94" s="412"/>
      <c r="ACL94" s="412"/>
      <c r="ACM94" s="412"/>
      <c r="ACN94" s="412"/>
      <c r="ACO94" s="412"/>
      <c r="ACP94" s="412"/>
      <c r="ACQ94" s="412"/>
      <c r="ACR94" s="412"/>
      <c r="ACS94" s="412"/>
      <c r="ACT94" s="412"/>
      <c r="ACU94" s="412"/>
      <c r="ACV94" s="412"/>
      <c r="ACW94" s="412"/>
      <c r="ACX94" s="412"/>
      <c r="ACY94" s="412"/>
      <c r="ACZ94" s="412"/>
      <c r="ADA94" s="412"/>
      <c r="ADB94" s="412"/>
      <c r="ADC94" s="412"/>
      <c r="ADD94" s="412"/>
      <c r="ADE94" s="412"/>
      <c r="ADF94" s="412"/>
      <c r="ADG94" s="412"/>
      <c r="ADH94" s="412"/>
      <c r="ADI94" s="412"/>
      <c r="ADJ94" s="412"/>
      <c r="ADK94" s="412"/>
      <c r="ADL94" s="412"/>
      <c r="ADM94" s="412"/>
      <c r="ADN94" s="412"/>
      <c r="ADO94" s="412"/>
      <c r="ADP94" s="412"/>
      <c r="ADQ94" s="412"/>
      <c r="ADR94" s="412"/>
      <c r="ADS94" s="412"/>
      <c r="ADT94" s="412"/>
      <c r="ADU94" s="412"/>
      <c r="ADV94" s="412"/>
      <c r="ADW94" s="412"/>
      <c r="ADX94" s="412"/>
      <c r="ADY94" s="412"/>
      <c r="ADZ94" s="412"/>
      <c r="AEA94" s="412"/>
      <c r="AEB94" s="412"/>
      <c r="AEC94" s="412"/>
      <c r="AED94" s="412"/>
      <c r="AEE94" s="412"/>
      <c r="AEF94" s="412"/>
      <c r="AEG94" s="412"/>
      <c r="AEH94" s="412"/>
      <c r="AEI94" s="412"/>
      <c r="AEJ94" s="412"/>
      <c r="AEK94" s="412"/>
      <c r="AEL94" s="412"/>
      <c r="AEM94" s="412"/>
      <c r="AEN94" s="412"/>
      <c r="AEO94" s="412"/>
      <c r="AEP94" s="412"/>
      <c r="AEQ94" s="412"/>
      <c r="AER94" s="412"/>
      <c r="AES94" s="412"/>
      <c r="AET94" s="412"/>
      <c r="AEU94" s="412"/>
      <c r="AEV94" s="412"/>
      <c r="AEW94" s="412"/>
      <c r="AEX94" s="412"/>
      <c r="AEY94" s="412"/>
      <c r="AEZ94" s="412"/>
      <c r="AFA94" s="412"/>
      <c r="AFB94" s="412"/>
      <c r="AFC94" s="412"/>
      <c r="AFD94" s="412"/>
      <c r="AFE94" s="412"/>
      <c r="AFF94" s="412"/>
      <c r="AFG94" s="412"/>
      <c r="AFH94" s="412"/>
      <c r="AFI94" s="412"/>
      <c r="AFJ94" s="412"/>
      <c r="AFK94" s="412"/>
      <c r="AFL94" s="412"/>
      <c r="AFM94" s="412"/>
      <c r="AFN94" s="412"/>
      <c r="AFO94" s="412"/>
      <c r="AFP94" s="412"/>
      <c r="AFQ94" s="412"/>
      <c r="AFR94" s="412"/>
      <c r="AFS94" s="412"/>
      <c r="AFT94" s="412"/>
      <c r="AFU94" s="412"/>
      <c r="AFV94" s="412"/>
      <c r="AFW94" s="412"/>
      <c r="AFX94" s="412"/>
      <c r="AFY94" s="412"/>
      <c r="AFZ94" s="412"/>
      <c r="AGA94" s="412"/>
      <c r="AGB94" s="412"/>
      <c r="AGC94" s="412"/>
      <c r="AGD94" s="412"/>
      <c r="AGE94" s="412"/>
      <c r="AGF94" s="412"/>
      <c r="AGG94" s="412"/>
      <c r="AGH94" s="412"/>
      <c r="AGI94" s="412"/>
      <c r="AGJ94" s="412"/>
      <c r="AGK94" s="412"/>
      <c r="AGL94" s="412"/>
      <c r="AGM94" s="412"/>
      <c r="AGN94" s="412"/>
      <c r="AGO94" s="412"/>
      <c r="AGP94" s="412"/>
      <c r="AGQ94" s="412"/>
      <c r="AGR94" s="412"/>
      <c r="AGS94" s="412"/>
      <c r="AGT94" s="412"/>
      <c r="AGU94" s="412"/>
      <c r="AGV94" s="412"/>
      <c r="AGW94" s="412"/>
      <c r="AGX94" s="412"/>
      <c r="AGY94" s="412"/>
      <c r="AGZ94" s="412"/>
      <c r="AHA94" s="412"/>
      <c r="AHB94" s="412"/>
      <c r="AHC94" s="412"/>
      <c r="AHD94" s="412"/>
      <c r="AHE94" s="412"/>
      <c r="AHF94" s="412"/>
      <c r="AHG94" s="412"/>
      <c r="AHH94" s="412"/>
      <c r="AHI94" s="412"/>
      <c r="AHJ94" s="412"/>
      <c r="AHK94" s="412"/>
      <c r="AHL94" s="412"/>
      <c r="AHM94" s="412"/>
      <c r="AHN94" s="412"/>
      <c r="AHO94" s="412"/>
      <c r="AHP94" s="412"/>
      <c r="AHQ94" s="412"/>
      <c r="AHR94" s="412"/>
      <c r="AHS94" s="412"/>
      <c r="AHT94" s="412"/>
      <c r="AHU94" s="412"/>
      <c r="AHV94" s="412"/>
      <c r="AHW94" s="412"/>
      <c r="AHX94" s="412"/>
      <c r="AHY94" s="412"/>
      <c r="AHZ94" s="412"/>
      <c r="AIA94" s="412"/>
      <c r="AIB94" s="412"/>
      <c r="AIC94" s="412"/>
      <c r="AID94" s="412"/>
      <c r="AIE94" s="412"/>
      <c r="AIF94" s="412"/>
      <c r="AIG94" s="412"/>
      <c r="AIH94" s="412"/>
      <c r="AII94" s="412"/>
      <c r="AIJ94" s="412"/>
      <c r="AIK94" s="412"/>
      <c r="AIL94" s="412"/>
      <c r="AIM94" s="412"/>
      <c r="AIN94" s="412"/>
      <c r="AIO94" s="412"/>
      <c r="AIP94" s="412"/>
      <c r="AIQ94" s="412"/>
      <c r="AIR94" s="412"/>
      <c r="AIS94" s="412"/>
      <c r="AIT94" s="412"/>
      <c r="AIU94" s="412"/>
      <c r="AIV94" s="412"/>
      <c r="AIW94" s="412"/>
      <c r="AIX94" s="412"/>
      <c r="AIY94" s="412"/>
      <c r="AIZ94" s="412"/>
      <c r="AJA94" s="412"/>
      <c r="AJB94" s="412"/>
      <c r="AJC94" s="412"/>
      <c r="AJD94" s="412"/>
      <c r="AJE94" s="412"/>
      <c r="AJF94" s="412"/>
      <c r="AJG94" s="412"/>
      <c r="AJH94" s="412"/>
      <c r="AJI94" s="412"/>
      <c r="AJJ94" s="412"/>
      <c r="AJK94" s="412"/>
      <c r="AJL94" s="412"/>
      <c r="AJM94" s="412"/>
      <c r="AJN94" s="412"/>
      <c r="AJO94" s="412"/>
      <c r="AJP94" s="412"/>
      <c r="AJQ94" s="412"/>
      <c r="AJR94" s="412"/>
      <c r="AJS94" s="412"/>
      <c r="AJT94" s="412"/>
      <c r="AJU94" s="412"/>
      <c r="AJV94" s="412"/>
      <c r="AJW94" s="412"/>
      <c r="AJX94" s="412"/>
      <c r="AJY94" s="412"/>
      <c r="AJZ94" s="412"/>
      <c r="AKA94" s="412"/>
      <c r="AKB94" s="412"/>
      <c r="AKC94" s="412"/>
      <c r="AKD94" s="412"/>
      <c r="AKE94" s="412"/>
      <c r="AKF94" s="412"/>
      <c r="AKG94" s="412"/>
      <c r="AKH94" s="412"/>
      <c r="AKI94" s="412"/>
      <c r="AKJ94" s="412"/>
      <c r="AKK94" s="412"/>
      <c r="AKL94" s="412"/>
      <c r="AKM94" s="412"/>
      <c r="AKN94" s="412"/>
      <c r="AKO94" s="412"/>
      <c r="AKP94" s="412"/>
      <c r="AKQ94" s="412"/>
      <c r="AKR94" s="412"/>
      <c r="AKS94" s="412"/>
      <c r="AKT94" s="412"/>
      <c r="AKU94" s="412"/>
      <c r="AKV94" s="412"/>
      <c r="AKW94" s="412"/>
      <c r="AKX94" s="412"/>
      <c r="AKY94" s="412"/>
      <c r="AKZ94" s="412"/>
      <c r="ALA94" s="412"/>
      <c r="ALB94" s="412"/>
      <c r="ALC94" s="412"/>
      <c r="ALD94" s="412"/>
      <c r="ALE94" s="412"/>
      <c r="ALF94" s="412"/>
      <c r="ALG94" s="412"/>
      <c r="ALH94" s="412"/>
      <c r="ALI94" s="412"/>
      <c r="ALJ94" s="412"/>
      <c r="ALK94" s="412"/>
      <c r="ALL94" s="412"/>
      <c r="ALM94" s="412"/>
      <c r="ALN94" s="412"/>
      <c r="ALO94" s="412"/>
      <c r="ALP94" s="412"/>
      <c r="ALQ94" s="412"/>
      <c r="ALR94" s="412"/>
      <c r="ALS94" s="412"/>
      <c r="ALT94" s="412"/>
      <c r="ALU94" s="412"/>
      <c r="ALV94" s="412"/>
      <c r="ALW94" s="412"/>
      <c r="ALX94" s="412"/>
      <c r="ALY94" s="412"/>
      <c r="ALZ94" s="412"/>
      <c r="AMA94" s="412"/>
      <c r="AMB94" s="412"/>
      <c r="AMC94" s="412"/>
      <c r="AMD94" s="412"/>
      <c r="AME94" s="412"/>
      <c r="AMF94" s="412"/>
      <c r="AMG94" s="412"/>
      <c r="AMH94" s="412"/>
      <c r="AMI94" s="412"/>
      <c r="AMJ94" s="412"/>
      <c r="AMK94" s="412"/>
      <c r="AML94" s="412"/>
      <c r="AMM94" s="412"/>
      <c r="AMN94" s="412"/>
      <c r="AMO94" s="412"/>
      <c r="AMP94" s="412"/>
      <c r="AMQ94" s="412"/>
      <c r="AMR94" s="412"/>
      <c r="AMS94" s="412"/>
      <c r="AMT94" s="412"/>
      <c r="AMU94" s="412"/>
      <c r="AMV94" s="412"/>
      <c r="AMW94" s="412"/>
      <c r="AMX94" s="412"/>
      <c r="AMY94" s="412"/>
      <c r="AMZ94" s="412"/>
      <c r="ANA94" s="412"/>
      <c r="ANB94" s="412"/>
      <c r="ANC94" s="412"/>
      <c r="AND94" s="412"/>
      <c r="ANE94" s="412"/>
      <c r="ANF94" s="412"/>
      <c r="ANG94" s="412"/>
      <c r="ANH94" s="412"/>
      <c r="ANI94" s="412"/>
      <c r="ANJ94" s="412"/>
      <c r="ANK94" s="412"/>
      <c r="ANL94" s="412"/>
      <c r="ANM94" s="412"/>
      <c r="ANN94" s="412"/>
      <c r="ANO94" s="412"/>
      <c r="ANP94" s="412"/>
      <c r="ANQ94" s="412"/>
      <c r="ANR94" s="412"/>
      <c r="ANS94" s="412"/>
      <c r="ANT94" s="412"/>
      <c r="ANU94" s="412"/>
      <c r="ANV94" s="412"/>
      <c r="ANW94" s="412"/>
      <c r="ANX94" s="412"/>
      <c r="ANY94" s="412"/>
      <c r="ANZ94" s="412"/>
      <c r="AOA94" s="412"/>
      <c r="AOB94" s="412"/>
      <c r="AOC94" s="412"/>
      <c r="AOD94" s="412"/>
      <c r="AOE94" s="412"/>
      <c r="AOF94" s="412"/>
      <c r="AOG94" s="412"/>
      <c r="AOH94" s="412"/>
      <c r="AOI94" s="412"/>
      <c r="AOJ94" s="412"/>
      <c r="AOK94" s="412"/>
      <c r="AOL94" s="412"/>
      <c r="AOM94" s="412"/>
      <c r="AON94" s="412"/>
      <c r="AOO94" s="412"/>
      <c r="AOP94" s="412"/>
      <c r="AOQ94" s="412"/>
      <c r="AOR94" s="412"/>
      <c r="AOS94" s="412"/>
      <c r="AOT94" s="412"/>
      <c r="AOU94" s="412"/>
      <c r="AOV94" s="412"/>
      <c r="AOW94" s="412"/>
      <c r="AOX94" s="412"/>
      <c r="AOY94" s="412"/>
      <c r="AOZ94" s="412"/>
      <c r="APA94" s="412"/>
      <c r="APB94" s="412"/>
      <c r="APC94" s="412"/>
      <c r="APD94" s="412"/>
      <c r="APE94" s="412"/>
      <c r="APF94" s="412"/>
      <c r="APG94" s="412"/>
      <c r="APH94" s="412"/>
      <c r="API94" s="412"/>
      <c r="APJ94" s="412"/>
      <c r="APK94" s="412"/>
      <c r="APL94" s="412"/>
      <c r="APM94" s="412"/>
      <c r="APN94" s="412"/>
      <c r="APO94" s="412"/>
      <c r="APP94" s="412"/>
      <c r="APQ94" s="412"/>
      <c r="APR94" s="412"/>
      <c r="APS94" s="412"/>
      <c r="APT94" s="412"/>
      <c r="APU94" s="412"/>
      <c r="APV94" s="412"/>
      <c r="APW94" s="412"/>
      <c r="APX94" s="412"/>
      <c r="APY94" s="412"/>
      <c r="APZ94" s="412"/>
      <c r="AQA94" s="412"/>
      <c r="AQB94" s="412"/>
      <c r="AQC94" s="412"/>
      <c r="AQD94" s="412"/>
      <c r="AQE94" s="412"/>
      <c r="AQF94" s="412"/>
      <c r="AQG94" s="412"/>
      <c r="AQH94" s="412"/>
      <c r="AQI94" s="412"/>
      <c r="AQJ94" s="412"/>
      <c r="AQK94" s="412"/>
      <c r="AQL94" s="412"/>
      <c r="AQM94" s="412"/>
      <c r="AQN94" s="412"/>
      <c r="AQO94" s="412"/>
      <c r="AQP94" s="412"/>
      <c r="AQQ94" s="412"/>
      <c r="AQR94" s="412"/>
      <c r="AQS94" s="412"/>
      <c r="AQT94" s="412"/>
      <c r="AQU94" s="412"/>
      <c r="AQV94" s="412"/>
      <c r="AQW94" s="412"/>
      <c r="AQX94" s="412"/>
      <c r="AQY94" s="412"/>
      <c r="AQZ94" s="412"/>
      <c r="ARA94" s="412"/>
      <c r="ARB94" s="412"/>
      <c r="ARC94" s="412"/>
      <c r="ARD94" s="412"/>
      <c r="ARE94" s="412"/>
      <c r="ARF94" s="412"/>
      <c r="ARG94" s="412"/>
      <c r="ARH94" s="412"/>
      <c r="ARI94" s="412"/>
      <c r="ARJ94" s="412"/>
      <c r="ARK94" s="412"/>
      <c r="ARL94" s="412"/>
      <c r="ARM94" s="412"/>
      <c r="ARN94" s="412"/>
      <c r="ARO94" s="412"/>
      <c r="ARP94" s="412"/>
      <c r="ARQ94" s="412"/>
      <c r="ARR94" s="412"/>
      <c r="ARS94" s="412"/>
      <c r="ART94" s="412"/>
      <c r="ARU94" s="412"/>
      <c r="ARV94" s="412"/>
      <c r="ARW94" s="412"/>
      <c r="ARX94" s="412"/>
      <c r="ARY94" s="412"/>
      <c r="ARZ94" s="412"/>
      <c r="ASA94" s="412"/>
      <c r="ASB94" s="412"/>
      <c r="ASC94" s="412"/>
      <c r="ASD94" s="412"/>
      <c r="ASE94" s="412"/>
      <c r="ASF94" s="412"/>
      <c r="ASG94" s="412"/>
      <c r="ASH94" s="412"/>
      <c r="ASI94" s="412"/>
      <c r="ASJ94" s="412"/>
      <c r="ASK94" s="412"/>
      <c r="ASL94" s="412"/>
      <c r="ASM94" s="412"/>
      <c r="ASN94" s="412"/>
      <c r="ASO94" s="412"/>
      <c r="ASP94" s="412"/>
      <c r="ASQ94" s="412"/>
      <c r="ASR94" s="412"/>
      <c r="ASS94" s="412"/>
      <c r="AST94" s="412"/>
      <c r="ASU94" s="412"/>
      <c r="ASV94" s="412"/>
      <c r="ASW94" s="412"/>
      <c r="ASX94" s="412"/>
      <c r="ASY94" s="412"/>
      <c r="ASZ94" s="412"/>
      <c r="ATA94" s="412"/>
      <c r="ATB94" s="412"/>
      <c r="ATC94" s="412"/>
      <c r="ATD94" s="412"/>
      <c r="ATE94" s="412"/>
      <c r="ATF94" s="412"/>
      <c r="ATG94" s="412"/>
      <c r="ATH94" s="412"/>
      <c r="ATI94" s="412"/>
      <c r="ATJ94" s="412"/>
      <c r="ATK94" s="412"/>
      <c r="ATL94" s="412"/>
      <c r="ATM94" s="412"/>
      <c r="ATN94" s="412"/>
      <c r="ATO94" s="412"/>
      <c r="ATP94" s="412"/>
      <c r="ATQ94" s="412"/>
      <c r="ATR94" s="412"/>
      <c r="ATS94" s="412"/>
      <c r="ATT94" s="412"/>
      <c r="ATU94" s="412"/>
      <c r="ATV94" s="412"/>
      <c r="ATW94" s="412"/>
      <c r="ATX94" s="412"/>
      <c r="ATY94" s="412"/>
      <c r="ATZ94" s="412"/>
      <c r="AUA94" s="412"/>
      <c r="AUB94" s="412"/>
      <c r="AUC94" s="412"/>
      <c r="AUD94" s="412"/>
      <c r="AUE94" s="412"/>
      <c r="AUF94" s="412"/>
      <c r="AUG94" s="412"/>
      <c r="AUH94" s="412"/>
      <c r="AUI94" s="412"/>
      <c r="AUJ94" s="412"/>
      <c r="AUK94" s="412"/>
      <c r="AUL94" s="412"/>
      <c r="AUM94" s="412"/>
      <c r="AUN94" s="412"/>
      <c r="AUO94" s="412"/>
      <c r="AUP94" s="412"/>
      <c r="AUQ94" s="412"/>
      <c r="AUR94" s="412"/>
      <c r="AUS94" s="412"/>
      <c r="AUT94" s="412"/>
      <c r="AUU94" s="412"/>
      <c r="AUV94" s="412"/>
      <c r="AUW94" s="412"/>
      <c r="AUX94" s="412"/>
      <c r="AUY94" s="412"/>
      <c r="AUZ94" s="412"/>
      <c r="AVA94" s="412"/>
      <c r="AVB94" s="412"/>
      <c r="AVC94" s="412"/>
      <c r="AVD94" s="412"/>
      <c r="AVE94" s="412"/>
      <c r="AVF94" s="412"/>
      <c r="AVG94" s="412"/>
      <c r="AVH94" s="412"/>
      <c r="AVI94" s="412"/>
      <c r="AVJ94" s="412"/>
      <c r="AVK94" s="412"/>
      <c r="AVL94" s="412"/>
      <c r="AVM94" s="412"/>
      <c r="AVN94" s="412"/>
      <c r="AVO94" s="412"/>
      <c r="AVP94" s="412"/>
      <c r="AVQ94" s="412"/>
      <c r="AVR94" s="412"/>
      <c r="AVS94" s="412"/>
      <c r="AVT94" s="412"/>
      <c r="AVU94" s="412"/>
      <c r="AVV94" s="412"/>
      <c r="AVW94" s="412"/>
      <c r="AVX94" s="412"/>
      <c r="AVY94" s="412"/>
      <c r="AVZ94" s="412"/>
      <c r="AWA94" s="412"/>
      <c r="AWB94" s="412"/>
      <c r="AWC94" s="412"/>
      <c r="AWD94" s="412"/>
      <c r="AWE94" s="412"/>
      <c r="AWF94" s="412"/>
      <c r="AWG94" s="412"/>
      <c r="AWH94" s="412"/>
      <c r="AWI94" s="412"/>
      <c r="AWJ94" s="412"/>
      <c r="AWK94" s="412"/>
      <c r="AWL94" s="412"/>
      <c r="AWM94" s="412"/>
      <c r="AWN94" s="412"/>
      <c r="AWO94" s="412"/>
      <c r="AWP94" s="412"/>
      <c r="AWQ94" s="412"/>
      <c r="AWR94" s="412"/>
      <c r="AWS94" s="412"/>
      <c r="AWT94" s="412"/>
      <c r="AWU94" s="412"/>
      <c r="AWV94" s="412"/>
      <c r="AWW94" s="412"/>
      <c r="AWX94" s="412"/>
      <c r="AWY94" s="412"/>
      <c r="AWZ94" s="412"/>
      <c r="AXA94" s="412"/>
      <c r="AXB94" s="412"/>
      <c r="AXC94" s="412"/>
      <c r="AXD94" s="412"/>
      <c r="AXE94" s="412"/>
      <c r="AXF94" s="412"/>
      <c r="AXG94" s="412"/>
      <c r="AXH94" s="412"/>
      <c r="AXI94" s="412"/>
      <c r="AXJ94" s="412"/>
      <c r="AXK94" s="412"/>
      <c r="AXL94" s="412"/>
      <c r="AXM94" s="412"/>
      <c r="AXN94" s="412"/>
      <c r="AXO94" s="412"/>
      <c r="AXP94" s="412"/>
      <c r="AXQ94" s="412"/>
      <c r="AXR94" s="412"/>
      <c r="AXS94" s="412"/>
      <c r="AXT94" s="412"/>
      <c r="AXU94" s="412"/>
      <c r="AXV94" s="412"/>
      <c r="AXW94" s="412"/>
      <c r="AXX94" s="412"/>
      <c r="AXY94" s="412"/>
      <c r="AXZ94" s="412"/>
      <c r="AYA94" s="412"/>
      <c r="AYB94" s="412"/>
      <c r="AYC94" s="412"/>
      <c r="AYD94" s="412"/>
      <c r="AYE94" s="412"/>
      <c r="AYF94" s="412"/>
      <c r="AYG94" s="412"/>
      <c r="AYH94" s="412"/>
      <c r="AYI94" s="412"/>
      <c r="AYJ94" s="412"/>
      <c r="AYK94" s="412"/>
      <c r="AYL94" s="412"/>
      <c r="AYM94" s="412"/>
      <c r="AYN94" s="412"/>
      <c r="AYO94" s="412"/>
      <c r="AYP94" s="412"/>
      <c r="AYQ94" s="412"/>
      <c r="AYR94" s="412"/>
      <c r="AYS94" s="412"/>
      <c r="AYT94" s="412"/>
      <c r="AYU94" s="412"/>
      <c r="AYV94" s="412"/>
      <c r="AYW94" s="412"/>
      <c r="AYX94" s="412"/>
      <c r="AYY94" s="412"/>
      <c r="AYZ94" s="412"/>
      <c r="AZA94" s="412"/>
      <c r="AZB94" s="412"/>
      <c r="AZC94" s="412"/>
      <c r="AZD94" s="412"/>
      <c r="AZE94" s="412"/>
      <c r="AZF94" s="412"/>
      <c r="AZG94" s="412"/>
      <c r="AZH94" s="412"/>
      <c r="AZI94" s="412"/>
      <c r="AZJ94" s="412"/>
      <c r="AZK94" s="412"/>
      <c r="AZL94" s="412"/>
      <c r="AZM94" s="412"/>
      <c r="AZN94" s="412"/>
      <c r="AZO94" s="412"/>
      <c r="AZP94" s="412"/>
      <c r="AZQ94" s="412"/>
      <c r="AZR94" s="412"/>
      <c r="AZS94" s="412"/>
      <c r="AZT94" s="412"/>
      <c r="AZU94" s="412"/>
      <c r="AZV94" s="412"/>
      <c r="AZW94" s="412"/>
      <c r="AZX94" s="412"/>
      <c r="AZY94" s="412"/>
      <c r="AZZ94" s="412"/>
      <c r="BAA94" s="412"/>
      <c r="BAB94" s="412"/>
      <c r="BAC94" s="412"/>
      <c r="BAD94" s="412"/>
      <c r="BAE94" s="412"/>
      <c r="BAF94" s="412"/>
      <c r="BAG94" s="412"/>
      <c r="BAH94" s="412"/>
      <c r="BAI94" s="412"/>
      <c r="BAJ94" s="412"/>
      <c r="BAK94" s="412"/>
      <c r="BAL94" s="412"/>
      <c r="BAM94" s="412"/>
      <c r="BAN94" s="412"/>
      <c r="BAO94" s="412"/>
      <c r="BAP94" s="412"/>
      <c r="BAQ94" s="412"/>
      <c r="BAR94" s="412"/>
      <c r="BAS94" s="412"/>
      <c r="BAT94" s="412"/>
      <c r="BAU94" s="412"/>
      <c r="BAV94" s="412"/>
      <c r="BAW94" s="412"/>
      <c r="BAX94" s="412"/>
      <c r="BAY94" s="412"/>
      <c r="BAZ94" s="412"/>
      <c r="BBA94" s="412"/>
      <c r="BBB94" s="412"/>
      <c r="BBC94" s="412"/>
      <c r="BBD94" s="412"/>
      <c r="BBE94" s="412"/>
      <c r="BBF94" s="412"/>
      <c r="BBG94" s="412"/>
      <c r="BBH94" s="412"/>
      <c r="BBI94" s="412"/>
      <c r="BBJ94" s="412"/>
      <c r="BBK94" s="412"/>
      <c r="BBL94" s="412"/>
      <c r="BBM94" s="412"/>
      <c r="BBN94" s="412"/>
      <c r="BBO94" s="412"/>
      <c r="BBP94" s="412"/>
      <c r="BBQ94" s="412"/>
      <c r="BBR94" s="412"/>
      <c r="BBS94" s="412"/>
      <c r="BBT94" s="412"/>
      <c r="BBU94" s="412"/>
      <c r="BBV94" s="412"/>
      <c r="BBW94" s="412"/>
      <c r="BBX94" s="412"/>
      <c r="BBY94" s="412"/>
      <c r="BBZ94" s="412"/>
      <c r="BCA94" s="412"/>
      <c r="BCB94" s="412"/>
      <c r="BCC94" s="412"/>
      <c r="BCD94" s="412"/>
      <c r="BCE94" s="412"/>
      <c r="BCF94" s="412"/>
      <c r="BCG94" s="412"/>
      <c r="BCH94" s="412"/>
      <c r="BCI94" s="412"/>
      <c r="BCJ94" s="412"/>
      <c r="BCK94" s="412"/>
      <c r="BCL94" s="412"/>
      <c r="BCM94" s="412"/>
      <c r="BCN94" s="412"/>
      <c r="BCO94" s="412"/>
      <c r="BCP94" s="412"/>
      <c r="BCQ94" s="412"/>
      <c r="BCR94" s="412"/>
      <c r="BCS94" s="412"/>
      <c r="BCT94" s="412"/>
      <c r="BCU94" s="412"/>
      <c r="BCV94" s="412"/>
      <c r="BCW94" s="412"/>
      <c r="BCX94" s="412"/>
      <c r="BCY94" s="412"/>
      <c r="BCZ94" s="412"/>
      <c r="BDA94" s="412"/>
      <c r="BDB94" s="412"/>
      <c r="BDC94" s="412"/>
      <c r="BDD94" s="412"/>
      <c r="BDE94" s="412"/>
      <c r="BDF94" s="412"/>
      <c r="BDG94" s="412"/>
      <c r="BDH94" s="412"/>
      <c r="BDI94" s="412"/>
      <c r="BDJ94" s="412"/>
      <c r="BDK94" s="412"/>
      <c r="BDL94" s="412"/>
      <c r="BDM94" s="412"/>
      <c r="BDN94" s="412"/>
      <c r="BDO94" s="412"/>
      <c r="BDP94" s="412"/>
      <c r="BDQ94" s="412"/>
      <c r="BDR94" s="412"/>
      <c r="BDS94" s="412"/>
      <c r="BDT94" s="412"/>
      <c r="BDU94" s="412"/>
      <c r="BDV94" s="412"/>
      <c r="BDW94" s="412"/>
      <c r="BDX94" s="412"/>
      <c r="BDY94" s="412"/>
      <c r="BDZ94" s="412"/>
      <c r="BEA94" s="412"/>
      <c r="BEB94" s="412"/>
      <c r="BEC94" s="412"/>
      <c r="BED94" s="412"/>
      <c r="BEE94" s="412"/>
      <c r="BEF94" s="412"/>
      <c r="BEG94" s="412"/>
      <c r="BEH94" s="412"/>
      <c r="BEI94" s="412"/>
      <c r="BEJ94" s="412"/>
      <c r="BEK94" s="412"/>
      <c r="BEL94" s="412"/>
      <c r="BEM94" s="412"/>
      <c r="BEN94" s="412"/>
      <c r="BEO94" s="412"/>
      <c r="BEP94" s="412"/>
      <c r="BEQ94" s="412"/>
      <c r="BER94" s="412"/>
      <c r="BES94" s="412"/>
      <c r="BET94" s="412"/>
      <c r="BEU94" s="412"/>
      <c r="BEV94" s="412"/>
      <c r="BEW94" s="412"/>
      <c r="BEX94" s="412"/>
      <c r="BEY94" s="412"/>
      <c r="BEZ94" s="412"/>
      <c r="BFA94" s="412"/>
      <c r="BFB94" s="412"/>
      <c r="BFC94" s="412"/>
      <c r="BFD94" s="412"/>
      <c r="BFE94" s="412"/>
      <c r="BFF94" s="412"/>
      <c r="BFG94" s="412"/>
      <c r="BFH94" s="412"/>
      <c r="BFI94" s="412"/>
      <c r="BFJ94" s="412"/>
      <c r="BFK94" s="412"/>
      <c r="BFL94" s="412"/>
      <c r="BFM94" s="412"/>
      <c r="BFN94" s="412"/>
      <c r="BFO94" s="412"/>
      <c r="BFP94" s="412"/>
      <c r="BFQ94" s="412"/>
      <c r="BFR94" s="412"/>
      <c r="BFS94" s="412"/>
      <c r="BFT94" s="412"/>
      <c r="BFU94" s="412"/>
      <c r="BFV94" s="412"/>
      <c r="BFW94" s="412"/>
      <c r="BFX94" s="412"/>
      <c r="BFY94" s="412"/>
      <c r="BFZ94" s="412"/>
      <c r="BGA94" s="412"/>
      <c r="BGB94" s="412"/>
      <c r="BGC94" s="412"/>
      <c r="BGD94" s="412"/>
      <c r="BGE94" s="412"/>
      <c r="BGF94" s="412"/>
      <c r="BGG94" s="412"/>
      <c r="BGH94" s="412"/>
      <c r="BGI94" s="412"/>
      <c r="BGJ94" s="412"/>
      <c r="BGK94" s="412"/>
      <c r="BGL94" s="412"/>
      <c r="BGM94" s="412"/>
      <c r="BGN94" s="412"/>
      <c r="BGO94" s="412"/>
      <c r="BGP94" s="412"/>
      <c r="BGQ94" s="412"/>
      <c r="BGR94" s="412"/>
      <c r="BGS94" s="412"/>
      <c r="BGT94" s="412"/>
      <c r="BGU94" s="412"/>
      <c r="BGV94" s="412"/>
      <c r="BGW94" s="412"/>
      <c r="BGX94" s="412"/>
      <c r="BGY94" s="412"/>
      <c r="BGZ94" s="412"/>
      <c r="BHA94" s="412"/>
      <c r="BHB94" s="412"/>
      <c r="BHC94" s="412"/>
      <c r="BHD94" s="412"/>
      <c r="BHE94" s="412"/>
      <c r="BHF94" s="412"/>
      <c r="BHG94" s="412"/>
      <c r="BHH94" s="412"/>
      <c r="BHI94" s="412"/>
      <c r="BHJ94" s="412"/>
      <c r="BHK94" s="412"/>
      <c r="BHL94" s="412"/>
      <c r="BHM94" s="412"/>
      <c r="BHN94" s="412"/>
      <c r="BHO94" s="412"/>
      <c r="BHP94" s="412"/>
      <c r="BHQ94" s="412"/>
      <c r="BHR94" s="412"/>
      <c r="BHS94" s="412"/>
      <c r="BHT94" s="412"/>
      <c r="BHU94" s="412"/>
      <c r="BHV94" s="412"/>
      <c r="BHW94" s="412"/>
      <c r="BHX94" s="412"/>
      <c r="BHY94" s="412"/>
      <c r="BHZ94" s="412"/>
      <c r="BIA94" s="412"/>
      <c r="BIB94" s="412"/>
      <c r="BIC94" s="412"/>
      <c r="BID94" s="412"/>
      <c r="BIE94" s="412"/>
      <c r="BIF94" s="412"/>
      <c r="BIG94" s="412"/>
      <c r="BIH94" s="412"/>
      <c r="BII94" s="412"/>
      <c r="BIJ94" s="412"/>
      <c r="BIK94" s="412"/>
      <c r="BIL94" s="412"/>
      <c r="BIM94" s="412"/>
      <c r="BIN94" s="412"/>
      <c r="BIO94" s="412"/>
      <c r="BIP94" s="412"/>
      <c r="BIQ94" s="412"/>
      <c r="BIR94" s="412"/>
      <c r="BIS94" s="412"/>
      <c r="BIT94" s="412"/>
      <c r="BIU94" s="412"/>
      <c r="BIV94" s="412"/>
      <c r="BIW94" s="412"/>
      <c r="BIX94" s="412"/>
      <c r="BIY94" s="412"/>
      <c r="BIZ94" s="412"/>
      <c r="BJA94" s="412"/>
      <c r="BJB94" s="412"/>
      <c r="BJC94" s="412"/>
      <c r="BJD94" s="412"/>
      <c r="BJE94" s="412"/>
      <c r="BJF94" s="412"/>
      <c r="BJG94" s="412"/>
      <c r="BJH94" s="412"/>
      <c r="BJI94" s="412"/>
      <c r="BJJ94" s="412"/>
      <c r="BJK94" s="412"/>
      <c r="BJL94" s="412"/>
      <c r="BJM94" s="412"/>
      <c r="BJN94" s="412"/>
      <c r="BJO94" s="412"/>
      <c r="BJP94" s="412"/>
      <c r="BJQ94" s="412"/>
      <c r="BJR94" s="412"/>
      <c r="BJS94" s="412"/>
      <c r="BJT94" s="412"/>
      <c r="BJU94" s="412"/>
      <c r="BJV94" s="412"/>
      <c r="BJW94" s="412"/>
      <c r="BJX94" s="412"/>
      <c r="BJY94" s="412"/>
      <c r="BJZ94" s="412"/>
      <c r="BKA94" s="412"/>
      <c r="BKB94" s="412"/>
      <c r="BKC94" s="412"/>
      <c r="BKD94" s="412"/>
      <c r="BKE94" s="412"/>
      <c r="BKF94" s="412"/>
      <c r="BKG94" s="412"/>
      <c r="BKH94" s="412"/>
      <c r="BKI94" s="412"/>
      <c r="BKJ94" s="412"/>
      <c r="BKK94" s="412"/>
      <c r="BKL94" s="412"/>
      <c r="BKM94" s="412"/>
      <c r="BKN94" s="412"/>
      <c r="BKO94" s="412"/>
      <c r="BKP94" s="412"/>
      <c r="BKQ94" s="412"/>
      <c r="BKR94" s="412"/>
      <c r="BKS94" s="412"/>
      <c r="BKT94" s="412"/>
      <c r="BKU94" s="412"/>
      <c r="BKV94" s="412"/>
      <c r="BKW94" s="412"/>
      <c r="BKX94" s="412"/>
      <c r="BKY94" s="412"/>
      <c r="BKZ94" s="412"/>
      <c r="BLA94" s="412"/>
      <c r="BLB94" s="412"/>
      <c r="BLC94" s="412"/>
      <c r="BLD94" s="412"/>
      <c r="BLE94" s="412"/>
      <c r="BLF94" s="412"/>
      <c r="BLG94" s="412"/>
      <c r="BLH94" s="412"/>
      <c r="BLI94" s="412"/>
      <c r="BLJ94" s="412"/>
      <c r="BLK94" s="412"/>
      <c r="BLL94" s="412"/>
      <c r="BLM94" s="412"/>
      <c r="BLN94" s="412"/>
      <c r="BLO94" s="412"/>
      <c r="BLP94" s="412"/>
      <c r="BLQ94" s="412"/>
      <c r="BLR94" s="412"/>
      <c r="BLS94" s="412"/>
      <c r="BLT94" s="412"/>
      <c r="BLU94" s="412"/>
      <c r="BLV94" s="412"/>
      <c r="BLW94" s="412"/>
      <c r="BLX94" s="412"/>
      <c r="BLY94" s="412"/>
      <c r="BLZ94" s="412"/>
      <c r="BMA94" s="412"/>
      <c r="BMB94" s="412"/>
      <c r="BMC94" s="412"/>
      <c r="BMD94" s="412"/>
      <c r="BME94" s="412"/>
      <c r="BMF94" s="412"/>
      <c r="BMG94" s="412"/>
      <c r="BMH94" s="412"/>
      <c r="BMI94" s="412"/>
      <c r="BMJ94" s="412"/>
      <c r="BMK94" s="412"/>
      <c r="BML94" s="412"/>
      <c r="BMM94" s="412"/>
      <c r="BMN94" s="412"/>
      <c r="BMO94" s="412"/>
      <c r="BMP94" s="412"/>
      <c r="BMQ94" s="412"/>
      <c r="BMR94" s="412"/>
      <c r="BMS94" s="412"/>
      <c r="BMT94" s="412"/>
      <c r="BMU94" s="412"/>
      <c r="BMV94" s="412"/>
      <c r="BMW94" s="412"/>
      <c r="BMX94" s="412"/>
      <c r="BMY94" s="412"/>
      <c r="BMZ94" s="412"/>
      <c r="BNA94" s="412"/>
      <c r="BNB94" s="412"/>
      <c r="BNC94" s="412"/>
      <c r="BND94" s="412"/>
      <c r="BNE94" s="412"/>
      <c r="BNF94" s="412"/>
      <c r="BNG94" s="412"/>
      <c r="BNH94" s="412"/>
      <c r="BNI94" s="412"/>
      <c r="BNJ94" s="412"/>
      <c r="BNK94" s="412"/>
      <c r="BNL94" s="412"/>
      <c r="BNM94" s="412"/>
      <c r="BNN94" s="412"/>
      <c r="BNO94" s="412"/>
      <c r="BNP94" s="412"/>
      <c r="BNQ94" s="412"/>
      <c r="BNR94" s="412"/>
      <c r="BNS94" s="412"/>
      <c r="BNT94" s="412"/>
      <c r="BNU94" s="412"/>
      <c r="BNV94" s="412"/>
      <c r="BNW94" s="412"/>
      <c r="BNX94" s="412"/>
      <c r="BNY94" s="412"/>
      <c r="BNZ94" s="412"/>
      <c r="BOA94" s="412"/>
      <c r="BOB94" s="412"/>
      <c r="BOC94" s="412"/>
      <c r="BOD94" s="412"/>
      <c r="BOE94" s="412"/>
      <c r="BOF94" s="412"/>
      <c r="BOG94" s="412"/>
      <c r="BOH94" s="412"/>
      <c r="BOI94" s="412"/>
      <c r="BOJ94" s="412"/>
      <c r="BOK94" s="412"/>
      <c r="BOL94" s="412"/>
      <c r="BOM94" s="412"/>
      <c r="BON94" s="412"/>
      <c r="BOO94" s="412"/>
      <c r="BOP94" s="412"/>
      <c r="BOQ94" s="412"/>
      <c r="BOR94" s="412"/>
      <c r="BOS94" s="412"/>
      <c r="BOT94" s="412"/>
      <c r="BOU94" s="412"/>
      <c r="BOV94" s="412"/>
      <c r="BOW94" s="412"/>
      <c r="BOX94" s="412"/>
      <c r="BOY94" s="412"/>
      <c r="BOZ94" s="412"/>
      <c r="BPA94" s="412"/>
      <c r="BPB94" s="412"/>
      <c r="BPC94" s="412"/>
      <c r="BPD94" s="412"/>
      <c r="BPE94" s="412"/>
      <c r="BPF94" s="412"/>
      <c r="BPG94" s="412"/>
      <c r="BPH94" s="412"/>
      <c r="BPI94" s="412"/>
      <c r="BPJ94" s="412"/>
      <c r="BPK94" s="412"/>
      <c r="BPL94" s="412"/>
      <c r="BPM94" s="412"/>
      <c r="BPN94" s="412"/>
      <c r="BPO94" s="412"/>
      <c r="BPP94" s="412"/>
      <c r="BPQ94" s="412"/>
      <c r="BPR94" s="412"/>
      <c r="BPS94" s="412"/>
      <c r="BPT94" s="412"/>
      <c r="BPU94" s="412"/>
      <c r="BPV94" s="412"/>
      <c r="BPW94" s="412"/>
      <c r="BPX94" s="412"/>
      <c r="BPY94" s="412"/>
      <c r="BPZ94" s="412"/>
      <c r="BQA94" s="412"/>
      <c r="BQB94" s="412"/>
      <c r="BQC94" s="412"/>
      <c r="BQD94" s="412"/>
      <c r="BQE94" s="412"/>
      <c r="BQF94" s="412"/>
      <c r="BQG94" s="412"/>
      <c r="BQH94" s="412"/>
      <c r="BQI94" s="412"/>
      <c r="BQJ94" s="412"/>
      <c r="BQK94" s="412"/>
      <c r="BQL94" s="412"/>
      <c r="BQM94" s="412"/>
      <c r="BQN94" s="412"/>
      <c r="BQO94" s="412"/>
      <c r="BQP94" s="412"/>
      <c r="BQQ94" s="412"/>
      <c r="BQR94" s="412"/>
      <c r="BQS94" s="412"/>
      <c r="BQT94" s="412"/>
      <c r="BQU94" s="412"/>
      <c r="BQV94" s="412"/>
      <c r="BQW94" s="412"/>
      <c r="BQX94" s="412"/>
      <c r="BQY94" s="412"/>
      <c r="BQZ94" s="412"/>
      <c r="BRA94" s="412"/>
      <c r="BRB94" s="412"/>
      <c r="BRC94" s="412"/>
      <c r="BRD94" s="412"/>
      <c r="BRE94" s="412"/>
      <c r="BRF94" s="412"/>
      <c r="BRG94" s="412"/>
      <c r="BRH94" s="412"/>
      <c r="BRI94" s="412"/>
      <c r="BRJ94" s="412"/>
      <c r="BRK94" s="412"/>
      <c r="BRL94" s="412"/>
      <c r="BRM94" s="412"/>
      <c r="BRN94" s="412"/>
      <c r="BRO94" s="412"/>
      <c r="BRP94" s="412"/>
      <c r="BRQ94" s="412"/>
      <c r="BRR94" s="412"/>
      <c r="BRS94" s="412"/>
      <c r="BRT94" s="412"/>
      <c r="BRU94" s="412"/>
      <c r="BRV94" s="412"/>
      <c r="BRW94" s="412"/>
      <c r="BRX94" s="412"/>
      <c r="BRY94" s="412"/>
      <c r="BRZ94" s="412"/>
      <c r="BSA94" s="412"/>
      <c r="BSB94" s="412"/>
      <c r="BSC94" s="412"/>
      <c r="BSD94" s="412"/>
      <c r="BSE94" s="412"/>
      <c r="BSF94" s="412"/>
      <c r="BSG94" s="412"/>
      <c r="BSH94" s="412"/>
      <c r="BSI94" s="412"/>
      <c r="BSJ94" s="412"/>
      <c r="BSK94" s="412"/>
      <c r="BSL94" s="412"/>
      <c r="BSM94" s="412"/>
      <c r="BSN94" s="412"/>
      <c r="BSO94" s="412"/>
      <c r="BSP94" s="412"/>
      <c r="BSQ94" s="412"/>
      <c r="BSR94" s="412"/>
      <c r="BSS94" s="412"/>
      <c r="BST94" s="412"/>
      <c r="BSU94" s="412"/>
      <c r="BSV94" s="412"/>
      <c r="BSW94" s="412"/>
      <c r="BSX94" s="412"/>
      <c r="BSY94" s="412"/>
      <c r="BSZ94" s="412"/>
      <c r="BTA94" s="412"/>
      <c r="BTB94" s="412"/>
      <c r="BTC94" s="412"/>
      <c r="BTD94" s="412"/>
      <c r="BTE94" s="412"/>
      <c r="BTF94" s="412"/>
      <c r="BTG94" s="412"/>
      <c r="BTH94" s="412"/>
      <c r="BTI94" s="412"/>
    </row>
    <row r="95" spans="1:1881" ht="61.5" customHeight="1" x14ac:dyDescent="0.25">
      <c r="A95" s="189">
        <v>349</v>
      </c>
      <c r="B95" s="64" t="s">
        <v>69</v>
      </c>
      <c r="C95" s="160" t="s">
        <v>186</v>
      </c>
      <c r="D95" s="175" t="s">
        <v>175</v>
      </c>
      <c r="E95" s="32" t="e">
        <f>HLOOKUP($D$2,'2019 Data(H)'!$C$1:$CG$300,113,FALSE)</f>
        <v>#N/A</v>
      </c>
      <c r="F95" s="647"/>
      <c r="G95" s="634" t="str">
        <f>IF(F88&gt;F95,"Error: Please review accts 633&gt;349","")</f>
        <v/>
      </c>
      <c r="H95" s="13"/>
      <c r="I95" s="31"/>
    </row>
    <row r="96" spans="1:1881" ht="105" customHeight="1" x14ac:dyDescent="0.25">
      <c r="A96" s="189">
        <v>375</v>
      </c>
      <c r="B96" s="64" t="s">
        <v>69</v>
      </c>
      <c r="C96" s="160" t="s">
        <v>186</v>
      </c>
      <c r="D96" s="142" t="s">
        <v>616</v>
      </c>
      <c r="E96" s="32" t="e">
        <f>HLOOKUP($D$2,'2019 Data(H)'!$C$1:$CG$300,134,FALSE)</f>
        <v>#N/A</v>
      </c>
      <c r="F96" s="647"/>
      <c r="G96" s="319"/>
      <c r="H96" s="13"/>
      <c r="I96" s="31"/>
    </row>
    <row r="97" spans="1:1881" ht="67.5" customHeight="1" x14ac:dyDescent="0.25">
      <c r="A97" s="189">
        <v>83</v>
      </c>
      <c r="B97" s="64" t="s">
        <v>68</v>
      </c>
      <c r="C97" s="160" t="s">
        <v>186</v>
      </c>
      <c r="D97" s="175" t="s">
        <v>176</v>
      </c>
      <c r="E97" s="32" t="e">
        <f>HLOOKUP($D$2,'2019 Data(H)'!$C$1:$CG$300,47,FALSE)</f>
        <v>#N/A</v>
      </c>
      <c r="F97" s="647"/>
      <c r="G97" s="413">
        <f>IF(F86-F95-F97=0,,"Error: Total assets less total liabilities do not equal total net assets.  Account numbers 381-349-83=0  The amount of the formula is in the cell to the right")</f>
        <v>0</v>
      </c>
      <c r="H97" s="193">
        <f>F86-F95-F97</f>
        <v>0</v>
      </c>
      <c r="I97" s="31"/>
    </row>
    <row r="98" spans="1:1881" ht="40.5" customHeight="1" x14ac:dyDescent="0.3">
      <c r="A98" s="190"/>
      <c r="B98" s="162" t="s">
        <v>177</v>
      </c>
      <c r="C98" s="161"/>
      <c r="D98" s="156"/>
      <c r="E98" s="156"/>
      <c r="F98" s="751"/>
      <c r="G98" s="575"/>
      <c r="H98" s="51"/>
      <c r="I98" s="31"/>
    </row>
    <row r="99" spans="1:1881" s="226" customFormat="1" ht="59.25" customHeight="1" x14ac:dyDescent="0.25">
      <c r="A99" s="189">
        <v>90</v>
      </c>
      <c r="B99" s="64" t="s">
        <v>70</v>
      </c>
      <c r="C99" s="160" t="s">
        <v>185</v>
      </c>
      <c r="D99" s="166" t="s">
        <v>178</v>
      </c>
      <c r="E99" s="32" t="e">
        <f>HLOOKUP($D$2,'2019 Data(H)'!$C$1:$CG$300,52,FALSE)</f>
        <v>#N/A</v>
      </c>
      <c r="F99" s="647"/>
      <c r="G99" s="413">
        <f>IF(F99&lt;0,"Note: Number is normally positive.",)</f>
        <v>0</v>
      </c>
      <c r="H99" s="194"/>
      <c r="I99" s="31"/>
      <c r="J99" s="412"/>
      <c r="K99" s="412"/>
      <c r="L99" s="412"/>
      <c r="M99" s="412"/>
      <c r="N99"/>
      <c r="O99" s="412"/>
      <c r="P99" s="412"/>
      <c r="Q99" s="412"/>
      <c r="R99" s="412"/>
      <c r="S99" s="412"/>
      <c r="T99" s="412"/>
      <c r="U99" s="412"/>
      <c r="V99" s="412"/>
      <c r="W99" s="412"/>
      <c r="X99" s="412"/>
      <c r="Y99" s="412"/>
      <c r="Z99" s="412"/>
      <c r="AA99" s="412"/>
      <c r="AB99" s="412"/>
      <c r="AC99" s="412"/>
      <c r="AD99" s="412"/>
      <c r="AE99" s="412"/>
      <c r="AF99" s="412"/>
      <c r="AG99" s="412"/>
      <c r="AH99" s="412"/>
      <c r="AI99" s="412"/>
      <c r="AJ99" s="412"/>
      <c r="AK99" s="412"/>
      <c r="AL99" s="412"/>
      <c r="AM99" s="412"/>
      <c r="AN99" s="412"/>
      <c r="AO99" s="412"/>
      <c r="AP99" s="412"/>
      <c r="AQ99" s="412"/>
      <c r="AR99" s="412"/>
      <c r="AS99" s="412"/>
      <c r="AT99" s="412"/>
      <c r="AU99" s="412"/>
      <c r="AV99" s="412"/>
      <c r="AW99" s="412"/>
      <c r="AX99" s="412"/>
      <c r="AY99" s="412"/>
      <c r="AZ99" s="412"/>
      <c r="BA99" s="412"/>
      <c r="BB99" s="412"/>
      <c r="BC99" s="412"/>
      <c r="BD99" s="412"/>
      <c r="BE99" s="412"/>
      <c r="BF99" s="412"/>
      <c r="BG99" s="412"/>
      <c r="BH99" s="412"/>
      <c r="BI99" s="412"/>
      <c r="BJ99" s="412"/>
      <c r="BK99" s="412"/>
      <c r="BL99" s="412"/>
      <c r="BM99" s="412"/>
      <c r="BN99" s="412"/>
      <c r="BO99" s="412"/>
      <c r="BP99" s="412"/>
      <c r="BQ99" s="412"/>
      <c r="BR99" s="412"/>
      <c r="BS99" s="412"/>
      <c r="BT99" s="412"/>
      <c r="BU99" s="412"/>
      <c r="BV99" s="412"/>
      <c r="BW99" s="412"/>
      <c r="BX99" s="412"/>
      <c r="BY99" s="412"/>
      <c r="BZ99" s="412"/>
      <c r="CA99" s="412"/>
      <c r="CB99" s="412"/>
      <c r="CC99" s="412"/>
      <c r="CD99" s="412"/>
      <c r="CE99" s="412"/>
      <c r="CF99" s="412"/>
      <c r="CG99" s="412"/>
      <c r="CH99" s="412"/>
      <c r="CI99" s="412"/>
      <c r="CJ99" s="412"/>
      <c r="CK99" s="412"/>
      <c r="CL99" s="412"/>
      <c r="CM99" s="412"/>
      <c r="CN99" s="412"/>
      <c r="CO99" s="412"/>
      <c r="CP99" s="412"/>
      <c r="CQ99" s="412"/>
      <c r="CR99" s="412"/>
      <c r="CS99" s="412"/>
      <c r="CT99" s="412"/>
      <c r="CU99" s="412"/>
      <c r="CV99" s="412"/>
      <c r="CW99" s="412"/>
      <c r="CX99" s="412"/>
      <c r="CY99" s="412"/>
      <c r="CZ99" s="412"/>
      <c r="DA99" s="412"/>
      <c r="DB99" s="412"/>
      <c r="DC99" s="412"/>
      <c r="DD99" s="412"/>
      <c r="DE99" s="412"/>
      <c r="DF99" s="412"/>
      <c r="DG99" s="412"/>
      <c r="DH99" s="412"/>
      <c r="DI99" s="412"/>
      <c r="DJ99" s="412"/>
      <c r="DK99" s="412"/>
      <c r="DL99" s="412"/>
      <c r="DM99" s="412"/>
      <c r="DN99" s="412"/>
      <c r="DO99" s="412"/>
      <c r="DP99" s="412"/>
      <c r="DQ99" s="412"/>
      <c r="DR99" s="412"/>
      <c r="DS99" s="412"/>
      <c r="DT99" s="412"/>
      <c r="DU99" s="412"/>
      <c r="DV99" s="412"/>
      <c r="DW99" s="412"/>
      <c r="DX99" s="412"/>
      <c r="DY99" s="412"/>
      <c r="DZ99" s="412"/>
      <c r="EA99" s="412"/>
      <c r="EB99" s="412"/>
      <c r="EC99" s="412"/>
      <c r="ED99" s="412"/>
      <c r="EE99" s="412"/>
      <c r="EF99" s="412"/>
      <c r="EG99" s="412"/>
      <c r="EH99" s="412"/>
      <c r="EI99" s="412"/>
      <c r="EJ99" s="412"/>
      <c r="EK99" s="412"/>
      <c r="EL99" s="412"/>
      <c r="EM99" s="412"/>
      <c r="EN99" s="412"/>
      <c r="EO99" s="412"/>
      <c r="EP99" s="412"/>
      <c r="EQ99" s="412"/>
      <c r="ER99" s="412"/>
      <c r="ES99" s="412"/>
      <c r="ET99" s="412"/>
      <c r="EU99" s="412"/>
      <c r="EV99" s="412"/>
      <c r="EW99" s="412"/>
      <c r="EX99" s="412"/>
      <c r="EY99" s="412"/>
      <c r="EZ99" s="412"/>
      <c r="FA99" s="412"/>
      <c r="FB99" s="412"/>
      <c r="FC99" s="412"/>
      <c r="FD99" s="412"/>
      <c r="FE99" s="412"/>
      <c r="FF99" s="412"/>
      <c r="FG99" s="412"/>
      <c r="FH99" s="412"/>
      <c r="FI99" s="412"/>
      <c r="FJ99" s="412"/>
      <c r="FK99" s="412"/>
      <c r="FL99" s="412"/>
      <c r="FM99" s="412"/>
      <c r="FN99" s="412"/>
      <c r="FO99" s="412"/>
      <c r="FP99" s="412"/>
      <c r="FQ99" s="412"/>
      <c r="FR99" s="412"/>
      <c r="FS99" s="412"/>
      <c r="FT99" s="412"/>
      <c r="FU99" s="412"/>
      <c r="FV99" s="412"/>
      <c r="FW99" s="412"/>
      <c r="FX99" s="412"/>
      <c r="FY99" s="412"/>
      <c r="FZ99" s="412"/>
      <c r="GA99" s="412"/>
      <c r="GB99" s="412"/>
      <c r="GC99" s="412"/>
      <c r="GD99" s="412"/>
      <c r="GE99" s="412"/>
      <c r="GF99" s="412"/>
      <c r="GG99" s="412"/>
      <c r="GH99" s="412"/>
      <c r="GI99" s="412"/>
      <c r="GJ99" s="412"/>
      <c r="GK99" s="412"/>
      <c r="GL99" s="412"/>
      <c r="GM99" s="412"/>
      <c r="GN99" s="412"/>
      <c r="GO99" s="412"/>
      <c r="GP99" s="412"/>
      <c r="GQ99" s="412"/>
      <c r="GR99" s="412"/>
      <c r="GS99" s="412"/>
      <c r="GT99" s="412"/>
      <c r="GU99" s="412"/>
      <c r="GV99" s="412"/>
      <c r="GW99" s="412"/>
      <c r="GX99" s="412"/>
      <c r="GY99" s="412"/>
      <c r="GZ99" s="412"/>
      <c r="HA99" s="412"/>
      <c r="HB99" s="412"/>
      <c r="HC99" s="412"/>
      <c r="HD99" s="412"/>
      <c r="HE99" s="412"/>
      <c r="HF99" s="412"/>
      <c r="HG99" s="412"/>
      <c r="HH99" s="412"/>
      <c r="HI99" s="412"/>
      <c r="HJ99" s="412"/>
      <c r="HK99" s="412"/>
      <c r="HL99" s="412"/>
      <c r="HM99" s="412"/>
      <c r="HN99" s="412"/>
      <c r="HO99" s="412"/>
      <c r="HP99" s="412"/>
      <c r="HQ99" s="412"/>
      <c r="HR99" s="412"/>
      <c r="HS99" s="412"/>
      <c r="HT99" s="412"/>
      <c r="HU99" s="412"/>
      <c r="HV99" s="412"/>
      <c r="HW99" s="412"/>
      <c r="HX99" s="412"/>
      <c r="HY99" s="412"/>
      <c r="HZ99" s="412"/>
      <c r="IA99" s="412"/>
      <c r="IB99" s="412"/>
      <c r="IC99" s="412"/>
      <c r="ID99" s="412"/>
      <c r="IE99" s="412"/>
      <c r="IF99" s="412"/>
      <c r="IG99" s="412"/>
      <c r="IH99" s="412"/>
      <c r="II99" s="412"/>
      <c r="IJ99" s="412"/>
      <c r="IK99" s="412"/>
      <c r="IL99" s="412"/>
      <c r="IM99" s="412"/>
      <c r="IN99" s="412"/>
      <c r="IO99" s="412"/>
      <c r="IP99" s="412"/>
      <c r="IQ99" s="412"/>
      <c r="IR99" s="412"/>
      <c r="IS99" s="412"/>
      <c r="IT99" s="412"/>
      <c r="IU99" s="412"/>
      <c r="IV99" s="412"/>
      <c r="IW99" s="412"/>
      <c r="IX99" s="412"/>
      <c r="IY99" s="412"/>
      <c r="IZ99" s="412"/>
      <c r="JA99" s="412"/>
      <c r="JB99" s="412"/>
      <c r="JC99" s="412"/>
      <c r="JD99" s="412"/>
      <c r="JE99" s="412"/>
      <c r="JF99" s="412"/>
      <c r="JG99" s="412"/>
      <c r="JH99" s="412"/>
      <c r="JI99" s="412"/>
      <c r="JJ99" s="412"/>
      <c r="JK99" s="412"/>
      <c r="JL99" s="412"/>
      <c r="JM99" s="412"/>
      <c r="JN99" s="412"/>
      <c r="JO99" s="412"/>
      <c r="JP99" s="412"/>
      <c r="JQ99" s="412"/>
      <c r="JR99" s="412"/>
      <c r="JS99" s="412"/>
      <c r="JT99" s="412"/>
      <c r="JU99" s="412"/>
      <c r="JV99" s="412"/>
      <c r="JW99" s="412"/>
      <c r="JX99" s="412"/>
      <c r="JY99" s="412"/>
      <c r="JZ99" s="412"/>
      <c r="KA99" s="412"/>
      <c r="KB99" s="412"/>
      <c r="KC99" s="412"/>
      <c r="KD99" s="412"/>
      <c r="KE99" s="412"/>
      <c r="KF99" s="412"/>
      <c r="KG99" s="412"/>
      <c r="KH99" s="412"/>
      <c r="KI99" s="412"/>
      <c r="KJ99" s="412"/>
      <c r="KK99" s="412"/>
      <c r="KL99" s="412"/>
      <c r="KM99" s="412"/>
      <c r="KN99" s="412"/>
      <c r="KO99" s="412"/>
      <c r="KP99" s="412"/>
      <c r="KQ99" s="412"/>
      <c r="KR99" s="412"/>
      <c r="KS99" s="412"/>
      <c r="KT99" s="412"/>
      <c r="KU99" s="412"/>
      <c r="KV99" s="412"/>
      <c r="KW99" s="412"/>
      <c r="KX99" s="412"/>
      <c r="KY99" s="412"/>
      <c r="KZ99" s="412"/>
      <c r="LA99" s="412"/>
      <c r="LB99" s="412"/>
      <c r="LC99" s="412"/>
      <c r="LD99" s="412"/>
      <c r="LE99" s="412"/>
      <c r="LF99" s="412"/>
      <c r="LG99" s="412"/>
      <c r="LH99" s="412"/>
      <c r="LI99" s="412"/>
      <c r="LJ99" s="412"/>
      <c r="LK99" s="412"/>
      <c r="LL99" s="412"/>
      <c r="LM99" s="412"/>
      <c r="LN99" s="412"/>
      <c r="LO99" s="412"/>
      <c r="LP99" s="412"/>
      <c r="LQ99" s="412"/>
      <c r="LR99" s="412"/>
      <c r="LS99" s="412"/>
      <c r="LT99" s="412"/>
      <c r="LU99" s="412"/>
      <c r="LV99" s="412"/>
      <c r="LW99" s="412"/>
      <c r="LX99" s="412"/>
      <c r="LY99" s="412"/>
      <c r="LZ99" s="412"/>
      <c r="MA99" s="412"/>
      <c r="MB99" s="412"/>
      <c r="MC99" s="412"/>
      <c r="MD99" s="412"/>
      <c r="ME99" s="412"/>
      <c r="MF99" s="412"/>
      <c r="MG99" s="412"/>
      <c r="MH99" s="412"/>
      <c r="MI99" s="412"/>
      <c r="MJ99" s="412"/>
      <c r="MK99" s="412"/>
      <c r="ML99" s="412"/>
      <c r="MM99" s="412"/>
      <c r="MN99" s="412"/>
      <c r="MO99" s="412"/>
      <c r="MP99" s="412"/>
      <c r="MQ99" s="412"/>
      <c r="MR99" s="412"/>
      <c r="MS99" s="412"/>
      <c r="MT99" s="412"/>
      <c r="MU99" s="412"/>
      <c r="MV99" s="412"/>
      <c r="MW99" s="412"/>
      <c r="MX99" s="412"/>
      <c r="MY99" s="412"/>
      <c r="MZ99" s="412"/>
      <c r="NA99" s="412"/>
      <c r="NB99" s="412"/>
      <c r="NC99" s="412"/>
      <c r="ND99" s="412"/>
      <c r="NE99" s="412"/>
      <c r="NF99" s="412"/>
      <c r="NG99" s="412"/>
      <c r="NH99" s="412"/>
      <c r="NI99" s="412"/>
      <c r="NJ99" s="412"/>
      <c r="NK99" s="412"/>
      <c r="NL99" s="412"/>
      <c r="NM99" s="412"/>
      <c r="NN99" s="412"/>
      <c r="NO99" s="412"/>
      <c r="NP99" s="412"/>
      <c r="NQ99" s="412"/>
      <c r="NR99" s="412"/>
      <c r="NS99" s="412"/>
      <c r="NT99" s="412"/>
      <c r="NU99" s="412"/>
      <c r="NV99" s="412"/>
      <c r="NW99" s="412"/>
      <c r="NX99" s="412"/>
      <c r="NY99" s="412"/>
      <c r="NZ99" s="412"/>
      <c r="OA99" s="412"/>
      <c r="OB99" s="412"/>
      <c r="OC99" s="412"/>
      <c r="OD99" s="412"/>
      <c r="OE99" s="412"/>
      <c r="OF99" s="412"/>
      <c r="OG99" s="412"/>
      <c r="OH99" s="412"/>
      <c r="OI99" s="412"/>
      <c r="OJ99" s="412"/>
      <c r="OK99" s="412"/>
      <c r="OL99" s="412"/>
      <c r="OM99" s="412"/>
      <c r="ON99" s="412"/>
      <c r="OO99" s="412"/>
      <c r="OP99" s="412"/>
      <c r="OQ99" s="412"/>
      <c r="OR99" s="412"/>
      <c r="OS99" s="412"/>
      <c r="OT99" s="412"/>
      <c r="OU99" s="412"/>
      <c r="OV99" s="412"/>
      <c r="OW99" s="412"/>
      <c r="OX99" s="412"/>
      <c r="OY99" s="412"/>
      <c r="OZ99" s="412"/>
      <c r="PA99" s="412"/>
      <c r="PB99" s="412"/>
      <c r="PC99" s="412"/>
      <c r="PD99" s="412"/>
      <c r="PE99" s="412"/>
      <c r="PF99" s="412"/>
      <c r="PG99" s="412"/>
      <c r="PH99" s="412"/>
      <c r="PI99" s="412"/>
      <c r="PJ99" s="412"/>
      <c r="PK99" s="412"/>
      <c r="PL99" s="412"/>
      <c r="PM99" s="412"/>
      <c r="PN99" s="412"/>
      <c r="PO99" s="412"/>
      <c r="PP99" s="412"/>
      <c r="PQ99" s="412"/>
      <c r="PR99" s="412"/>
      <c r="PS99" s="412"/>
      <c r="PT99" s="412"/>
      <c r="PU99" s="412"/>
      <c r="PV99" s="412"/>
      <c r="PW99" s="412"/>
      <c r="PX99" s="412"/>
      <c r="PY99" s="412"/>
      <c r="PZ99" s="412"/>
      <c r="QA99" s="412"/>
      <c r="QB99" s="412"/>
      <c r="QC99" s="412"/>
      <c r="QD99" s="412"/>
      <c r="QE99" s="412"/>
      <c r="QF99" s="412"/>
      <c r="QG99" s="412"/>
      <c r="QH99" s="412"/>
      <c r="QI99" s="412"/>
      <c r="QJ99" s="412"/>
      <c r="QK99" s="412"/>
      <c r="QL99" s="412"/>
      <c r="QM99" s="412"/>
      <c r="QN99" s="412"/>
      <c r="QO99" s="412"/>
      <c r="QP99" s="412"/>
      <c r="QQ99" s="412"/>
      <c r="QR99" s="412"/>
      <c r="QS99" s="412"/>
      <c r="QT99" s="412"/>
      <c r="QU99" s="412"/>
      <c r="QV99" s="412"/>
      <c r="QW99" s="412"/>
      <c r="QX99" s="412"/>
      <c r="QY99" s="412"/>
      <c r="QZ99" s="412"/>
      <c r="RA99" s="412"/>
      <c r="RB99" s="412"/>
      <c r="RC99" s="412"/>
      <c r="RD99" s="412"/>
      <c r="RE99" s="412"/>
      <c r="RF99" s="412"/>
      <c r="RG99" s="412"/>
      <c r="RH99" s="412"/>
      <c r="RI99" s="412"/>
      <c r="RJ99" s="412"/>
      <c r="RK99" s="412"/>
      <c r="RL99" s="412"/>
      <c r="RM99" s="412"/>
      <c r="RN99" s="412"/>
      <c r="RO99" s="412"/>
      <c r="RP99" s="412"/>
      <c r="RQ99" s="412"/>
      <c r="RR99" s="412"/>
      <c r="RS99" s="412"/>
      <c r="RT99" s="412"/>
      <c r="RU99" s="412"/>
      <c r="RV99" s="412"/>
      <c r="RW99" s="412"/>
      <c r="RX99" s="412"/>
      <c r="RY99" s="412"/>
      <c r="RZ99" s="412"/>
      <c r="SA99" s="412"/>
      <c r="SB99" s="412"/>
      <c r="SC99" s="412"/>
      <c r="SD99" s="412"/>
      <c r="SE99" s="412"/>
      <c r="SF99" s="412"/>
      <c r="SG99" s="412"/>
      <c r="SH99" s="412"/>
      <c r="SI99" s="412"/>
      <c r="SJ99" s="412"/>
      <c r="SK99" s="412"/>
      <c r="SL99" s="412"/>
      <c r="SM99" s="412"/>
      <c r="SN99" s="412"/>
      <c r="SO99" s="412"/>
      <c r="SP99" s="412"/>
      <c r="SQ99" s="412"/>
      <c r="SR99" s="412"/>
      <c r="SS99" s="412"/>
      <c r="ST99" s="412"/>
      <c r="SU99" s="412"/>
      <c r="SV99" s="412"/>
      <c r="SW99" s="412"/>
      <c r="SX99" s="412"/>
      <c r="SY99" s="412"/>
      <c r="SZ99" s="412"/>
      <c r="TA99" s="412"/>
      <c r="TB99" s="412"/>
      <c r="TC99" s="412"/>
      <c r="TD99" s="412"/>
      <c r="TE99" s="412"/>
      <c r="TF99" s="412"/>
      <c r="TG99" s="412"/>
      <c r="TH99" s="412"/>
      <c r="TI99" s="412"/>
      <c r="TJ99" s="412"/>
      <c r="TK99" s="412"/>
      <c r="TL99" s="412"/>
      <c r="TM99" s="412"/>
      <c r="TN99" s="412"/>
      <c r="TO99" s="412"/>
      <c r="TP99" s="412"/>
      <c r="TQ99" s="412"/>
      <c r="TR99" s="412"/>
      <c r="TS99" s="412"/>
      <c r="TT99" s="412"/>
      <c r="TU99" s="412"/>
      <c r="TV99" s="412"/>
      <c r="TW99" s="412"/>
      <c r="TX99" s="412"/>
      <c r="TY99" s="412"/>
      <c r="TZ99" s="412"/>
      <c r="UA99" s="412"/>
      <c r="UB99" s="412"/>
      <c r="UC99" s="412"/>
      <c r="UD99" s="412"/>
      <c r="UE99" s="412"/>
      <c r="UF99" s="412"/>
      <c r="UG99" s="412"/>
      <c r="UH99" s="412"/>
      <c r="UI99" s="412"/>
      <c r="UJ99" s="412"/>
      <c r="UK99" s="412"/>
      <c r="UL99" s="412"/>
      <c r="UM99" s="412"/>
      <c r="UN99" s="412"/>
      <c r="UO99" s="412"/>
      <c r="UP99" s="412"/>
      <c r="UQ99" s="412"/>
      <c r="UR99" s="412"/>
      <c r="US99" s="412"/>
      <c r="UT99" s="412"/>
      <c r="UU99" s="412"/>
      <c r="UV99" s="412"/>
      <c r="UW99" s="412"/>
      <c r="UX99" s="412"/>
      <c r="UY99" s="412"/>
      <c r="UZ99" s="412"/>
      <c r="VA99" s="412"/>
      <c r="VB99" s="412"/>
      <c r="VC99" s="412"/>
      <c r="VD99" s="412"/>
      <c r="VE99" s="412"/>
      <c r="VF99" s="412"/>
      <c r="VG99" s="412"/>
      <c r="VH99" s="412"/>
      <c r="VI99" s="412"/>
      <c r="VJ99" s="412"/>
      <c r="VK99" s="412"/>
      <c r="VL99" s="412"/>
      <c r="VM99" s="412"/>
      <c r="VN99" s="412"/>
      <c r="VO99" s="412"/>
      <c r="VP99" s="412"/>
      <c r="VQ99" s="412"/>
      <c r="VR99" s="412"/>
      <c r="VS99" s="412"/>
      <c r="VT99" s="412"/>
      <c r="VU99" s="412"/>
      <c r="VV99" s="412"/>
      <c r="VW99" s="412"/>
      <c r="VX99" s="412"/>
      <c r="VY99" s="412"/>
      <c r="VZ99" s="412"/>
      <c r="WA99" s="412"/>
      <c r="WB99" s="412"/>
      <c r="WC99" s="412"/>
      <c r="WD99" s="412"/>
      <c r="WE99" s="412"/>
      <c r="WF99" s="412"/>
      <c r="WG99" s="412"/>
      <c r="WH99" s="412"/>
      <c r="WI99" s="412"/>
      <c r="WJ99" s="412"/>
      <c r="WK99" s="412"/>
      <c r="WL99" s="412"/>
      <c r="WM99" s="412"/>
      <c r="WN99" s="412"/>
      <c r="WO99" s="412"/>
      <c r="WP99" s="412"/>
      <c r="WQ99" s="412"/>
      <c r="WR99" s="412"/>
      <c r="WS99" s="412"/>
      <c r="WT99" s="412"/>
      <c r="WU99" s="412"/>
      <c r="WV99" s="412"/>
      <c r="WW99" s="412"/>
      <c r="WX99" s="412"/>
      <c r="WY99" s="412"/>
      <c r="WZ99" s="412"/>
      <c r="XA99" s="412"/>
      <c r="XB99" s="412"/>
      <c r="XC99" s="412"/>
      <c r="XD99" s="412"/>
      <c r="XE99" s="412"/>
      <c r="XF99" s="412"/>
      <c r="XG99" s="412"/>
      <c r="XH99" s="412"/>
      <c r="XI99" s="412"/>
      <c r="XJ99" s="412"/>
      <c r="XK99" s="412"/>
      <c r="XL99" s="412"/>
      <c r="XM99" s="412"/>
      <c r="XN99" s="412"/>
      <c r="XO99" s="412"/>
      <c r="XP99" s="412"/>
      <c r="XQ99" s="412"/>
      <c r="XR99" s="412"/>
      <c r="XS99" s="412"/>
      <c r="XT99" s="412"/>
      <c r="XU99" s="412"/>
      <c r="XV99" s="412"/>
      <c r="XW99" s="412"/>
      <c r="XX99" s="412"/>
      <c r="XY99" s="412"/>
      <c r="XZ99" s="412"/>
      <c r="YA99" s="412"/>
      <c r="YB99" s="412"/>
      <c r="YC99" s="412"/>
      <c r="YD99" s="412"/>
      <c r="YE99" s="412"/>
      <c r="YF99" s="412"/>
      <c r="YG99" s="412"/>
      <c r="YH99" s="412"/>
      <c r="YI99" s="412"/>
      <c r="YJ99" s="412"/>
      <c r="YK99" s="412"/>
      <c r="YL99" s="412"/>
      <c r="YM99" s="412"/>
      <c r="YN99" s="412"/>
      <c r="YO99" s="412"/>
      <c r="YP99" s="412"/>
      <c r="YQ99" s="412"/>
      <c r="YR99" s="412"/>
      <c r="YS99" s="412"/>
      <c r="YT99" s="412"/>
      <c r="YU99" s="412"/>
      <c r="YV99" s="412"/>
      <c r="YW99" s="412"/>
      <c r="YX99" s="412"/>
      <c r="YY99" s="412"/>
      <c r="YZ99" s="412"/>
      <c r="ZA99" s="412"/>
      <c r="ZB99" s="412"/>
      <c r="ZC99" s="412"/>
      <c r="ZD99" s="412"/>
      <c r="ZE99" s="412"/>
      <c r="ZF99" s="412"/>
      <c r="ZG99" s="412"/>
      <c r="ZH99" s="412"/>
      <c r="ZI99" s="412"/>
      <c r="ZJ99" s="412"/>
      <c r="ZK99" s="412"/>
      <c r="ZL99" s="412"/>
      <c r="ZM99" s="412"/>
      <c r="ZN99" s="412"/>
      <c r="ZO99" s="412"/>
      <c r="ZP99" s="412"/>
      <c r="ZQ99" s="412"/>
      <c r="ZR99" s="412"/>
      <c r="ZS99" s="412"/>
      <c r="ZT99" s="412"/>
      <c r="ZU99" s="412"/>
      <c r="ZV99" s="412"/>
      <c r="ZW99" s="412"/>
      <c r="ZX99" s="412"/>
      <c r="ZY99" s="412"/>
      <c r="ZZ99" s="412"/>
      <c r="AAA99" s="412"/>
      <c r="AAB99" s="412"/>
      <c r="AAC99" s="412"/>
      <c r="AAD99" s="412"/>
      <c r="AAE99" s="412"/>
      <c r="AAF99" s="412"/>
      <c r="AAG99" s="412"/>
      <c r="AAH99" s="412"/>
      <c r="AAI99" s="412"/>
      <c r="AAJ99" s="412"/>
      <c r="AAK99" s="412"/>
      <c r="AAL99" s="412"/>
      <c r="AAM99" s="412"/>
      <c r="AAN99" s="412"/>
      <c r="AAO99" s="412"/>
      <c r="AAP99" s="412"/>
      <c r="AAQ99" s="412"/>
      <c r="AAR99" s="412"/>
      <c r="AAS99" s="412"/>
      <c r="AAT99" s="412"/>
      <c r="AAU99" s="412"/>
      <c r="AAV99" s="412"/>
      <c r="AAW99" s="412"/>
      <c r="AAX99" s="412"/>
      <c r="AAY99" s="412"/>
      <c r="AAZ99" s="412"/>
      <c r="ABA99" s="412"/>
      <c r="ABB99" s="412"/>
      <c r="ABC99" s="412"/>
      <c r="ABD99" s="412"/>
      <c r="ABE99" s="412"/>
      <c r="ABF99" s="412"/>
      <c r="ABG99" s="412"/>
      <c r="ABH99" s="412"/>
      <c r="ABI99" s="412"/>
      <c r="ABJ99" s="412"/>
      <c r="ABK99" s="412"/>
      <c r="ABL99" s="412"/>
      <c r="ABM99" s="412"/>
      <c r="ABN99" s="412"/>
      <c r="ABO99" s="412"/>
      <c r="ABP99" s="412"/>
      <c r="ABQ99" s="412"/>
      <c r="ABR99" s="412"/>
      <c r="ABS99" s="412"/>
      <c r="ABT99" s="412"/>
      <c r="ABU99" s="412"/>
      <c r="ABV99" s="412"/>
      <c r="ABW99" s="412"/>
      <c r="ABX99" s="412"/>
      <c r="ABY99" s="412"/>
      <c r="ABZ99" s="412"/>
      <c r="ACA99" s="412"/>
      <c r="ACB99" s="412"/>
      <c r="ACC99" s="412"/>
      <c r="ACD99" s="412"/>
      <c r="ACE99" s="412"/>
      <c r="ACF99" s="412"/>
      <c r="ACG99" s="412"/>
      <c r="ACH99" s="412"/>
      <c r="ACI99" s="412"/>
      <c r="ACJ99" s="412"/>
      <c r="ACK99" s="412"/>
      <c r="ACL99" s="412"/>
      <c r="ACM99" s="412"/>
      <c r="ACN99" s="412"/>
      <c r="ACO99" s="412"/>
      <c r="ACP99" s="412"/>
      <c r="ACQ99" s="412"/>
      <c r="ACR99" s="412"/>
      <c r="ACS99" s="412"/>
      <c r="ACT99" s="412"/>
      <c r="ACU99" s="412"/>
      <c r="ACV99" s="412"/>
      <c r="ACW99" s="412"/>
      <c r="ACX99" s="412"/>
      <c r="ACY99" s="412"/>
      <c r="ACZ99" s="412"/>
      <c r="ADA99" s="412"/>
      <c r="ADB99" s="412"/>
      <c r="ADC99" s="412"/>
      <c r="ADD99" s="412"/>
      <c r="ADE99" s="412"/>
      <c r="ADF99" s="412"/>
      <c r="ADG99" s="412"/>
      <c r="ADH99" s="412"/>
      <c r="ADI99" s="412"/>
      <c r="ADJ99" s="412"/>
      <c r="ADK99" s="412"/>
      <c r="ADL99" s="412"/>
      <c r="ADM99" s="412"/>
      <c r="ADN99" s="412"/>
      <c r="ADO99" s="412"/>
      <c r="ADP99" s="412"/>
      <c r="ADQ99" s="412"/>
      <c r="ADR99" s="412"/>
      <c r="ADS99" s="412"/>
      <c r="ADT99" s="412"/>
      <c r="ADU99" s="412"/>
      <c r="ADV99" s="412"/>
      <c r="ADW99" s="412"/>
      <c r="ADX99" s="412"/>
      <c r="ADY99" s="412"/>
      <c r="ADZ99" s="412"/>
      <c r="AEA99" s="412"/>
      <c r="AEB99" s="412"/>
      <c r="AEC99" s="412"/>
      <c r="AED99" s="412"/>
      <c r="AEE99" s="412"/>
      <c r="AEF99" s="412"/>
      <c r="AEG99" s="412"/>
      <c r="AEH99" s="412"/>
      <c r="AEI99" s="412"/>
      <c r="AEJ99" s="412"/>
      <c r="AEK99" s="412"/>
      <c r="AEL99" s="412"/>
      <c r="AEM99" s="412"/>
      <c r="AEN99" s="412"/>
      <c r="AEO99" s="412"/>
      <c r="AEP99" s="412"/>
      <c r="AEQ99" s="412"/>
      <c r="AER99" s="412"/>
      <c r="AES99" s="412"/>
      <c r="AET99" s="412"/>
      <c r="AEU99" s="412"/>
      <c r="AEV99" s="412"/>
      <c r="AEW99" s="412"/>
      <c r="AEX99" s="412"/>
      <c r="AEY99" s="412"/>
      <c r="AEZ99" s="412"/>
      <c r="AFA99" s="412"/>
      <c r="AFB99" s="412"/>
      <c r="AFC99" s="412"/>
      <c r="AFD99" s="412"/>
      <c r="AFE99" s="412"/>
      <c r="AFF99" s="412"/>
      <c r="AFG99" s="412"/>
      <c r="AFH99" s="412"/>
      <c r="AFI99" s="412"/>
      <c r="AFJ99" s="412"/>
      <c r="AFK99" s="412"/>
      <c r="AFL99" s="412"/>
      <c r="AFM99" s="412"/>
      <c r="AFN99" s="412"/>
      <c r="AFO99" s="412"/>
      <c r="AFP99" s="412"/>
      <c r="AFQ99" s="412"/>
      <c r="AFR99" s="412"/>
      <c r="AFS99" s="412"/>
      <c r="AFT99" s="412"/>
      <c r="AFU99" s="412"/>
      <c r="AFV99" s="412"/>
      <c r="AFW99" s="412"/>
      <c r="AFX99" s="412"/>
      <c r="AFY99" s="412"/>
      <c r="AFZ99" s="412"/>
      <c r="AGA99" s="412"/>
      <c r="AGB99" s="412"/>
      <c r="AGC99" s="412"/>
      <c r="AGD99" s="412"/>
      <c r="AGE99" s="412"/>
      <c r="AGF99" s="412"/>
      <c r="AGG99" s="412"/>
      <c r="AGH99" s="412"/>
      <c r="AGI99" s="412"/>
      <c r="AGJ99" s="412"/>
      <c r="AGK99" s="412"/>
      <c r="AGL99" s="412"/>
      <c r="AGM99" s="412"/>
      <c r="AGN99" s="412"/>
      <c r="AGO99" s="412"/>
      <c r="AGP99" s="412"/>
      <c r="AGQ99" s="412"/>
      <c r="AGR99" s="412"/>
      <c r="AGS99" s="412"/>
      <c r="AGT99" s="412"/>
      <c r="AGU99" s="412"/>
      <c r="AGV99" s="412"/>
      <c r="AGW99" s="412"/>
      <c r="AGX99" s="412"/>
      <c r="AGY99" s="412"/>
      <c r="AGZ99" s="412"/>
      <c r="AHA99" s="412"/>
      <c r="AHB99" s="412"/>
      <c r="AHC99" s="412"/>
      <c r="AHD99" s="412"/>
      <c r="AHE99" s="412"/>
      <c r="AHF99" s="412"/>
      <c r="AHG99" s="412"/>
      <c r="AHH99" s="412"/>
      <c r="AHI99" s="412"/>
      <c r="AHJ99" s="412"/>
      <c r="AHK99" s="412"/>
      <c r="AHL99" s="412"/>
      <c r="AHM99" s="412"/>
      <c r="AHN99" s="412"/>
      <c r="AHO99" s="412"/>
      <c r="AHP99" s="412"/>
      <c r="AHQ99" s="412"/>
      <c r="AHR99" s="412"/>
      <c r="AHS99" s="412"/>
      <c r="AHT99" s="412"/>
      <c r="AHU99" s="412"/>
      <c r="AHV99" s="412"/>
      <c r="AHW99" s="412"/>
      <c r="AHX99" s="412"/>
      <c r="AHY99" s="412"/>
      <c r="AHZ99" s="412"/>
      <c r="AIA99" s="412"/>
      <c r="AIB99" s="412"/>
      <c r="AIC99" s="412"/>
      <c r="AID99" s="412"/>
      <c r="AIE99" s="412"/>
      <c r="AIF99" s="412"/>
      <c r="AIG99" s="412"/>
      <c r="AIH99" s="412"/>
      <c r="AII99" s="412"/>
      <c r="AIJ99" s="412"/>
      <c r="AIK99" s="412"/>
      <c r="AIL99" s="412"/>
      <c r="AIM99" s="412"/>
      <c r="AIN99" s="412"/>
      <c r="AIO99" s="412"/>
      <c r="AIP99" s="412"/>
      <c r="AIQ99" s="412"/>
      <c r="AIR99" s="412"/>
      <c r="AIS99" s="412"/>
      <c r="AIT99" s="412"/>
      <c r="AIU99" s="412"/>
      <c r="AIV99" s="412"/>
      <c r="AIW99" s="412"/>
      <c r="AIX99" s="412"/>
      <c r="AIY99" s="412"/>
      <c r="AIZ99" s="412"/>
      <c r="AJA99" s="412"/>
      <c r="AJB99" s="412"/>
      <c r="AJC99" s="412"/>
      <c r="AJD99" s="412"/>
      <c r="AJE99" s="412"/>
      <c r="AJF99" s="412"/>
      <c r="AJG99" s="412"/>
      <c r="AJH99" s="412"/>
      <c r="AJI99" s="412"/>
      <c r="AJJ99" s="412"/>
      <c r="AJK99" s="412"/>
      <c r="AJL99" s="412"/>
      <c r="AJM99" s="412"/>
      <c r="AJN99" s="412"/>
      <c r="AJO99" s="412"/>
      <c r="AJP99" s="412"/>
      <c r="AJQ99" s="412"/>
      <c r="AJR99" s="412"/>
      <c r="AJS99" s="412"/>
      <c r="AJT99" s="412"/>
      <c r="AJU99" s="412"/>
      <c r="AJV99" s="412"/>
      <c r="AJW99" s="412"/>
      <c r="AJX99" s="412"/>
      <c r="AJY99" s="412"/>
      <c r="AJZ99" s="412"/>
      <c r="AKA99" s="412"/>
      <c r="AKB99" s="412"/>
      <c r="AKC99" s="412"/>
      <c r="AKD99" s="412"/>
      <c r="AKE99" s="412"/>
      <c r="AKF99" s="412"/>
      <c r="AKG99" s="412"/>
      <c r="AKH99" s="412"/>
      <c r="AKI99" s="412"/>
      <c r="AKJ99" s="412"/>
      <c r="AKK99" s="412"/>
      <c r="AKL99" s="412"/>
      <c r="AKM99" s="412"/>
      <c r="AKN99" s="412"/>
      <c r="AKO99" s="412"/>
      <c r="AKP99" s="412"/>
      <c r="AKQ99" s="412"/>
      <c r="AKR99" s="412"/>
      <c r="AKS99" s="412"/>
      <c r="AKT99" s="412"/>
      <c r="AKU99" s="412"/>
      <c r="AKV99" s="412"/>
      <c r="AKW99" s="412"/>
      <c r="AKX99" s="412"/>
      <c r="AKY99" s="412"/>
      <c r="AKZ99" s="412"/>
      <c r="ALA99" s="412"/>
      <c r="ALB99" s="412"/>
      <c r="ALC99" s="412"/>
      <c r="ALD99" s="412"/>
      <c r="ALE99" s="412"/>
      <c r="ALF99" s="412"/>
      <c r="ALG99" s="412"/>
      <c r="ALH99" s="412"/>
      <c r="ALI99" s="412"/>
      <c r="ALJ99" s="412"/>
      <c r="ALK99" s="412"/>
      <c r="ALL99" s="412"/>
      <c r="ALM99" s="412"/>
      <c r="ALN99" s="412"/>
      <c r="ALO99" s="412"/>
      <c r="ALP99" s="412"/>
      <c r="ALQ99" s="412"/>
      <c r="ALR99" s="412"/>
      <c r="ALS99" s="412"/>
      <c r="ALT99" s="412"/>
      <c r="ALU99" s="412"/>
      <c r="ALV99" s="412"/>
      <c r="ALW99" s="412"/>
      <c r="ALX99" s="412"/>
      <c r="ALY99" s="412"/>
      <c r="ALZ99" s="412"/>
      <c r="AMA99" s="412"/>
      <c r="AMB99" s="412"/>
      <c r="AMC99" s="412"/>
      <c r="AMD99" s="412"/>
      <c r="AME99" s="412"/>
      <c r="AMF99" s="412"/>
      <c r="AMG99" s="412"/>
      <c r="AMH99" s="412"/>
      <c r="AMI99" s="412"/>
      <c r="AMJ99" s="412"/>
      <c r="AMK99" s="412"/>
      <c r="AML99" s="412"/>
      <c r="AMM99" s="412"/>
      <c r="AMN99" s="412"/>
      <c r="AMO99" s="412"/>
      <c r="AMP99" s="412"/>
      <c r="AMQ99" s="412"/>
      <c r="AMR99" s="412"/>
      <c r="AMS99" s="412"/>
      <c r="AMT99" s="412"/>
      <c r="AMU99" s="412"/>
      <c r="AMV99" s="412"/>
      <c r="AMW99" s="412"/>
      <c r="AMX99" s="412"/>
      <c r="AMY99" s="412"/>
      <c r="AMZ99" s="412"/>
      <c r="ANA99" s="412"/>
      <c r="ANB99" s="412"/>
      <c r="ANC99" s="412"/>
      <c r="AND99" s="412"/>
      <c r="ANE99" s="412"/>
      <c r="ANF99" s="412"/>
      <c r="ANG99" s="412"/>
      <c r="ANH99" s="412"/>
      <c r="ANI99" s="412"/>
      <c r="ANJ99" s="412"/>
      <c r="ANK99" s="412"/>
      <c r="ANL99" s="412"/>
      <c r="ANM99" s="412"/>
      <c r="ANN99" s="412"/>
      <c r="ANO99" s="412"/>
      <c r="ANP99" s="412"/>
      <c r="ANQ99" s="412"/>
      <c r="ANR99" s="412"/>
      <c r="ANS99" s="412"/>
      <c r="ANT99" s="412"/>
      <c r="ANU99" s="412"/>
      <c r="ANV99" s="412"/>
      <c r="ANW99" s="412"/>
      <c r="ANX99" s="412"/>
      <c r="ANY99" s="412"/>
      <c r="ANZ99" s="412"/>
      <c r="AOA99" s="412"/>
      <c r="AOB99" s="412"/>
      <c r="AOC99" s="412"/>
      <c r="AOD99" s="412"/>
      <c r="AOE99" s="412"/>
      <c r="AOF99" s="412"/>
      <c r="AOG99" s="412"/>
      <c r="AOH99" s="412"/>
      <c r="AOI99" s="412"/>
      <c r="AOJ99" s="412"/>
      <c r="AOK99" s="412"/>
      <c r="AOL99" s="412"/>
      <c r="AOM99" s="412"/>
      <c r="AON99" s="412"/>
      <c r="AOO99" s="412"/>
      <c r="AOP99" s="412"/>
      <c r="AOQ99" s="412"/>
      <c r="AOR99" s="412"/>
      <c r="AOS99" s="412"/>
      <c r="AOT99" s="412"/>
      <c r="AOU99" s="412"/>
      <c r="AOV99" s="412"/>
      <c r="AOW99" s="412"/>
      <c r="AOX99" s="412"/>
      <c r="AOY99" s="412"/>
      <c r="AOZ99" s="412"/>
      <c r="APA99" s="412"/>
      <c r="APB99" s="412"/>
      <c r="APC99" s="412"/>
      <c r="APD99" s="412"/>
      <c r="APE99" s="412"/>
      <c r="APF99" s="412"/>
      <c r="APG99" s="412"/>
      <c r="APH99" s="412"/>
      <c r="API99" s="412"/>
      <c r="APJ99" s="412"/>
      <c r="APK99" s="412"/>
      <c r="APL99" s="412"/>
      <c r="APM99" s="412"/>
      <c r="APN99" s="412"/>
      <c r="APO99" s="412"/>
      <c r="APP99" s="412"/>
      <c r="APQ99" s="412"/>
      <c r="APR99" s="412"/>
      <c r="APS99" s="412"/>
      <c r="APT99" s="412"/>
      <c r="APU99" s="412"/>
      <c r="APV99" s="412"/>
      <c r="APW99" s="412"/>
      <c r="APX99" s="412"/>
      <c r="APY99" s="412"/>
      <c r="APZ99" s="412"/>
      <c r="AQA99" s="412"/>
      <c r="AQB99" s="412"/>
      <c r="AQC99" s="412"/>
      <c r="AQD99" s="412"/>
      <c r="AQE99" s="412"/>
      <c r="AQF99" s="412"/>
      <c r="AQG99" s="412"/>
      <c r="AQH99" s="412"/>
      <c r="AQI99" s="412"/>
      <c r="AQJ99" s="412"/>
      <c r="AQK99" s="412"/>
      <c r="AQL99" s="412"/>
      <c r="AQM99" s="412"/>
      <c r="AQN99" s="412"/>
      <c r="AQO99" s="412"/>
      <c r="AQP99" s="412"/>
      <c r="AQQ99" s="412"/>
      <c r="AQR99" s="412"/>
      <c r="AQS99" s="412"/>
      <c r="AQT99" s="412"/>
      <c r="AQU99" s="412"/>
      <c r="AQV99" s="412"/>
      <c r="AQW99" s="412"/>
      <c r="AQX99" s="412"/>
      <c r="AQY99" s="412"/>
      <c r="AQZ99" s="412"/>
      <c r="ARA99" s="412"/>
      <c r="ARB99" s="412"/>
      <c r="ARC99" s="412"/>
      <c r="ARD99" s="412"/>
      <c r="ARE99" s="412"/>
      <c r="ARF99" s="412"/>
      <c r="ARG99" s="412"/>
      <c r="ARH99" s="412"/>
      <c r="ARI99" s="412"/>
      <c r="ARJ99" s="412"/>
      <c r="ARK99" s="412"/>
      <c r="ARL99" s="412"/>
      <c r="ARM99" s="412"/>
      <c r="ARN99" s="412"/>
      <c r="ARO99" s="412"/>
      <c r="ARP99" s="412"/>
      <c r="ARQ99" s="412"/>
      <c r="ARR99" s="412"/>
      <c r="ARS99" s="412"/>
      <c r="ART99" s="412"/>
      <c r="ARU99" s="412"/>
      <c r="ARV99" s="412"/>
      <c r="ARW99" s="412"/>
      <c r="ARX99" s="412"/>
      <c r="ARY99" s="412"/>
      <c r="ARZ99" s="412"/>
      <c r="ASA99" s="412"/>
      <c r="ASB99" s="412"/>
      <c r="ASC99" s="412"/>
      <c r="ASD99" s="412"/>
      <c r="ASE99" s="412"/>
      <c r="ASF99" s="412"/>
      <c r="ASG99" s="412"/>
      <c r="ASH99" s="412"/>
      <c r="ASI99" s="412"/>
      <c r="ASJ99" s="412"/>
      <c r="ASK99" s="412"/>
      <c r="ASL99" s="412"/>
      <c r="ASM99" s="412"/>
      <c r="ASN99" s="412"/>
      <c r="ASO99" s="412"/>
      <c r="ASP99" s="412"/>
      <c r="ASQ99" s="412"/>
      <c r="ASR99" s="412"/>
      <c r="ASS99" s="412"/>
      <c r="AST99" s="412"/>
      <c r="ASU99" s="412"/>
      <c r="ASV99" s="412"/>
      <c r="ASW99" s="412"/>
      <c r="ASX99" s="412"/>
      <c r="ASY99" s="412"/>
      <c r="ASZ99" s="412"/>
      <c r="ATA99" s="412"/>
      <c r="ATB99" s="412"/>
      <c r="ATC99" s="412"/>
      <c r="ATD99" s="412"/>
      <c r="ATE99" s="412"/>
      <c r="ATF99" s="412"/>
      <c r="ATG99" s="412"/>
      <c r="ATH99" s="412"/>
      <c r="ATI99" s="412"/>
      <c r="ATJ99" s="412"/>
      <c r="ATK99" s="412"/>
      <c r="ATL99" s="412"/>
      <c r="ATM99" s="412"/>
      <c r="ATN99" s="412"/>
      <c r="ATO99" s="412"/>
      <c r="ATP99" s="412"/>
      <c r="ATQ99" s="412"/>
      <c r="ATR99" s="412"/>
      <c r="ATS99" s="412"/>
      <c r="ATT99" s="412"/>
      <c r="ATU99" s="412"/>
      <c r="ATV99" s="412"/>
      <c r="ATW99" s="412"/>
      <c r="ATX99" s="412"/>
      <c r="ATY99" s="412"/>
      <c r="ATZ99" s="412"/>
      <c r="AUA99" s="412"/>
      <c r="AUB99" s="412"/>
      <c r="AUC99" s="412"/>
      <c r="AUD99" s="412"/>
      <c r="AUE99" s="412"/>
      <c r="AUF99" s="412"/>
      <c r="AUG99" s="412"/>
      <c r="AUH99" s="412"/>
      <c r="AUI99" s="412"/>
      <c r="AUJ99" s="412"/>
      <c r="AUK99" s="412"/>
      <c r="AUL99" s="412"/>
      <c r="AUM99" s="412"/>
      <c r="AUN99" s="412"/>
      <c r="AUO99" s="412"/>
      <c r="AUP99" s="412"/>
      <c r="AUQ99" s="412"/>
      <c r="AUR99" s="412"/>
      <c r="AUS99" s="412"/>
      <c r="AUT99" s="412"/>
      <c r="AUU99" s="412"/>
      <c r="AUV99" s="412"/>
      <c r="AUW99" s="412"/>
      <c r="AUX99" s="412"/>
      <c r="AUY99" s="412"/>
      <c r="AUZ99" s="412"/>
      <c r="AVA99" s="412"/>
      <c r="AVB99" s="412"/>
      <c r="AVC99" s="412"/>
      <c r="AVD99" s="412"/>
      <c r="AVE99" s="412"/>
      <c r="AVF99" s="412"/>
      <c r="AVG99" s="412"/>
      <c r="AVH99" s="412"/>
      <c r="AVI99" s="412"/>
      <c r="AVJ99" s="412"/>
      <c r="AVK99" s="412"/>
      <c r="AVL99" s="412"/>
      <c r="AVM99" s="412"/>
      <c r="AVN99" s="412"/>
      <c r="AVO99" s="412"/>
      <c r="AVP99" s="412"/>
      <c r="AVQ99" s="412"/>
      <c r="AVR99" s="412"/>
      <c r="AVS99" s="412"/>
      <c r="AVT99" s="412"/>
      <c r="AVU99" s="412"/>
      <c r="AVV99" s="412"/>
      <c r="AVW99" s="412"/>
      <c r="AVX99" s="412"/>
      <c r="AVY99" s="412"/>
      <c r="AVZ99" s="412"/>
      <c r="AWA99" s="412"/>
      <c r="AWB99" s="412"/>
      <c r="AWC99" s="412"/>
      <c r="AWD99" s="412"/>
      <c r="AWE99" s="412"/>
      <c r="AWF99" s="412"/>
      <c r="AWG99" s="412"/>
      <c r="AWH99" s="412"/>
      <c r="AWI99" s="412"/>
      <c r="AWJ99" s="412"/>
      <c r="AWK99" s="412"/>
      <c r="AWL99" s="412"/>
      <c r="AWM99" s="412"/>
      <c r="AWN99" s="412"/>
      <c r="AWO99" s="412"/>
      <c r="AWP99" s="412"/>
      <c r="AWQ99" s="412"/>
      <c r="AWR99" s="412"/>
      <c r="AWS99" s="412"/>
      <c r="AWT99" s="412"/>
      <c r="AWU99" s="412"/>
      <c r="AWV99" s="412"/>
      <c r="AWW99" s="412"/>
      <c r="AWX99" s="412"/>
      <c r="AWY99" s="412"/>
      <c r="AWZ99" s="412"/>
      <c r="AXA99" s="412"/>
      <c r="AXB99" s="412"/>
      <c r="AXC99" s="412"/>
      <c r="AXD99" s="412"/>
      <c r="AXE99" s="412"/>
      <c r="AXF99" s="412"/>
      <c r="AXG99" s="412"/>
      <c r="AXH99" s="412"/>
      <c r="AXI99" s="412"/>
      <c r="AXJ99" s="412"/>
      <c r="AXK99" s="412"/>
      <c r="AXL99" s="412"/>
      <c r="AXM99" s="412"/>
      <c r="AXN99" s="412"/>
      <c r="AXO99" s="412"/>
      <c r="AXP99" s="412"/>
      <c r="AXQ99" s="412"/>
      <c r="AXR99" s="412"/>
      <c r="AXS99" s="412"/>
      <c r="AXT99" s="412"/>
      <c r="AXU99" s="412"/>
      <c r="AXV99" s="412"/>
      <c r="AXW99" s="412"/>
      <c r="AXX99" s="412"/>
      <c r="AXY99" s="412"/>
      <c r="AXZ99" s="412"/>
      <c r="AYA99" s="412"/>
      <c r="AYB99" s="412"/>
      <c r="AYC99" s="412"/>
      <c r="AYD99" s="412"/>
      <c r="AYE99" s="412"/>
      <c r="AYF99" s="412"/>
      <c r="AYG99" s="412"/>
      <c r="AYH99" s="412"/>
      <c r="AYI99" s="412"/>
      <c r="AYJ99" s="412"/>
      <c r="AYK99" s="412"/>
      <c r="AYL99" s="412"/>
      <c r="AYM99" s="412"/>
      <c r="AYN99" s="412"/>
      <c r="AYO99" s="412"/>
      <c r="AYP99" s="412"/>
      <c r="AYQ99" s="412"/>
      <c r="AYR99" s="412"/>
      <c r="AYS99" s="412"/>
      <c r="AYT99" s="412"/>
      <c r="AYU99" s="412"/>
      <c r="AYV99" s="412"/>
      <c r="AYW99" s="412"/>
      <c r="AYX99" s="412"/>
      <c r="AYY99" s="412"/>
      <c r="AYZ99" s="412"/>
      <c r="AZA99" s="412"/>
      <c r="AZB99" s="412"/>
      <c r="AZC99" s="412"/>
      <c r="AZD99" s="412"/>
      <c r="AZE99" s="412"/>
      <c r="AZF99" s="412"/>
      <c r="AZG99" s="412"/>
      <c r="AZH99" s="412"/>
      <c r="AZI99" s="412"/>
      <c r="AZJ99" s="412"/>
      <c r="AZK99" s="412"/>
      <c r="AZL99" s="412"/>
      <c r="AZM99" s="412"/>
      <c r="AZN99" s="412"/>
      <c r="AZO99" s="412"/>
      <c r="AZP99" s="412"/>
      <c r="AZQ99" s="412"/>
      <c r="AZR99" s="412"/>
      <c r="AZS99" s="412"/>
      <c r="AZT99" s="412"/>
      <c r="AZU99" s="412"/>
      <c r="AZV99" s="412"/>
      <c r="AZW99" s="412"/>
      <c r="AZX99" s="412"/>
      <c r="AZY99" s="412"/>
      <c r="AZZ99" s="412"/>
      <c r="BAA99" s="412"/>
      <c r="BAB99" s="412"/>
      <c r="BAC99" s="412"/>
      <c r="BAD99" s="412"/>
      <c r="BAE99" s="412"/>
      <c r="BAF99" s="412"/>
      <c r="BAG99" s="412"/>
      <c r="BAH99" s="412"/>
      <c r="BAI99" s="412"/>
      <c r="BAJ99" s="412"/>
      <c r="BAK99" s="412"/>
      <c r="BAL99" s="412"/>
      <c r="BAM99" s="412"/>
      <c r="BAN99" s="412"/>
      <c r="BAO99" s="412"/>
      <c r="BAP99" s="412"/>
      <c r="BAQ99" s="412"/>
      <c r="BAR99" s="412"/>
      <c r="BAS99" s="412"/>
      <c r="BAT99" s="412"/>
      <c r="BAU99" s="412"/>
      <c r="BAV99" s="412"/>
      <c r="BAW99" s="412"/>
      <c r="BAX99" s="412"/>
      <c r="BAY99" s="412"/>
      <c r="BAZ99" s="412"/>
      <c r="BBA99" s="412"/>
      <c r="BBB99" s="412"/>
      <c r="BBC99" s="412"/>
      <c r="BBD99" s="412"/>
      <c r="BBE99" s="412"/>
      <c r="BBF99" s="412"/>
      <c r="BBG99" s="412"/>
      <c r="BBH99" s="412"/>
      <c r="BBI99" s="412"/>
      <c r="BBJ99" s="412"/>
      <c r="BBK99" s="412"/>
      <c r="BBL99" s="412"/>
      <c r="BBM99" s="412"/>
      <c r="BBN99" s="412"/>
      <c r="BBO99" s="412"/>
      <c r="BBP99" s="412"/>
      <c r="BBQ99" s="412"/>
      <c r="BBR99" s="412"/>
      <c r="BBS99" s="412"/>
      <c r="BBT99" s="412"/>
      <c r="BBU99" s="412"/>
      <c r="BBV99" s="412"/>
      <c r="BBW99" s="412"/>
      <c r="BBX99" s="412"/>
      <c r="BBY99" s="412"/>
      <c r="BBZ99" s="412"/>
      <c r="BCA99" s="412"/>
      <c r="BCB99" s="412"/>
      <c r="BCC99" s="412"/>
      <c r="BCD99" s="412"/>
      <c r="BCE99" s="412"/>
      <c r="BCF99" s="412"/>
      <c r="BCG99" s="412"/>
      <c r="BCH99" s="412"/>
      <c r="BCI99" s="412"/>
      <c r="BCJ99" s="412"/>
      <c r="BCK99" s="412"/>
      <c r="BCL99" s="412"/>
      <c r="BCM99" s="412"/>
      <c r="BCN99" s="412"/>
      <c r="BCO99" s="412"/>
      <c r="BCP99" s="412"/>
      <c r="BCQ99" s="412"/>
      <c r="BCR99" s="412"/>
      <c r="BCS99" s="412"/>
      <c r="BCT99" s="412"/>
      <c r="BCU99" s="412"/>
      <c r="BCV99" s="412"/>
      <c r="BCW99" s="412"/>
      <c r="BCX99" s="412"/>
      <c r="BCY99" s="412"/>
      <c r="BCZ99" s="412"/>
      <c r="BDA99" s="412"/>
      <c r="BDB99" s="412"/>
      <c r="BDC99" s="412"/>
      <c r="BDD99" s="412"/>
      <c r="BDE99" s="412"/>
      <c r="BDF99" s="412"/>
      <c r="BDG99" s="412"/>
      <c r="BDH99" s="412"/>
      <c r="BDI99" s="412"/>
      <c r="BDJ99" s="412"/>
      <c r="BDK99" s="412"/>
      <c r="BDL99" s="412"/>
      <c r="BDM99" s="412"/>
      <c r="BDN99" s="412"/>
      <c r="BDO99" s="412"/>
      <c r="BDP99" s="412"/>
      <c r="BDQ99" s="412"/>
      <c r="BDR99" s="412"/>
      <c r="BDS99" s="412"/>
      <c r="BDT99" s="412"/>
      <c r="BDU99" s="412"/>
      <c r="BDV99" s="412"/>
      <c r="BDW99" s="412"/>
      <c r="BDX99" s="412"/>
      <c r="BDY99" s="412"/>
      <c r="BDZ99" s="412"/>
      <c r="BEA99" s="412"/>
      <c r="BEB99" s="412"/>
      <c r="BEC99" s="412"/>
      <c r="BED99" s="412"/>
      <c r="BEE99" s="412"/>
      <c r="BEF99" s="412"/>
      <c r="BEG99" s="412"/>
      <c r="BEH99" s="412"/>
      <c r="BEI99" s="412"/>
      <c r="BEJ99" s="412"/>
      <c r="BEK99" s="412"/>
      <c r="BEL99" s="412"/>
      <c r="BEM99" s="412"/>
      <c r="BEN99" s="412"/>
      <c r="BEO99" s="412"/>
      <c r="BEP99" s="412"/>
      <c r="BEQ99" s="412"/>
      <c r="BER99" s="412"/>
      <c r="BES99" s="412"/>
      <c r="BET99" s="412"/>
      <c r="BEU99" s="412"/>
      <c r="BEV99" s="412"/>
      <c r="BEW99" s="412"/>
      <c r="BEX99" s="412"/>
      <c r="BEY99" s="412"/>
      <c r="BEZ99" s="412"/>
      <c r="BFA99" s="412"/>
      <c r="BFB99" s="412"/>
      <c r="BFC99" s="412"/>
      <c r="BFD99" s="412"/>
      <c r="BFE99" s="412"/>
      <c r="BFF99" s="412"/>
      <c r="BFG99" s="412"/>
      <c r="BFH99" s="412"/>
      <c r="BFI99" s="412"/>
      <c r="BFJ99" s="412"/>
      <c r="BFK99" s="412"/>
      <c r="BFL99" s="412"/>
      <c r="BFM99" s="412"/>
      <c r="BFN99" s="412"/>
      <c r="BFO99" s="412"/>
      <c r="BFP99" s="412"/>
      <c r="BFQ99" s="412"/>
      <c r="BFR99" s="412"/>
      <c r="BFS99" s="412"/>
      <c r="BFT99" s="412"/>
      <c r="BFU99" s="412"/>
      <c r="BFV99" s="412"/>
      <c r="BFW99" s="412"/>
      <c r="BFX99" s="412"/>
      <c r="BFY99" s="412"/>
      <c r="BFZ99" s="412"/>
      <c r="BGA99" s="412"/>
      <c r="BGB99" s="412"/>
      <c r="BGC99" s="412"/>
      <c r="BGD99" s="412"/>
      <c r="BGE99" s="412"/>
      <c r="BGF99" s="412"/>
      <c r="BGG99" s="412"/>
      <c r="BGH99" s="412"/>
      <c r="BGI99" s="412"/>
      <c r="BGJ99" s="412"/>
      <c r="BGK99" s="412"/>
      <c r="BGL99" s="412"/>
      <c r="BGM99" s="412"/>
      <c r="BGN99" s="412"/>
      <c r="BGO99" s="412"/>
      <c r="BGP99" s="412"/>
      <c r="BGQ99" s="412"/>
      <c r="BGR99" s="412"/>
      <c r="BGS99" s="412"/>
      <c r="BGT99" s="412"/>
      <c r="BGU99" s="412"/>
      <c r="BGV99" s="412"/>
      <c r="BGW99" s="412"/>
      <c r="BGX99" s="412"/>
      <c r="BGY99" s="412"/>
      <c r="BGZ99" s="412"/>
      <c r="BHA99" s="412"/>
      <c r="BHB99" s="412"/>
      <c r="BHC99" s="412"/>
      <c r="BHD99" s="412"/>
      <c r="BHE99" s="412"/>
      <c r="BHF99" s="412"/>
      <c r="BHG99" s="412"/>
      <c r="BHH99" s="412"/>
      <c r="BHI99" s="412"/>
      <c r="BHJ99" s="412"/>
      <c r="BHK99" s="412"/>
      <c r="BHL99" s="412"/>
      <c r="BHM99" s="412"/>
      <c r="BHN99" s="412"/>
      <c r="BHO99" s="412"/>
      <c r="BHP99" s="412"/>
      <c r="BHQ99" s="412"/>
      <c r="BHR99" s="412"/>
      <c r="BHS99" s="412"/>
      <c r="BHT99" s="412"/>
      <c r="BHU99" s="412"/>
      <c r="BHV99" s="412"/>
      <c r="BHW99" s="412"/>
      <c r="BHX99" s="412"/>
      <c r="BHY99" s="412"/>
      <c r="BHZ99" s="412"/>
      <c r="BIA99" s="412"/>
      <c r="BIB99" s="412"/>
      <c r="BIC99" s="412"/>
      <c r="BID99" s="412"/>
      <c r="BIE99" s="412"/>
      <c r="BIF99" s="412"/>
      <c r="BIG99" s="412"/>
      <c r="BIH99" s="412"/>
      <c r="BII99" s="412"/>
      <c r="BIJ99" s="412"/>
      <c r="BIK99" s="412"/>
      <c r="BIL99" s="412"/>
      <c r="BIM99" s="412"/>
      <c r="BIN99" s="412"/>
      <c r="BIO99" s="412"/>
      <c r="BIP99" s="412"/>
      <c r="BIQ99" s="412"/>
      <c r="BIR99" s="412"/>
      <c r="BIS99" s="412"/>
      <c r="BIT99" s="412"/>
      <c r="BIU99" s="412"/>
      <c r="BIV99" s="412"/>
      <c r="BIW99" s="412"/>
      <c r="BIX99" s="412"/>
      <c r="BIY99" s="412"/>
      <c r="BIZ99" s="412"/>
      <c r="BJA99" s="412"/>
      <c r="BJB99" s="412"/>
      <c r="BJC99" s="412"/>
      <c r="BJD99" s="412"/>
      <c r="BJE99" s="412"/>
      <c r="BJF99" s="412"/>
      <c r="BJG99" s="412"/>
      <c r="BJH99" s="412"/>
      <c r="BJI99" s="412"/>
      <c r="BJJ99" s="412"/>
      <c r="BJK99" s="412"/>
      <c r="BJL99" s="412"/>
      <c r="BJM99" s="412"/>
      <c r="BJN99" s="412"/>
      <c r="BJO99" s="412"/>
      <c r="BJP99" s="412"/>
      <c r="BJQ99" s="412"/>
      <c r="BJR99" s="412"/>
      <c r="BJS99" s="412"/>
      <c r="BJT99" s="412"/>
      <c r="BJU99" s="412"/>
      <c r="BJV99" s="412"/>
      <c r="BJW99" s="412"/>
      <c r="BJX99" s="412"/>
      <c r="BJY99" s="412"/>
      <c r="BJZ99" s="412"/>
      <c r="BKA99" s="412"/>
      <c r="BKB99" s="412"/>
      <c r="BKC99" s="412"/>
      <c r="BKD99" s="412"/>
      <c r="BKE99" s="412"/>
      <c r="BKF99" s="412"/>
      <c r="BKG99" s="412"/>
      <c r="BKH99" s="412"/>
      <c r="BKI99" s="412"/>
      <c r="BKJ99" s="412"/>
      <c r="BKK99" s="412"/>
      <c r="BKL99" s="412"/>
      <c r="BKM99" s="412"/>
      <c r="BKN99" s="412"/>
      <c r="BKO99" s="412"/>
      <c r="BKP99" s="412"/>
      <c r="BKQ99" s="412"/>
      <c r="BKR99" s="412"/>
      <c r="BKS99" s="412"/>
      <c r="BKT99" s="412"/>
      <c r="BKU99" s="412"/>
      <c r="BKV99" s="412"/>
      <c r="BKW99" s="412"/>
      <c r="BKX99" s="412"/>
      <c r="BKY99" s="412"/>
      <c r="BKZ99" s="412"/>
      <c r="BLA99" s="412"/>
      <c r="BLB99" s="412"/>
      <c r="BLC99" s="412"/>
      <c r="BLD99" s="412"/>
      <c r="BLE99" s="412"/>
      <c r="BLF99" s="412"/>
      <c r="BLG99" s="412"/>
      <c r="BLH99" s="412"/>
      <c r="BLI99" s="412"/>
      <c r="BLJ99" s="412"/>
      <c r="BLK99" s="412"/>
      <c r="BLL99" s="412"/>
      <c r="BLM99" s="412"/>
      <c r="BLN99" s="412"/>
      <c r="BLO99" s="412"/>
      <c r="BLP99" s="412"/>
      <c r="BLQ99" s="412"/>
      <c r="BLR99" s="412"/>
      <c r="BLS99" s="412"/>
      <c r="BLT99" s="412"/>
      <c r="BLU99" s="412"/>
      <c r="BLV99" s="412"/>
      <c r="BLW99" s="412"/>
      <c r="BLX99" s="412"/>
      <c r="BLY99" s="412"/>
      <c r="BLZ99" s="412"/>
      <c r="BMA99" s="412"/>
      <c r="BMB99" s="412"/>
      <c r="BMC99" s="412"/>
      <c r="BMD99" s="412"/>
      <c r="BME99" s="412"/>
      <c r="BMF99" s="412"/>
      <c r="BMG99" s="412"/>
      <c r="BMH99" s="412"/>
      <c r="BMI99" s="412"/>
      <c r="BMJ99" s="412"/>
      <c r="BMK99" s="412"/>
      <c r="BML99" s="412"/>
      <c r="BMM99" s="412"/>
      <c r="BMN99" s="412"/>
      <c r="BMO99" s="412"/>
      <c r="BMP99" s="412"/>
      <c r="BMQ99" s="412"/>
      <c r="BMR99" s="412"/>
      <c r="BMS99" s="412"/>
      <c r="BMT99" s="412"/>
      <c r="BMU99" s="412"/>
      <c r="BMV99" s="412"/>
      <c r="BMW99" s="412"/>
      <c r="BMX99" s="412"/>
      <c r="BMY99" s="412"/>
      <c r="BMZ99" s="412"/>
      <c r="BNA99" s="412"/>
      <c r="BNB99" s="412"/>
      <c r="BNC99" s="412"/>
      <c r="BND99" s="412"/>
      <c r="BNE99" s="412"/>
      <c r="BNF99" s="412"/>
      <c r="BNG99" s="412"/>
      <c r="BNH99" s="412"/>
      <c r="BNI99" s="412"/>
      <c r="BNJ99" s="412"/>
      <c r="BNK99" s="412"/>
      <c r="BNL99" s="412"/>
      <c r="BNM99" s="412"/>
      <c r="BNN99" s="412"/>
      <c r="BNO99" s="412"/>
      <c r="BNP99" s="412"/>
      <c r="BNQ99" s="412"/>
      <c r="BNR99" s="412"/>
      <c r="BNS99" s="412"/>
      <c r="BNT99" s="412"/>
      <c r="BNU99" s="412"/>
      <c r="BNV99" s="412"/>
      <c r="BNW99" s="412"/>
      <c r="BNX99" s="412"/>
      <c r="BNY99" s="412"/>
      <c r="BNZ99" s="412"/>
      <c r="BOA99" s="412"/>
      <c r="BOB99" s="412"/>
      <c r="BOC99" s="412"/>
      <c r="BOD99" s="412"/>
      <c r="BOE99" s="412"/>
      <c r="BOF99" s="412"/>
      <c r="BOG99" s="412"/>
      <c r="BOH99" s="412"/>
      <c r="BOI99" s="412"/>
      <c r="BOJ99" s="412"/>
      <c r="BOK99" s="412"/>
      <c r="BOL99" s="412"/>
      <c r="BOM99" s="412"/>
      <c r="BON99" s="412"/>
      <c r="BOO99" s="412"/>
      <c r="BOP99" s="412"/>
      <c r="BOQ99" s="412"/>
      <c r="BOR99" s="412"/>
      <c r="BOS99" s="412"/>
      <c r="BOT99" s="412"/>
      <c r="BOU99" s="412"/>
      <c r="BOV99" s="412"/>
      <c r="BOW99" s="412"/>
      <c r="BOX99" s="412"/>
      <c r="BOY99" s="412"/>
      <c r="BOZ99" s="412"/>
      <c r="BPA99" s="412"/>
      <c r="BPB99" s="412"/>
      <c r="BPC99" s="412"/>
      <c r="BPD99" s="412"/>
      <c r="BPE99" s="412"/>
      <c r="BPF99" s="412"/>
      <c r="BPG99" s="412"/>
      <c r="BPH99" s="412"/>
      <c r="BPI99" s="412"/>
      <c r="BPJ99" s="412"/>
      <c r="BPK99" s="412"/>
      <c r="BPL99" s="412"/>
      <c r="BPM99" s="412"/>
      <c r="BPN99" s="412"/>
      <c r="BPO99" s="412"/>
      <c r="BPP99" s="412"/>
      <c r="BPQ99" s="412"/>
      <c r="BPR99" s="412"/>
      <c r="BPS99" s="412"/>
      <c r="BPT99" s="412"/>
      <c r="BPU99" s="412"/>
      <c r="BPV99" s="412"/>
      <c r="BPW99" s="412"/>
      <c r="BPX99" s="412"/>
      <c r="BPY99" s="412"/>
      <c r="BPZ99" s="412"/>
      <c r="BQA99" s="412"/>
      <c r="BQB99" s="412"/>
      <c r="BQC99" s="412"/>
      <c r="BQD99" s="412"/>
      <c r="BQE99" s="412"/>
      <c r="BQF99" s="412"/>
      <c r="BQG99" s="412"/>
      <c r="BQH99" s="412"/>
      <c r="BQI99" s="412"/>
      <c r="BQJ99" s="412"/>
      <c r="BQK99" s="412"/>
      <c r="BQL99" s="412"/>
      <c r="BQM99" s="412"/>
      <c r="BQN99" s="412"/>
      <c r="BQO99" s="412"/>
      <c r="BQP99" s="412"/>
      <c r="BQQ99" s="412"/>
      <c r="BQR99" s="412"/>
      <c r="BQS99" s="412"/>
      <c r="BQT99" s="412"/>
      <c r="BQU99" s="412"/>
      <c r="BQV99" s="412"/>
      <c r="BQW99" s="412"/>
      <c r="BQX99" s="412"/>
      <c r="BQY99" s="412"/>
      <c r="BQZ99" s="412"/>
      <c r="BRA99" s="412"/>
      <c r="BRB99" s="412"/>
      <c r="BRC99" s="412"/>
      <c r="BRD99" s="412"/>
      <c r="BRE99" s="412"/>
      <c r="BRF99" s="412"/>
      <c r="BRG99" s="412"/>
      <c r="BRH99" s="412"/>
      <c r="BRI99" s="412"/>
      <c r="BRJ99" s="412"/>
      <c r="BRK99" s="412"/>
      <c r="BRL99" s="412"/>
      <c r="BRM99" s="412"/>
      <c r="BRN99" s="412"/>
      <c r="BRO99" s="412"/>
      <c r="BRP99" s="412"/>
      <c r="BRQ99" s="412"/>
      <c r="BRR99" s="412"/>
      <c r="BRS99" s="412"/>
      <c r="BRT99" s="412"/>
      <c r="BRU99" s="412"/>
      <c r="BRV99" s="412"/>
      <c r="BRW99" s="412"/>
      <c r="BRX99" s="412"/>
      <c r="BRY99" s="412"/>
      <c r="BRZ99" s="412"/>
      <c r="BSA99" s="412"/>
      <c r="BSB99" s="412"/>
      <c r="BSC99" s="412"/>
      <c r="BSD99" s="412"/>
      <c r="BSE99" s="412"/>
      <c r="BSF99" s="412"/>
      <c r="BSG99" s="412"/>
      <c r="BSH99" s="412"/>
      <c r="BSI99" s="412"/>
      <c r="BSJ99" s="412"/>
      <c r="BSK99" s="412"/>
      <c r="BSL99" s="412"/>
      <c r="BSM99" s="412"/>
      <c r="BSN99" s="412"/>
      <c r="BSO99" s="412"/>
      <c r="BSP99" s="412"/>
      <c r="BSQ99" s="412"/>
      <c r="BSR99" s="412"/>
      <c r="BSS99" s="412"/>
      <c r="BST99" s="412"/>
      <c r="BSU99" s="412"/>
      <c r="BSV99" s="412"/>
      <c r="BSW99" s="412"/>
      <c r="BSX99" s="412"/>
      <c r="BSY99" s="412"/>
      <c r="BSZ99" s="412"/>
      <c r="BTA99" s="412"/>
      <c r="BTB99" s="412"/>
      <c r="BTC99" s="412"/>
      <c r="BTD99" s="412"/>
      <c r="BTE99" s="412"/>
      <c r="BTF99" s="412"/>
      <c r="BTG99" s="412"/>
      <c r="BTH99" s="412"/>
      <c r="BTI99" s="412"/>
    </row>
    <row r="100" spans="1:1881" ht="45" x14ac:dyDescent="0.25">
      <c r="A100" s="189">
        <v>91</v>
      </c>
      <c r="B100" s="64" t="s">
        <v>65</v>
      </c>
      <c r="C100" s="160" t="s">
        <v>185</v>
      </c>
      <c r="D100" s="166" t="s">
        <v>179</v>
      </c>
      <c r="E100" s="32" t="e">
        <f>HLOOKUP($D$2,'2019 Data(H)'!$C$1:$CG$300,53,FALSE)</f>
        <v>#N/A</v>
      </c>
      <c r="F100" s="647"/>
      <c r="G100" s="413">
        <f>IF(F100&lt;0,"Note: Number is normally positive.",)</f>
        <v>0</v>
      </c>
      <c r="H100" s="13"/>
      <c r="I100" s="31"/>
    </row>
    <row r="101" spans="1:1881" ht="66.75" customHeight="1" x14ac:dyDescent="0.25">
      <c r="A101" s="189">
        <v>581</v>
      </c>
      <c r="B101" s="151" t="s">
        <v>654</v>
      </c>
      <c r="C101" s="183" t="s">
        <v>185</v>
      </c>
      <c r="D101" s="312" t="s">
        <v>1068</v>
      </c>
      <c r="E101" s="32" t="e">
        <f>HLOOKUP($D$2,'2019 Data(H)'!$C$1:$CG$300,231,FALSE)</f>
        <v>#N/A</v>
      </c>
      <c r="F101" s="647"/>
      <c r="G101" s="413"/>
      <c r="H101" s="67"/>
      <c r="I101" s="31"/>
    </row>
    <row r="102" spans="1:1881" ht="67.5" customHeight="1" x14ac:dyDescent="0.25">
      <c r="A102" s="189">
        <v>511</v>
      </c>
      <c r="B102" s="64" t="s">
        <v>65</v>
      </c>
      <c r="C102" s="160" t="s">
        <v>185</v>
      </c>
      <c r="D102" s="141" t="s">
        <v>180</v>
      </c>
      <c r="E102" s="32" t="e">
        <f>HLOOKUP($D$2,'2019 Data(H)'!$C$1:$CG$300,161,FALSE)</f>
        <v>#N/A</v>
      </c>
      <c r="F102" s="647"/>
      <c r="G102" s="413">
        <f>IF(F102&lt;0,"Note: Number is normally positive.",)</f>
        <v>0</v>
      </c>
      <c r="H102" s="13"/>
      <c r="I102" s="31"/>
    </row>
    <row r="103" spans="1:1881" s="393" customFormat="1" ht="72" customHeight="1" x14ac:dyDescent="0.25">
      <c r="A103" s="473">
        <v>657</v>
      </c>
      <c r="B103" s="469" t="s">
        <v>65</v>
      </c>
      <c r="C103" s="470" t="s">
        <v>185</v>
      </c>
      <c r="D103" s="471" t="s">
        <v>996</v>
      </c>
      <c r="E103" s="472" t="s">
        <v>837</v>
      </c>
      <c r="F103" s="647"/>
      <c r="G103" s="871">
        <f>IF((F99+F100+F102)&gt;F103,"Error: Please review components of current assets above.  Account numbers (90+91+511)&gt;657",)</f>
        <v>0</v>
      </c>
      <c r="H103" s="414"/>
      <c r="I103" s="415"/>
      <c r="J103" s="412"/>
      <c r="K103" s="412"/>
      <c r="L103" s="412"/>
      <c r="M103" s="412"/>
      <c r="N103"/>
      <c r="O103" s="412"/>
      <c r="P103" s="412"/>
      <c r="Q103" s="412"/>
      <c r="R103" s="412"/>
      <c r="S103" s="412"/>
      <c r="T103" s="412"/>
      <c r="U103" s="412"/>
      <c r="V103" s="412"/>
      <c r="W103" s="412"/>
      <c r="X103" s="412"/>
      <c r="Y103" s="412"/>
      <c r="Z103" s="412"/>
      <c r="AA103" s="412"/>
      <c r="AB103" s="412"/>
      <c r="AC103" s="412"/>
      <c r="AD103" s="412"/>
      <c r="AE103" s="412"/>
      <c r="AF103" s="412"/>
      <c r="AG103" s="412"/>
      <c r="AH103" s="412"/>
      <c r="AI103" s="412"/>
      <c r="AJ103" s="412"/>
      <c r="AK103" s="412"/>
      <c r="AL103" s="412"/>
      <c r="AM103" s="412"/>
      <c r="AN103" s="412"/>
      <c r="AO103" s="412"/>
      <c r="AP103" s="412"/>
      <c r="AQ103" s="412"/>
      <c r="AR103" s="412"/>
      <c r="AS103" s="412"/>
      <c r="AT103" s="412"/>
      <c r="AU103" s="412"/>
      <c r="AV103" s="412"/>
      <c r="AW103" s="412"/>
      <c r="AX103" s="412"/>
      <c r="AY103" s="412"/>
      <c r="AZ103" s="412"/>
      <c r="BA103" s="412"/>
      <c r="BB103" s="412"/>
      <c r="BC103" s="412"/>
      <c r="BD103" s="412"/>
      <c r="BE103" s="412"/>
      <c r="BF103" s="412"/>
      <c r="BG103" s="412"/>
      <c r="BH103" s="412"/>
      <c r="BI103" s="412"/>
      <c r="BJ103" s="412"/>
      <c r="BK103" s="412"/>
      <c r="BL103" s="412"/>
      <c r="BM103" s="412"/>
      <c r="BN103" s="412"/>
      <c r="BO103" s="412"/>
      <c r="BP103" s="412"/>
      <c r="BQ103" s="412"/>
      <c r="BR103" s="412"/>
      <c r="BS103" s="412"/>
      <c r="BT103" s="412"/>
      <c r="BU103" s="412"/>
      <c r="BV103" s="412"/>
      <c r="BW103" s="412"/>
      <c r="BX103" s="412"/>
      <c r="BY103" s="412"/>
      <c r="BZ103" s="412"/>
      <c r="CA103" s="412"/>
      <c r="CB103" s="412"/>
      <c r="CC103" s="412"/>
      <c r="CD103" s="412"/>
      <c r="CE103" s="412"/>
      <c r="CF103" s="412"/>
      <c r="CG103" s="412"/>
      <c r="CH103" s="412"/>
      <c r="CI103" s="412"/>
      <c r="CJ103" s="412"/>
      <c r="CK103" s="412"/>
      <c r="CL103" s="412"/>
      <c r="CM103" s="412"/>
      <c r="CN103" s="412"/>
      <c r="CO103" s="412"/>
      <c r="CP103" s="412"/>
      <c r="CQ103" s="412"/>
      <c r="CR103" s="412"/>
      <c r="CS103" s="412"/>
      <c r="CT103" s="412"/>
      <c r="CU103" s="412"/>
      <c r="CV103" s="412"/>
      <c r="CW103" s="412"/>
      <c r="CX103" s="412"/>
      <c r="CY103" s="412"/>
      <c r="CZ103" s="412"/>
      <c r="DA103" s="412"/>
      <c r="DB103" s="412"/>
      <c r="DC103" s="412"/>
      <c r="DD103" s="412"/>
      <c r="DE103" s="412"/>
      <c r="DF103" s="412"/>
      <c r="DG103" s="412"/>
      <c r="DH103" s="412"/>
      <c r="DI103" s="412"/>
      <c r="DJ103" s="412"/>
      <c r="DK103" s="412"/>
      <c r="DL103" s="412"/>
      <c r="DM103" s="412"/>
      <c r="DN103" s="412"/>
      <c r="DO103" s="412"/>
      <c r="DP103" s="412"/>
      <c r="DQ103" s="412"/>
      <c r="DR103" s="412"/>
      <c r="DS103" s="412"/>
      <c r="DT103" s="412"/>
      <c r="DU103" s="412"/>
      <c r="DV103" s="412"/>
      <c r="DW103" s="412"/>
      <c r="DX103" s="412"/>
      <c r="DY103" s="412"/>
      <c r="DZ103" s="412"/>
      <c r="EA103" s="412"/>
      <c r="EB103" s="412"/>
      <c r="EC103" s="412"/>
      <c r="ED103" s="412"/>
      <c r="EE103" s="412"/>
      <c r="EF103" s="412"/>
      <c r="EG103" s="412"/>
      <c r="EH103" s="412"/>
      <c r="EI103" s="412"/>
      <c r="EJ103" s="412"/>
      <c r="EK103" s="412"/>
      <c r="EL103" s="412"/>
      <c r="EM103" s="412"/>
      <c r="EN103" s="412"/>
      <c r="EO103" s="412"/>
      <c r="EP103" s="412"/>
      <c r="EQ103" s="412"/>
      <c r="ER103" s="412"/>
      <c r="ES103" s="412"/>
      <c r="ET103" s="412"/>
      <c r="EU103" s="412"/>
      <c r="EV103" s="412"/>
      <c r="EW103" s="412"/>
      <c r="EX103" s="412"/>
      <c r="EY103" s="412"/>
      <c r="EZ103" s="412"/>
      <c r="FA103" s="412"/>
      <c r="FB103" s="412"/>
      <c r="FC103" s="412"/>
      <c r="FD103" s="412"/>
      <c r="FE103" s="412"/>
      <c r="FF103" s="412"/>
      <c r="FG103" s="412"/>
      <c r="FH103" s="412"/>
      <c r="FI103" s="412"/>
      <c r="FJ103" s="412"/>
      <c r="FK103" s="412"/>
      <c r="FL103" s="412"/>
      <c r="FM103" s="412"/>
      <c r="FN103" s="412"/>
      <c r="FO103" s="412"/>
      <c r="FP103" s="412"/>
      <c r="FQ103" s="412"/>
      <c r="FR103" s="412"/>
      <c r="FS103" s="412"/>
      <c r="FT103" s="412"/>
      <c r="FU103" s="412"/>
      <c r="FV103" s="412"/>
      <c r="FW103" s="412"/>
      <c r="FX103" s="412"/>
      <c r="FY103" s="412"/>
      <c r="FZ103" s="412"/>
      <c r="GA103" s="412"/>
      <c r="GB103" s="412"/>
      <c r="GC103" s="412"/>
      <c r="GD103" s="412"/>
      <c r="GE103" s="412"/>
      <c r="GF103" s="412"/>
      <c r="GG103" s="412"/>
      <c r="GH103" s="412"/>
      <c r="GI103" s="412"/>
      <c r="GJ103" s="412"/>
      <c r="GK103" s="412"/>
      <c r="GL103" s="412"/>
      <c r="GM103" s="412"/>
      <c r="GN103" s="412"/>
      <c r="GO103" s="412"/>
      <c r="GP103" s="412"/>
      <c r="GQ103" s="412"/>
      <c r="GR103" s="412"/>
      <c r="GS103" s="412"/>
      <c r="GT103" s="412"/>
      <c r="GU103" s="412"/>
      <c r="GV103" s="412"/>
      <c r="GW103" s="412"/>
      <c r="GX103" s="412"/>
      <c r="GY103" s="412"/>
      <c r="GZ103" s="412"/>
      <c r="HA103" s="412"/>
      <c r="HB103" s="412"/>
      <c r="HC103" s="412"/>
      <c r="HD103" s="412"/>
      <c r="HE103" s="412"/>
      <c r="HF103" s="412"/>
      <c r="HG103" s="412"/>
      <c r="HH103" s="412"/>
      <c r="HI103" s="412"/>
      <c r="HJ103" s="412"/>
      <c r="HK103" s="412"/>
      <c r="HL103" s="412"/>
      <c r="HM103" s="412"/>
      <c r="HN103" s="412"/>
      <c r="HO103" s="412"/>
      <c r="HP103" s="412"/>
      <c r="HQ103" s="412"/>
      <c r="HR103" s="412"/>
      <c r="HS103" s="412"/>
      <c r="HT103" s="412"/>
      <c r="HU103" s="412"/>
      <c r="HV103" s="412"/>
      <c r="HW103" s="412"/>
      <c r="HX103" s="412"/>
      <c r="HY103" s="412"/>
      <c r="HZ103" s="412"/>
      <c r="IA103" s="412"/>
      <c r="IB103" s="412"/>
      <c r="IC103" s="412"/>
      <c r="ID103" s="412"/>
      <c r="IE103" s="412"/>
      <c r="IF103" s="412"/>
      <c r="IG103" s="412"/>
      <c r="IH103" s="412"/>
      <c r="II103" s="412"/>
      <c r="IJ103" s="412"/>
      <c r="IK103" s="412"/>
      <c r="IL103" s="412"/>
      <c r="IM103" s="412"/>
      <c r="IN103" s="412"/>
      <c r="IO103" s="412"/>
      <c r="IP103" s="412"/>
      <c r="IQ103" s="412"/>
      <c r="IR103" s="412"/>
      <c r="IS103" s="412"/>
      <c r="IT103" s="412"/>
      <c r="IU103" s="412"/>
      <c r="IV103" s="412"/>
      <c r="IW103" s="412"/>
      <c r="IX103" s="412"/>
      <c r="IY103" s="412"/>
      <c r="IZ103" s="412"/>
      <c r="JA103" s="412"/>
      <c r="JB103" s="412"/>
      <c r="JC103" s="412"/>
      <c r="JD103" s="412"/>
      <c r="JE103" s="412"/>
      <c r="JF103" s="412"/>
      <c r="JG103" s="412"/>
      <c r="JH103" s="412"/>
      <c r="JI103" s="412"/>
      <c r="JJ103" s="412"/>
      <c r="JK103" s="412"/>
      <c r="JL103" s="412"/>
      <c r="JM103" s="412"/>
      <c r="JN103" s="412"/>
      <c r="JO103" s="412"/>
      <c r="JP103" s="412"/>
      <c r="JQ103" s="412"/>
      <c r="JR103" s="412"/>
      <c r="JS103" s="412"/>
      <c r="JT103" s="412"/>
      <c r="JU103" s="412"/>
      <c r="JV103" s="412"/>
      <c r="JW103" s="412"/>
      <c r="JX103" s="412"/>
      <c r="JY103" s="412"/>
      <c r="JZ103" s="412"/>
      <c r="KA103" s="412"/>
      <c r="KB103" s="412"/>
      <c r="KC103" s="412"/>
      <c r="KD103" s="412"/>
      <c r="KE103" s="412"/>
      <c r="KF103" s="412"/>
      <c r="KG103" s="412"/>
      <c r="KH103" s="412"/>
      <c r="KI103" s="412"/>
      <c r="KJ103" s="412"/>
      <c r="KK103" s="412"/>
      <c r="KL103" s="412"/>
      <c r="KM103" s="412"/>
      <c r="KN103" s="412"/>
      <c r="KO103" s="412"/>
      <c r="KP103" s="412"/>
      <c r="KQ103" s="412"/>
      <c r="KR103" s="412"/>
      <c r="KS103" s="412"/>
      <c r="KT103" s="412"/>
      <c r="KU103" s="412"/>
      <c r="KV103" s="412"/>
      <c r="KW103" s="412"/>
      <c r="KX103" s="412"/>
      <c r="KY103" s="412"/>
      <c r="KZ103" s="412"/>
      <c r="LA103" s="412"/>
      <c r="LB103" s="412"/>
      <c r="LC103" s="412"/>
      <c r="LD103" s="412"/>
      <c r="LE103" s="412"/>
      <c r="LF103" s="412"/>
      <c r="LG103" s="412"/>
      <c r="LH103" s="412"/>
      <c r="LI103" s="412"/>
      <c r="LJ103" s="412"/>
      <c r="LK103" s="412"/>
      <c r="LL103" s="412"/>
      <c r="LM103" s="412"/>
      <c r="LN103" s="412"/>
      <c r="LO103" s="412"/>
      <c r="LP103" s="412"/>
      <c r="LQ103" s="412"/>
      <c r="LR103" s="412"/>
      <c r="LS103" s="412"/>
      <c r="LT103" s="412"/>
      <c r="LU103" s="412"/>
      <c r="LV103" s="412"/>
      <c r="LW103" s="412"/>
      <c r="LX103" s="412"/>
      <c r="LY103" s="412"/>
      <c r="LZ103" s="412"/>
      <c r="MA103" s="412"/>
      <c r="MB103" s="412"/>
      <c r="MC103" s="412"/>
      <c r="MD103" s="412"/>
      <c r="ME103" s="412"/>
      <c r="MF103" s="412"/>
      <c r="MG103" s="412"/>
      <c r="MH103" s="412"/>
      <c r="MI103" s="412"/>
      <c r="MJ103" s="412"/>
      <c r="MK103" s="412"/>
      <c r="ML103" s="412"/>
      <c r="MM103" s="412"/>
      <c r="MN103" s="412"/>
      <c r="MO103" s="412"/>
      <c r="MP103" s="412"/>
      <c r="MQ103" s="412"/>
      <c r="MR103" s="412"/>
      <c r="MS103" s="412"/>
      <c r="MT103" s="412"/>
      <c r="MU103" s="412"/>
      <c r="MV103" s="412"/>
      <c r="MW103" s="412"/>
      <c r="MX103" s="412"/>
      <c r="MY103" s="412"/>
      <c r="MZ103" s="412"/>
      <c r="NA103" s="412"/>
      <c r="NB103" s="412"/>
      <c r="NC103" s="412"/>
      <c r="ND103" s="412"/>
      <c r="NE103" s="412"/>
      <c r="NF103" s="412"/>
      <c r="NG103" s="412"/>
      <c r="NH103" s="412"/>
      <c r="NI103" s="412"/>
      <c r="NJ103" s="412"/>
      <c r="NK103" s="412"/>
      <c r="NL103" s="412"/>
      <c r="NM103" s="412"/>
      <c r="NN103" s="412"/>
      <c r="NO103" s="412"/>
      <c r="NP103" s="412"/>
      <c r="NQ103" s="412"/>
      <c r="NR103" s="412"/>
      <c r="NS103" s="412"/>
      <c r="NT103" s="412"/>
      <c r="NU103" s="412"/>
      <c r="NV103" s="412"/>
      <c r="NW103" s="412"/>
      <c r="NX103" s="412"/>
      <c r="NY103" s="412"/>
      <c r="NZ103" s="412"/>
      <c r="OA103" s="412"/>
      <c r="OB103" s="412"/>
      <c r="OC103" s="412"/>
      <c r="OD103" s="412"/>
      <c r="OE103" s="412"/>
      <c r="OF103" s="412"/>
      <c r="OG103" s="412"/>
      <c r="OH103" s="412"/>
      <c r="OI103" s="412"/>
      <c r="OJ103" s="412"/>
      <c r="OK103" s="412"/>
      <c r="OL103" s="412"/>
      <c r="OM103" s="412"/>
      <c r="ON103" s="412"/>
      <c r="OO103" s="412"/>
      <c r="OP103" s="412"/>
      <c r="OQ103" s="412"/>
      <c r="OR103" s="412"/>
      <c r="OS103" s="412"/>
      <c r="OT103" s="412"/>
      <c r="OU103" s="412"/>
      <c r="OV103" s="412"/>
      <c r="OW103" s="412"/>
      <c r="OX103" s="412"/>
      <c r="OY103" s="412"/>
      <c r="OZ103" s="412"/>
      <c r="PA103" s="412"/>
      <c r="PB103" s="412"/>
      <c r="PC103" s="412"/>
      <c r="PD103" s="412"/>
      <c r="PE103" s="412"/>
      <c r="PF103" s="412"/>
      <c r="PG103" s="412"/>
      <c r="PH103" s="412"/>
      <c r="PI103" s="412"/>
      <c r="PJ103" s="412"/>
      <c r="PK103" s="412"/>
      <c r="PL103" s="412"/>
      <c r="PM103" s="412"/>
      <c r="PN103" s="412"/>
      <c r="PO103" s="412"/>
      <c r="PP103" s="412"/>
      <c r="PQ103" s="412"/>
      <c r="PR103" s="412"/>
      <c r="PS103" s="412"/>
      <c r="PT103" s="412"/>
      <c r="PU103" s="412"/>
      <c r="PV103" s="412"/>
      <c r="PW103" s="412"/>
      <c r="PX103" s="412"/>
      <c r="PY103" s="412"/>
      <c r="PZ103" s="412"/>
      <c r="QA103" s="412"/>
      <c r="QB103" s="412"/>
      <c r="QC103" s="412"/>
      <c r="QD103" s="412"/>
      <c r="QE103" s="412"/>
      <c r="QF103" s="412"/>
      <c r="QG103" s="412"/>
      <c r="QH103" s="412"/>
      <c r="QI103" s="412"/>
      <c r="QJ103" s="412"/>
      <c r="QK103" s="412"/>
      <c r="QL103" s="412"/>
      <c r="QM103" s="412"/>
      <c r="QN103" s="412"/>
      <c r="QO103" s="412"/>
      <c r="QP103" s="412"/>
      <c r="QQ103" s="412"/>
      <c r="QR103" s="412"/>
      <c r="QS103" s="412"/>
      <c r="QT103" s="412"/>
      <c r="QU103" s="412"/>
      <c r="QV103" s="412"/>
      <c r="QW103" s="412"/>
      <c r="QX103" s="412"/>
      <c r="QY103" s="412"/>
      <c r="QZ103" s="412"/>
      <c r="RA103" s="412"/>
      <c r="RB103" s="412"/>
      <c r="RC103" s="412"/>
      <c r="RD103" s="412"/>
      <c r="RE103" s="412"/>
      <c r="RF103" s="412"/>
      <c r="RG103" s="412"/>
      <c r="RH103" s="412"/>
      <c r="RI103" s="412"/>
      <c r="RJ103" s="412"/>
      <c r="RK103" s="412"/>
      <c r="RL103" s="412"/>
      <c r="RM103" s="412"/>
      <c r="RN103" s="412"/>
      <c r="RO103" s="412"/>
      <c r="RP103" s="412"/>
      <c r="RQ103" s="412"/>
      <c r="RR103" s="412"/>
      <c r="RS103" s="412"/>
      <c r="RT103" s="412"/>
      <c r="RU103" s="412"/>
      <c r="RV103" s="412"/>
      <c r="RW103" s="412"/>
      <c r="RX103" s="412"/>
      <c r="RY103" s="412"/>
      <c r="RZ103" s="412"/>
      <c r="SA103" s="412"/>
      <c r="SB103" s="412"/>
      <c r="SC103" s="412"/>
      <c r="SD103" s="412"/>
      <c r="SE103" s="412"/>
      <c r="SF103" s="412"/>
      <c r="SG103" s="412"/>
      <c r="SH103" s="412"/>
      <c r="SI103" s="412"/>
      <c r="SJ103" s="412"/>
      <c r="SK103" s="412"/>
      <c r="SL103" s="412"/>
      <c r="SM103" s="412"/>
      <c r="SN103" s="412"/>
      <c r="SO103" s="412"/>
      <c r="SP103" s="412"/>
      <c r="SQ103" s="412"/>
      <c r="SR103" s="412"/>
      <c r="SS103" s="412"/>
      <c r="ST103" s="412"/>
      <c r="SU103" s="412"/>
      <c r="SV103" s="412"/>
      <c r="SW103" s="412"/>
      <c r="SX103" s="412"/>
      <c r="SY103" s="412"/>
      <c r="SZ103" s="412"/>
      <c r="TA103" s="412"/>
      <c r="TB103" s="412"/>
      <c r="TC103" s="412"/>
      <c r="TD103" s="412"/>
      <c r="TE103" s="412"/>
      <c r="TF103" s="412"/>
      <c r="TG103" s="412"/>
      <c r="TH103" s="412"/>
      <c r="TI103" s="412"/>
      <c r="TJ103" s="412"/>
      <c r="TK103" s="412"/>
      <c r="TL103" s="412"/>
      <c r="TM103" s="412"/>
      <c r="TN103" s="412"/>
      <c r="TO103" s="412"/>
      <c r="TP103" s="412"/>
      <c r="TQ103" s="412"/>
      <c r="TR103" s="412"/>
      <c r="TS103" s="412"/>
      <c r="TT103" s="412"/>
      <c r="TU103" s="412"/>
      <c r="TV103" s="412"/>
      <c r="TW103" s="412"/>
      <c r="TX103" s="412"/>
      <c r="TY103" s="412"/>
      <c r="TZ103" s="412"/>
      <c r="UA103" s="412"/>
      <c r="UB103" s="412"/>
      <c r="UC103" s="412"/>
      <c r="UD103" s="412"/>
      <c r="UE103" s="412"/>
      <c r="UF103" s="412"/>
      <c r="UG103" s="412"/>
      <c r="UH103" s="412"/>
      <c r="UI103" s="412"/>
      <c r="UJ103" s="412"/>
      <c r="UK103" s="412"/>
      <c r="UL103" s="412"/>
      <c r="UM103" s="412"/>
      <c r="UN103" s="412"/>
      <c r="UO103" s="412"/>
      <c r="UP103" s="412"/>
      <c r="UQ103" s="412"/>
      <c r="UR103" s="412"/>
      <c r="US103" s="412"/>
      <c r="UT103" s="412"/>
      <c r="UU103" s="412"/>
      <c r="UV103" s="412"/>
      <c r="UW103" s="412"/>
      <c r="UX103" s="412"/>
      <c r="UY103" s="412"/>
      <c r="UZ103" s="412"/>
      <c r="VA103" s="412"/>
      <c r="VB103" s="412"/>
      <c r="VC103" s="412"/>
      <c r="VD103" s="412"/>
      <c r="VE103" s="412"/>
      <c r="VF103" s="412"/>
      <c r="VG103" s="412"/>
      <c r="VH103" s="412"/>
      <c r="VI103" s="412"/>
      <c r="VJ103" s="412"/>
      <c r="VK103" s="412"/>
      <c r="VL103" s="412"/>
      <c r="VM103" s="412"/>
      <c r="VN103" s="412"/>
      <c r="VO103" s="412"/>
      <c r="VP103" s="412"/>
      <c r="VQ103" s="412"/>
      <c r="VR103" s="412"/>
      <c r="VS103" s="412"/>
      <c r="VT103" s="412"/>
      <c r="VU103" s="412"/>
      <c r="VV103" s="412"/>
      <c r="VW103" s="412"/>
      <c r="VX103" s="412"/>
      <c r="VY103" s="412"/>
      <c r="VZ103" s="412"/>
      <c r="WA103" s="412"/>
      <c r="WB103" s="412"/>
      <c r="WC103" s="412"/>
      <c r="WD103" s="412"/>
      <c r="WE103" s="412"/>
      <c r="WF103" s="412"/>
      <c r="WG103" s="412"/>
      <c r="WH103" s="412"/>
      <c r="WI103" s="412"/>
      <c r="WJ103" s="412"/>
      <c r="WK103" s="412"/>
      <c r="WL103" s="412"/>
      <c r="WM103" s="412"/>
      <c r="WN103" s="412"/>
      <c r="WO103" s="412"/>
      <c r="WP103" s="412"/>
      <c r="WQ103" s="412"/>
      <c r="WR103" s="412"/>
      <c r="WS103" s="412"/>
      <c r="WT103" s="412"/>
      <c r="WU103" s="412"/>
      <c r="WV103" s="412"/>
      <c r="WW103" s="412"/>
      <c r="WX103" s="412"/>
      <c r="WY103" s="412"/>
      <c r="WZ103" s="412"/>
      <c r="XA103" s="412"/>
      <c r="XB103" s="412"/>
      <c r="XC103" s="412"/>
      <c r="XD103" s="412"/>
      <c r="XE103" s="412"/>
      <c r="XF103" s="412"/>
      <c r="XG103" s="412"/>
      <c r="XH103" s="412"/>
      <c r="XI103" s="412"/>
      <c r="XJ103" s="412"/>
      <c r="XK103" s="412"/>
      <c r="XL103" s="412"/>
      <c r="XM103" s="412"/>
      <c r="XN103" s="412"/>
      <c r="XO103" s="412"/>
      <c r="XP103" s="412"/>
      <c r="XQ103" s="412"/>
      <c r="XR103" s="412"/>
      <c r="XS103" s="412"/>
      <c r="XT103" s="412"/>
      <c r="XU103" s="412"/>
      <c r="XV103" s="412"/>
      <c r="XW103" s="412"/>
      <c r="XX103" s="412"/>
      <c r="XY103" s="412"/>
      <c r="XZ103" s="412"/>
      <c r="YA103" s="412"/>
      <c r="YB103" s="412"/>
      <c r="YC103" s="412"/>
      <c r="YD103" s="412"/>
      <c r="YE103" s="412"/>
      <c r="YF103" s="412"/>
      <c r="YG103" s="412"/>
      <c r="YH103" s="412"/>
      <c r="YI103" s="412"/>
      <c r="YJ103" s="412"/>
      <c r="YK103" s="412"/>
      <c r="YL103" s="412"/>
      <c r="YM103" s="412"/>
      <c r="YN103" s="412"/>
      <c r="YO103" s="412"/>
      <c r="YP103" s="412"/>
      <c r="YQ103" s="412"/>
      <c r="YR103" s="412"/>
      <c r="YS103" s="412"/>
      <c r="YT103" s="412"/>
      <c r="YU103" s="412"/>
      <c r="YV103" s="412"/>
      <c r="YW103" s="412"/>
      <c r="YX103" s="412"/>
      <c r="YY103" s="412"/>
      <c r="YZ103" s="412"/>
      <c r="ZA103" s="412"/>
      <c r="ZB103" s="412"/>
      <c r="ZC103" s="412"/>
      <c r="ZD103" s="412"/>
      <c r="ZE103" s="412"/>
      <c r="ZF103" s="412"/>
      <c r="ZG103" s="412"/>
      <c r="ZH103" s="412"/>
      <c r="ZI103" s="412"/>
      <c r="ZJ103" s="412"/>
      <c r="ZK103" s="412"/>
      <c r="ZL103" s="412"/>
      <c r="ZM103" s="412"/>
      <c r="ZN103" s="412"/>
      <c r="ZO103" s="412"/>
      <c r="ZP103" s="412"/>
      <c r="ZQ103" s="412"/>
      <c r="ZR103" s="412"/>
      <c r="ZS103" s="412"/>
      <c r="ZT103" s="412"/>
      <c r="ZU103" s="412"/>
      <c r="ZV103" s="412"/>
      <c r="ZW103" s="412"/>
      <c r="ZX103" s="412"/>
      <c r="ZY103" s="412"/>
      <c r="ZZ103" s="412"/>
      <c r="AAA103" s="412"/>
      <c r="AAB103" s="412"/>
      <c r="AAC103" s="412"/>
      <c r="AAD103" s="412"/>
      <c r="AAE103" s="412"/>
      <c r="AAF103" s="412"/>
      <c r="AAG103" s="412"/>
      <c r="AAH103" s="412"/>
      <c r="AAI103" s="412"/>
      <c r="AAJ103" s="412"/>
      <c r="AAK103" s="412"/>
      <c r="AAL103" s="412"/>
      <c r="AAM103" s="412"/>
      <c r="AAN103" s="412"/>
      <c r="AAO103" s="412"/>
      <c r="AAP103" s="412"/>
      <c r="AAQ103" s="412"/>
      <c r="AAR103" s="412"/>
      <c r="AAS103" s="412"/>
      <c r="AAT103" s="412"/>
      <c r="AAU103" s="412"/>
      <c r="AAV103" s="412"/>
      <c r="AAW103" s="412"/>
      <c r="AAX103" s="412"/>
      <c r="AAY103" s="412"/>
      <c r="AAZ103" s="412"/>
      <c r="ABA103" s="412"/>
      <c r="ABB103" s="412"/>
      <c r="ABC103" s="412"/>
      <c r="ABD103" s="412"/>
      <c r="ABE103" s="412"/>
      <c r="ABF103" s="412"/>
      <c r="ABG103" s="412"/>
      <c r="ABH103" s="412"/>
      <c r="ABI103" s="412"/>
      <c r="ABJ103" s="412"/>
      <c r="ABK103" s="412"/>
      <c r="ABL103" s="412"/>
      <c r="ABM103" s="412"/>
      <c r="ABN103" s="412"/>
      <c r="ABO103" s="412"/>
      <c r="ABP103" s="412"/>
      <c r="ABQ103" s="412"/>
      <c r="ABR103" s="412"/>
      <c r="ABS103" s="412"/>
      <c r="ABT103" s="412"/>
      <c r="ABU103" s="412"/>
      <c r="ABV103" s="412"/>
      <c r="ABW103" s="412"/>
      <c r="ABX103" s="412"/>
      <c r="ABY103" s="412"/>
      <c r="ABZ103" s="412"/>
      <c r="ACA103" s="412"/>
      <c r="ACB103" s="412"/>
      <c r="ACC103" s="412"/>
      <c r="ACD103" s="412"/>
      <c r="ACE103" s="412"/>
      <c r="ACF103" s="412"/>
      <c r="ACG103" s="412"/>
      <c r="ACH103" s="412"/>
      <c r="ACI103" s="412"/>
      <c r="ACJ103" s="412"/>
      <c r="ACK103" s="412"/>
      <c r="ACL103" s="412"/>
      <c r="ACM103" s="412"/>
      <c r="ACN103" s="412"/>
      <c r="ACO103" s="412"/>
      <c r="ACP103" s="412"/>
      <c r="ACQ103" s="412"/>
      <c r="ACR103" s="412"/>
      <c r="ACS103" s="412"/>
      <c r="ACT103" s="412"/>
      <c r="ACU103" s="412"/>
      <c r="ACV103" s="412"/>
      <c r="ACW103" s="412"/>
      <c r="ACX103" s="412"/>
      <c r="ACY103" s="412"/>
      <c r="ACZ103" s="412"/>
      <c r="ADA103" s="412"/>
      <c r="ADB103" s="412"/>
      <c r="ADC103" s="412"/>
      <c r="ADD103" s="412"/>
      <c r="ADE103" s="412"/>
      <c r="ADF103" s="412"/>
      <c r="ADG103" s="412"/>
      <c r="ADH103" s="412"/>
      <c r="ADI103" s="412"/>
      <c r="ADJ103" s="412"/>
      <c r="ADK103" s="412"/>
      <c r="ADL103" s="412"/>
      <c r="ADM103" s="412"/>
      <c r="ADN103" s="412"/>
      <c r="ADO103" s="412"/>
      <c r="ADP103" s="412"/>
      <c r="ADQ103" s="412"/>
      <c r="ADR103" s="412"/>
      <c r="ADS103" s="412"/>
      <c r="ADT103" s="412"/>
      <c r="ADU103" s="412"/>
      <c r="ADV103" s="412"/>
      <c r="ADW103" s="412"/>
      <c r="ADX103" s="412"/>
      <c r="ADY103" s="412"/>
      <c r="ADZ103" s="412"/>
      <c r="AEA103" s="412"/>
      <c r="AEB103" s="412"/>
      <c r="AEC103" s="412"/>
      <c r="AED103" s="412"/>
      <c r="AEE103" s="412"/>
      <c r="AEF103" s="412"/>
      <c r="AEG103" s="412"/>
      <c r="AEH103" s="412"/>
      <c r="AEI103" s="412"/>
      <c r="AEJ103" s="412"/>
      <c r="AEK103" s="412"/>
      <c r="AEL103" s="412"/>
      <c r="AEM103" s="412"/>
      <c r="AEN103" s="412"/>
      <c r="AEO103" s="412"/>
      <c r="AEP103" s="412"/>
      <c r="AEQ103" s="412"/>
      <c r="AER103" s="412"/>
      <c r="AES103" s="412"/>
      <c r="AET103" s="412"/>
      <c r="AEU103" s="412"/>
      <c r="AEV103" s="412"/>
      <c r="AEW103" s="412"/>
      <c r="AEX103" s="412"/>
      <c r="AEY103" s="412"/>
      <c r="AEZ103" s="412"/>
      <c r="AFA103" s="412"/>
      <c r="AFB103" s="412"/>
      <c r="AFC103" s="412"/>
      <c r="AFD103" s="412"/>
      <c r="AFE103" s="412"/>
      <c r="AFF103" s="412"/>
      <c r="AFG103" s="412"/>
      <c r="AFH103" s="412"/>
      <c r="AFI103" s="412"/>
      <c r="AFJ103" s="412"/>
      <c r="AFK103" s="412"/>
      <c r="AFL103" s="412"/>
      <c r="AFM103" s="412"/>
      <c r="AFN103" s="412"/>
      <c r="AFO103" s="412"/>
      <c r="AFP103" s="412"/>
      <c r="AFQ103" s="412"/>
      <c r="AFR103" s="412"/>
      <c r="AFS103" s="412"/>
      <c r="AFT103" s="412"/>
      <c r="AFU103" s="412"/>
      <c r="AFV103" s="412"/>
      <c r="AFW103" s="412"/>
      <c r="AFX103" s="412"/>
      <c r="AFY103" s="412"/>
      <c r="AFZ103" s="412"/>
      <c r="AGA103" s="412"/>
      <c r="AGB103" s="412"/>
      <c r="AGC103" s="412"/>
      <c r="AGD103" s="412"/>
      <c r="AGE103" s="412"/>
      <c r="AGF103" s="412"/>
      <c r="AGG103" s="412"/>
      <c r="AGH103" s="412"/>
      <c r="AGI103" s="412"/>
      <c r="AGJ103" s="412"/>
      <c r="AGK103" s="412"/>
      <c r="AGL103" s="412"/>
      <c r="AGM103" s="412"/>
      <c r="AGN103" s="412"/>
      <c r="AGO103" s="412"/>
      <c r="AGP103" s="412"/>
      <c r="AGQ103" s="412"/>
      <c r="AGR103" s="412"/>
      <c r="AGS103" s="412"/>
      <c r="AGT103" s="412"/>
      <c r="AGU103" s="412"/>
      <c r="AGV103" s="412"/>
      <c r="AGW103" s="412"/>
      <c r="AGX103" s="412"/>
      <c r="AGY103" s="412"/>
      <c r="AGZ103" s="412"/>
      <c r="AHA103" s="412"/>
      <c r="AHB103" s="412"/>
      <c r="AHC103" s="412"/>
      <c r="AHD103" s="412"/>
      <c r="AHE103" s="412"/>
      <c r="AHF103" s="412"/>
      <c r="AHG103" s="412"/>
      <c r="AHH103" s="412"/>
      <c r="AHI103" s="412"/>
      <c r="AHJ103" s="412"/>
      <c r="AHK103" s="412"/>
      <c r="AHL103" s="412"/>
      <c r="AHM103" s="412"/>
      <c r="AHN103" s="412"/>
      <c r="AHO103" s="412"/>
      <c r="AHP103" s="412"/>
      <c r="AHQ103" s="412"/>
      <c r="AHR103" s="412"/>
      <c r="AHS103" s="412"/>
      <c r="AHT103" s="412"/>
      <c r="AHU103" s="412"/>
      <c r="AHV103" s="412"/>
      <c r="AHW103" s="412"/>
      <c r="AHX103" s="412"/>
      <c r="AHY103" s="412"/>
      <c r="AHZ103" s="412"/>
      <c r="AIA103" s="412"/>
      <c r="AIB103" s="412"/>
      <c r="AIC103" s="412"/>
      <c r="AID103" s="412"/>
      <c r="AIE103" s="412"/>
      <c r="AIF103" s="412"/>
      <c r="AIG103" s="412"/>
      <c r="AIH103" s="412"/>
      <c r="AII103" s="412"/>
      <c r="AIJ103" s="412"/>
      <c r="AIK103" s="412"/>
      <c r="AIL103" s="412"/>
      <c r="AIM103" s="412"/>
      <c r="AIN103" s="412"/>
      <c r="AIO103" s="412"/>
      <c r="AIP103" s="412"/>
      <c r="AIQ103" s="412"/>
      <c r="AIR103" s="412"/>
      <c r="AIS103" s="412"/>
      <c r="AIT103" s="412"/>
      <c r="AIU103" s="412"/>
      <c r="AIV103" s="412"/>
      <c r="AIW103" s="412"/>
      <c r="AIX103" s="412"/>
      <c r="AIY103" s="412"/>
      <c r="AIZ103" s="412"/>
      <c r="AJA103" s="412"/>
      <c r="AJB103" s="412"/>
      <c r="AJC103" s="412"/>
      <c r="AJD103" s="412"/>
      <c r="AJE103" s="412"/>
      <c r="AJF103" s="412"/>
      <c r="AJG103" s="412"/>
      <c r="AJH103" s="412"/>
      <c r="AJI103" s="412"/>
      <c r="AJJ103" s="412"/>
      <c r="AJK103" s="412"/>
      <c r="AJL103" s="412"/>
      <c r="AJM103" s="412"/>
      <c r="AJN103" s="412"/>
      <c r="AJO103" s="412"/>
      <c r="AJP103" s="412"/>
      <c r="AJQ103" s="412"/>
      <c r="AJR103" s="412"/>
      <c r="AJS103" s="412"/>
      <c r="AJT103" s="412"/>
      <c r="AJU103" s="412"/>
      <c r="AJV103" s="412"/>
      <c r="AJW103" s="412"/>
      <c r="AJX103" s="412"/>
      <c r="AJY103" s="412"/>
      <c r="AJZ103" s="412"/>
      <c r="AKA103" s="412"/>
      <c r="AKB103" s="412"/>
      <c r="AKC103" s="412"/>
      <c r="AKD103" s="412"/>
      <c r="AKE103" s="412"/>
      <c r="AKF103" s="412"/>
      <c r="AKG103" s="412"/>
      <c r="AKH103" s="412"/>
      <c r="AKI103" s="412"/>
      <c r="AKJ103" s="412"/>
      <c r="AKK103" s="412"/>
      <c r="AKL103" s="412"/>
      <c r="AKM103" s="412"/>
      <c r="AKN103" s="412"/>
      <c r="AKO103" s="412"/>
      <c r="AKP103" s="412"/>
      <c r="AKQ103" s="412"/>
      <c r="AKR103" s="412"/>
      <c r="AKS103" s="412"/>
      <c r="AKT103" s="412"/>
      <c r="AKU103" s="412"/>
      <c r="AKV103" s="412"/>
      <c r="AKW103" s="412"/>
      <c r="AKX103" s="412"/>
      <c r="AKY103" s="412"/>
      <c r="AKZ103" s="412"/>
      <c r="ALA103" s="412"/>
      <c r="ALB103" s="412"/>
      <c r="ALC103" s="412"/>
      <c r="ALD103" s="412"/>
      <c r="ALE103" s="412"/>
      <c r="ALF103" s="412"/>
      <c r="ALG103" s="412"/>
      <c r="ALH103" s="412"/>
      <c r="ALI103" s="412"/>
      <c r="ALJ103" s="412"/>
      <c r="ALK103" s="412"/>
      <c r="ALL103" s="412"/>
      <c r="ALM103" s="412"/>
      <c r="ALN103" s="412"/>
      <c r="ALO103" s="412"/>
      <c r="ALP103" s="412"/>
      <c r="ALQ103" s="412"/>
      <c r="ALR103" s="412"/>
      <c r="ALS103" s="412"/>
      <c r="ALT103" s="412"/>
      <c r="ALU103" s="412"/>
      <c r="ALV103" s="412"/>
      <c r="ALW103" s="412"/>
      <c r="ALX103" s="412"/>
      <c r="ALY103" s="412"/>
      <c r="ALZ103" s="412"/>
      <c r="AMA103" s="412"/>
      <c r="AMB103" s="412"/>
      <c r="AMC103" s="412"/>
      <c r="AMD103" s="412"/>
      <c r="AME103" s="412"/>
      <c r="AMF103" s="412"/>
      <c r="AMG103" s="412"/>
      <c r="AMH103" s="412"/>
      <c r="AMI103" s="412"/>
      <c r="AMJ103" s="412"/>
      <c r="AMK103" s="412"/>
      <c r="AML103" s="412"/>
      <c r="AMM103" s="412"/>
      <c r="AMN103" s="412"/>
      <c r="AMO103" s="412"/>
      <c r="AMP103" s="412"/>
      <c r="AMQ103" s="412"/>
      <c r="AMR103" s="412"/>
      <c r="AMS103" s="412"/>
      <c r="AMT103" s="412"/>
      <c r="AMU103" s="412"/>
      <c r="AMV103" s="412"/>
      <c r="AMW103" s="412"/>
      <c r="AMX103" s="412"/>
      <c r="AMY103" s="412"/>
      <c r="AMZ103" s="412"/>
      <c r="ANA103" s="412"/>
      <c r="ANB103" s="412"/>
      <c r="ANC103" s="412"/>
      <c r="AND103" s="412"/>
      <c r="ANE103" s="412"/>
      <c r="ANF103" s="412"/>
      <c r="ANG103" s="412"/>
      <c r="ANH103" s="412"/>
      <c r="ANI103" s="412"/>
      <c r="ANJ103" s="412"/>
      <c r="ANK103" s="412"/>
      <c r="ANL103" s="412"/>
      <c r="ANM103" s="412"/>
      <c r="ANN103" s="412"/>
      <c r="ANO103" s="412"/>
      <c r="ANP103" s="412"/>
      <c r="ANQ103" s="412"/>
      <c r="ANR103" s="412"/>
      <c r="ANS103" s="412"/>
      <c r="ANT103" s="412"/>
      <c r="ANU103" s="412"/>
      <c r="ANV103" s="412"/>
      <c r="ANW103" s="412"/>
      <c r="ANX103" s="412"/>
      <c r="ANY103" s="412"/>
      <c r="ANZ103" s="412"/>
      <c r="AOA103" s="412"/>
      <c r="AOB103" s="412"/>
      <c r="AOC103" s="412"/>
      <c r="AOD103" s="412"/>
      <c r="AOE103" s="412"/>
      <c r="AOF103" s="412"/>
      <c r="AOG103" s="412"/>
      <c r="AOH103" s="412"/>
      <c r="AOI103" s="412"/>
      <c r="AOJ103" s="412"/>
      <c r="AOK103" s="412"/>
      <c r="AOL103" s="412"/>
      <c r="AOM103" s="412"/>
      <c r="AON103" s="412"/>
      <c r="AOO103" s="412"/>
      <c r="AOP103" s="412"/>
      <c r="AOQ103" s="412"/>
      <c r="AOR103" s="412"/>
      <c r="AOS103" s="412"/>
      <c r="AOT103" s="412"/>
      <c r="AOU103" s="412"/>
      <c r="AOV103" s="412"/>
      <c r="AOW103" s="412"/>
      <c r="AOX103" s="412"/>
      <c r="AOY103" s="412"/>
      <c r="AOZ103" s="412"/>
      <c r="APA103" s="412"/>
      <c r="APB103" s="412"/>
      <c r="APC103" s="412"/>
      <c r="APD103" s="412"/>
      <c r="APE103" s="412"/>
      <c r="APF103" s="412"/>
      <c r="APG103" s="412"/>
      <c r="APH103" s="412"/>
      <c r="API103" s="412"/>
      <c r="APJ103" s="412"/>
      <c r="APK103" s="412"/>
      <c r="APL103" s="412"/>
      <c r="APM103" s="412"/>
      <c r="APN103" s="412"/>
      <c r="APO103" s="412"/>
      <c r="APP103" s="412"/>
      <c r="APQ103" s="412"/>
      <c r="APR103" s="412"/>
      <c r="APS103" s="412"/>
      <c r="APT103" s="412"/>
      <c r="APU103" s="412"/>
      <c r="APV103" s="412"/>
      <c r="APW103" s="412"/>
      <c r="APX103" s="412"/>
      <c r="APY103" s="412"/>
      <c r="APZ103" s="412"/>
      <c r="AQA103" s="412"/>
      <c r="AQB103" s="412"/>
      <c r="AQC103" s="412"/>
      <c r="AQD103" s="412"/>
      <c r="AQE103" s="412"/>
      <c r="AQF103" s="412"/>
      <c r="AQG103" s="412"/>
      <c r="AQH103" s="412"/>
      <c r="AQI103" s="412"/>
      <c r="AQJ103" s="412"/>
      <c r="AQK103" s="412"/>
      <c r="AQL103" s="412"/>
      <c r="AQM103" s="412"/>
      <c r="AQN103" s="412"/>
      <c r="AQO103" s="412"/>
      <c r="AQP103" s="412"/>
      <c r="AQQ103" s="412"/>
      <c r="AQR103" s="412"/>
      <c r="AQS103" s="412"/>
      <c r="AQT103" s="412"/>
      <c r="AQU103" s="412"/>
      <c r="AQV103" s="412"/>
      <c r="AQW103" s="412"/>
      <c r="AQX103" s="412"/>
      <c r="AQY103" s="412"/>
      <c r="AQZ103" s="412"/>
      <c r="ARA103" s="412"/>
      <c r="ARB103" s="412"/>
      <c r="ARC103" s="412"/>
      <c r="ARD103" s="412"/>
      <c r="ARE103" s="412"/>
      <c r="ARF103" s="412"/>
      <c r="ARG103" s="412"/>
      <c r="ARH103" s="412"/>
      <c r="ARI103" s="412"/>
      <c r="ARJ103" s="412"/>
      <c r="ARK103" s="412"/>
      <c r="ARL103" s="412"/>
      <c r="ARM103" s="412"/>
      <c r="ARN103" s="412"/>
      <c r="ARO103" s="412"/>
      <c r="ARP103" s="412"/>
      <c r="ARQ103" s="412"/>
      <c r="ARR103" s="412"/>
      <c r="ARS103" s="412"/>
      <c r="ART103" s="412"/>
      <c r="ARU103" s="412"/>
      <c r="ARV103" s="412"/>
      <c r="ARW103" s="412"/>
      <c r="ARX103" s="412"/>
      <c r="ARY103" s="412"/>
      <c r="ARZ103" s="412"/>
      <c r="ASA103" s="412"/>
      <c r="ASB103" s="412"/>
      <c r="ASC103" s="412"/>
      <c r="ASD103" s="412"/>
      <c r="ASE103" s="412"/>
      <c r="ASF103" s="412"/>
      <c r="ASG103" s="412"/>
      <c r="ASH103" s="412"/>
      <c r="ASI103" s="412"/>
      <c r="ASJ103" s="412"/>
      <c r="ASK103" s="412"/>
      <c r="ASL103" s="412"/>
      <c r="ASM103" s="412"/>
      <c r="ASN103" s="412"/>
      <c r="ASO103" s="412"/>
      <c r="ASP103" s="412"/>
      <c r="ASQ103" s="412"/>
      <c r="ASR103" s="412"/>
      <c r="ASS103" s="412"/>
      <c r="AST103" s="412"/>
      <c r="ASU103" s="412"/>
      <c r="ASV103" s="412"/>
      <c r="ASW103" s="412"/>
      <c r="ASX103" s="412"/>
      <c r="ASY103" s="412"/>
      <c r="ASZ103" s="412"/>
      <c r="ATA103" s="412"/>
      <c r="ATB103" s="412"/>
      <c r="ATC103" s="412"/>
      <c r="ATD103" s="412"/>
      <c r="ATE103" s="412"/>
      <c r="ATF103" s="412"/>
      <c r="ATG103" s="412"/>
      <c r="ATH103" s="412"/>
      <c r="ATI103" s="412"/>
      <c r="ATJ103" s="412"/>
      <c r="ATK103" s="412"/>
      <c r="ATL103" s="412"/>
      <c r="ATM103" s="412"/>
      <c r="ATN103" s="412"/>
      <c r="ATO103" s="412"/>
      <c r="ATP103" s="412"/>
      <c r="ATQ103" s="412"/>
      <c r="ATR103" s="412"/>
      <c r="ATS103" s="412"/>
      <c r="ATT103" s="412"/>
      <c r="ATU103" s="412"/>
      <c r="ATV103" s="412"/>
      <c r="ATW103" s="412"/>
      <c r="ATX103" s="412"/>
      <c r="ATY103" s="412"/>
      <c r="ATZ103" s="412"/>
      <c r="AUA103" s="412"/>
      <c r="AUB103" s="412"/>
      <c r="AUC103" s="412"/>
      <c r="AUD103" s="412"/>
      <c r="AUE103" s="412"/>
      <c r="AUF103" s="412"/>
      <c r="AUG103" s="412"/>
      <c r="AUH103" s="412"/>
      <c r="AUI103" s="412"/>
      <c r="AUJ103" s="412"/>
      <c r="AUK103" s="412"/>
      <c r="AUL103" s="412"/>
      <c r="AUM103" s="412"/>
      <c r="AUN103" s="412"/>
      <c r="AUO103" s="412"/>
      <c r="AUP103" s="412"/>
      <c r="AUQ103" s="412"/>
      <c r="AUR103" s="412"/>
      <c r="AUS103" s="412"/>
      <c r="AUT103" s="412"/>
      <c r="AUU103" s="412"/>
      <c r="AUV103" s="412"/>
      <c r="AUW103" s="412"/>
      <c r="AUX103" s="412"/>
      <c r="AUY103" s="412"/>
      <c r="AUZ103" s="412"/>
      <c r="AVA103" s="412"/>
      <c r="AVB103" s="412"/>
      <c r="AVC103" s="412"/>
      <c r="AVD103" s="412"/>
      <c r="AVE103" s="412"/>
      <c r="AVF103" s="412"/>
      <c r="AVG103" s="412"/>
      <c r="AVH103" s="412"/>
      <c r="AVI103" s="412"/>
      <c r="AVJ103" s="412"/>
      <c r="AVK103" s="412"/>
      <c r="AVL103" s="412"/>
      <c r="AVM103" s="412"/>
      <c r="AVN103" s="412"/>
      <c r="AVO103" s="412"/>
      <c r="AVP103" s="412"/>
      <c r="AVQ103" s="412"/>
      <c r="AVR103" s="412"/>
      <c r="AVS103" s="412"/>
      <c r="AVT103" s="412"/>
      <c r="AVU103" s="412"/>
      <c r="AVV103" s="412"/>
      <c r="AVW103" s="412"/>
      <c r="AVX103" s="412"/>
      <c r="AVY103" s="412"/>
      <c r="AVZ103" s="412"/>
      <c r="AWA103" s="412"/>
      <c r="AWB103" s="412"/>
      <c r="AWC103" s="412"/>
      <c r="AWD103" s="412"/>
      <c r="AWE103" s="412"/>
      <c r="AWF103" s="412"/>
      <c r="AWG103" s="412"/>
      <c r="AWH103" s="412"/>
      <c r="AWI103" s="412"/>
      <c r="AWJ103" s="412"/>
      <c r="AWK103" s="412"/>
      <c r="AWL103" s="412"/>
      <c r="AWM103" s="412"/>
      <c r="AWN103" s="412"/>
      <c r="AWO103" s="412"/>
      <c r="AWP103" s="412"/>
      <c r="AWQ103" s="412"/>
      <c r="AWR103" s="412"/>
      <c r="AWS103" s="412"/>
      <c r="AWT103" s="412"/>
      <c r="AWU103" s="412"/>
      <c r="AWV103" s="412"/>
      <c r="AWW103" s="412"/>
      <c r="AWX103" s="412"/>
      <c r="AWY103" s="412"/>
      <c r="AWZ103" s="412"/>
      <c r="AXA103" s="412"/>
      <c r="AXB103" s="412"/>
      <c r="AXC103" s="412"/>
      <c r="AXD103" s="412"/>
      <c r="AXE103" s="412"/>
      <c r="AXF103" s="412"/>
      <c r="AXG103" s="412"/>
      <c r="AXH103" s="412"/>
      <c r="AXI103" s="412"/>
      <c r="AXJ103" s="412"/>
      <c r="AXK103" s="412"/>
      <c r="AXL103" s="412"/>
      <c r="AXM103" s="412"/>
      <c r="AXN103" s="412"/>
      <c r="AXO103" s="412"/>
      <c r="AXP103" s="412"/>
      <c r="AXQ103" s="412"/>
      <c r="AXR103" s="412"/>
      <c r="AXS103" s="412"/>
      <c r="AXT103" s="412"/>
      <c r="AXU103" s="412"/>
      <c r="AXV103" s="412"/>
      <c r="AXW103" s="412"/>
      <c r="AXX103" s="412"/>
      <c r="AXY103" s="412"/>
      <c r="AXZ103" s="412"/>
      <c r="AYA103" s="412"/>
      <c r="AYB103" s="412"/>
      <c r="AYC103" s="412"/>
      <c r="AYD103" s="412"/>
      <c r="AYE103" s="412"/>
      <c r="AYF103" s="412"/>
      <c r="AYG103" s="412"/>
      <c r="AYH103" s="412"/>
      <c r="AYI103" s="412"/>
      <c r="AYJ103" s="412"/>
      <c r="AYK103" s="412"/>
      <c r="AYL103" s="412"/>
      <c r="AYM103" s="412"/>
      <c r="AYN103" s="412"/>
      <c r="AYO103" s="412"/>
      <c r="AYP103" s="412"/>
      <c r="AYQ103" s="412"/>
      <c r="AYR103" s="412"/>
      <c r="AYS103" s="412"/>
      <c r="AYT103" s="412"/>
      <c r="AYU103" s="412"/>
      <c r="AYV103" s="412"/>
      <c r="AYW103" s="412"/>
      <c r="AYX103" s="412"/>
      <c r="AYY103" s="412"/>
      <c r="AYZ103" s="412"/>
      <c r="AZA103" s="412"/>
      <c r="AZB103" s="412"/>
      <c r="AZC103" s="412"/>
      <c r="AZD103" s="412"/>
      <c r="AZE103" s="412"/>
      <c r="AZF103" s="412"/>
      <c r="AZG103" s="412"/>
      <c r="AZH103" s="412"/>
      <c r="AZI103" s="412"/>
      <c r="AZJ103" s="412"/>
      <c r="AZK103" s="412"/>
      <c r="AZL103" s="412"/>
      <c r="AZM103" s="412"/>
      <c r="AZN103" s="412"/>
      <c r="AZO103" s="412"/>
      <c r="AZP103" s="412"/>
      <c r="AZQ103" s="412"/>
      <c r="AZR103" s="412"/>
      <c r="AZS103" s="412"/>
      <c r="AZT103" s="412"/>
      <c r="AZU103" s="412"/>
      <c r="AZV103" s="412"/>
      <c r="AZW103" s="412"/>
      <c r="AZX103" s="412"/>
      <c r="AZY103" s="412"/>
      <c r="AZZ103" s="412"/>
      <c r="BAA103" s="412"/>
      <c r="BAB103" s="412"/>
      <c r="BAC103" s="412"/>
      <c r="BAD103" s="412"/>
      <c r="BAE103" s="412"/>
      <c r="BAF103" s="412"/>
      <c r="BAG103" s="412"/>
      <c r="BAH103" s="412"/>
      <c r="BAI103" s="412"/>
      <c r="BAJ103" s="412"/>
      <c r="BAK103" s="412"/>
      <c r="BAL103" s="412"/>
      <c r="BAM103" s="412"/>
      <c r="BAN103" s="412"/>
      <c r="BAO103" s="412"/>
      <c r="BAP103" s="412"/>
      <c r="BAQ103" s="412"/>
      <c r="BAR103" s="412"/>
      <c r="BAS103" s="412"/>
      <c r="BAT103" s="412"/>
      <c r="BAU103" s="412"/>
      <c r="BAV103" s="412"/>
      <c r="BAW103" s="412"/>
      <c r="BAX103" s="412"/>
      <c r="BAY103" s="412"/>
      <c r="BAZ103" s="412"/>
      <c r="BBA103" s="412"/>
      <c r="BBB103" s="412"/>
      <c r="BBC103" s="412"/>
      <c r="BBD103" s="412"/>
      <c r="BBE103" s="412"/>
      <c r="BBF103" s="412"/>
      <c r="BBG103" s="412"/>
      <c r="BBH103" s="412"/>
      <c r="BBI103" s="412"/>
      <c r="BBJ103" s="412"/>
      <c r="BBK103" s="412"/>
      <c r="BBL103" s="412"/>
      <c r="BBM103" s="412"/>
      <c r="BBN103" s="412"/>
      <c r="BBO103" s="412"/>
      <c r="BBP103" s="412"/>
      <c r="BBQ103" s="412"/>
      <c r="BBR103" s="412"/>
      <c r="BBS103" s="412"/>
      <c r="BBT103" s="412"/>
      <c r="BBU103" s="412"/>
      <c r="BBV103" s="412"/>
      <c r="BBW103" s="412"/>
      <c r="BBX103" s="412"/>
      <c r="BBY103" s="412"/>
      <c r="BBZ103" s="412"/>
      <c r="BCA103" s="412"/>
      <c r="BCB103" s="412"/>
      <c r="BCC103" s="412"/>
      <c r="BCD103" s="412"/>
      <c r="BCE103" s="412"/>
      <c r="BCF103" s="412"/>
      <c r="BCG103" s="412"/>
      <c r="BCH103" s="412"/>
      <c r="BCI103" s="412"/>
      <c r="BCJ103" s="412"/>
      <c r="BCK103" s="412"/>
      <c r="BCL103" s="412"/>
      <c r="BCM103" s="412"/>
      <c r="BCN103" s="412"/>
      <c r="BCO103" s="412"/>
      <c r="BCP103" s="412"/>
      <c r="BCQ103" s="412"/>
      <c r="BCR103" s="412"/>
      <c r="BCS103" s="412"/>
      <c r="BCT103" s="412"/>
      <c r="BCU103" s="412"/>
      <c r="BCV103" s="412"/>
      <c r="BCW103" s="412"/>
      <c r="BCX103" s="412"/>
      <c r="BCY103" s="412"/>
      <c r="BCZ103" s="412"/>
      <c r="BDA103" s="412"/>
      <c r="BDB103" s="412"/>
      <c r="BDC103" s="412"/>
      <c r="BDD103" s="412"/>
      <c r="BDE103" s="412"/>
      <c r="BDF103" s="412"/>
      <c r="BDG103" s="412"/>
      <c r="BDH103" s="412"/>
      <c r="BDI103" s="412"/>
      <c r="BDJ103" s="412"/>
      <c r="BDK103" s="412"/>
      <c r="BDL103" s="412"/>
      <c r="BDM103" s="412"/>
      <c r="BDN103" s="412"/>
      <c r="BDO103" s="412"/>
      <c r="BDP103" s="412"/>
      <c r="BDQ103" s="412"/>
      <c r="BDR103" s="412"/>
      <c r="BDS103" s="412"/>
      <c r="BDT103" s="412"/>
      <c r="BDU103" s="412"/>
      <c r="BDV103" s="412"/>
      <c r="BDW103" s="412"/>
      <c r="BDX103" s="412"/>
      <c r="BDY103" s="412"/>
      <c r="BDZ103" s="412"/>
      <c r="BEA103" s="412"/>
      <c r="BEB103" s="412"/>
      <c r="BEC103" s="412"/>
      <c r="BED103" s="412"/>
      <c r="BEE103" s="412"/>
      <c r="BEF103" s="412"/>
      <c r="BEG103" s="412"/>
      <c r="BEH103" s="412"/>
      <c r="BEI103" s="412"/>
      <c r="BEJ103" s="412"/>
      <c r="BEK103" s="412"/>
      <c r="BEL103" s="412"/>
      <c r="BEM103" s="412"/>
      <c r="BEN103" s="412"/>
      <c r="BEO103" s="412"/>
      <c r="BEP103" s="412"/>
      <c r="BEQ103" s="412"/>
      <c r="BER103" s="412"/>
      <c r="BES103" s="412"/>
      <c r="BET103" s="412"/>
      <c r="BEU103" s="412"/>
      <c r="BEV103" s="412"/>
      <c r="BEW103" s="412"/>
      <c r="BEX103" s="412"/>
      <c r="BEY103" s="412"/>
      <c r="BEZ103" s="412"/>
      <c r="BFA103" s="412"/>
      <c r="BFB103" s="412"/>
      <c r="BFC103" s="412"/>
      <c r="BFD103" s="412"/>
      <c r="BFE103" s="412"/>
      <c r="BFF103" s="412"/>
      <c r="BFG103" s="412"/>
      <c r="BFH103" s="412"/>
      <c r="BFI103" s="412"/>
      <c r="BFJ103" s="412"/>
      <c r="BFK103" s="412"/>
      <c r="BFL103" s="412"/>
      <c r="BFM103" s="412"/>
      <c r="BFN103" s="412"/>
      <c r="BFO103" s="412"/>
      <c r="BFP103" s="412"/>
      <c r="BFQ103" s="412"/>
      <c r="BFR103" s="412"/>
      <c r="BFS103" s="412"/>
      <c r="BFT103" s="412"/>
      <c r="BFU103" s="412"/>
      <c r="BFV103" s="412"/>
      <c r="BFW103" s="412"/>
      <c r="BFX103" s="412"/>
      <c r="BFY103" s="412"/>
      <c r="BFZ103" s="412"/>
      <c r="BGA103" s="412"/>
      <c r="BGB103" s="412"/>
      <c r="BGC103" s="412"/>
      <c r="BGD103" s="412"/>
      <c r="BGE103" s="412"/>
      <c r="BGF103" s="412"/>
      <c r="BGG103" s="412"/>
      <c r="BGH103" s="412"/>
      <c r="BGI103" s="412"/>
      <c r="BGJ103" s="412"/>
      <c r="BGK103" s="412"/>
      <c r="BGL103" s="412"/>
      <c r="BGM103" s="412"/>
      <c r="BGN103" s="412"/>
      <c r="BGO103" s="412"/>
      <c r="BGP103" s="412"/>
      <c r="BGQ103" s="412"/>
      <c r="BGR103" s="412"/>
      <c r="BGS103" s="412"/>
      <c r="BGT103" s="412"/>
      <c r="BGU103" s="412"/>
      <c r="BGV103" s="412"/>
      <c r="BGW103" s="412"/>
      <c r="BGX103" s="412"/>
      <c r="BGY103" s="412"/>
      <c r="BGZ103" s="412"/>
      <c r="BHA103" s="412"/>
      <c r="BHB103" s="412"/>
      <c r="BHC103" s="412"/>
      <c r="BHD103" s="412"/>
      <c r="BHE103" s="412"/>
      <c r="BHF103" s="412"/>
      <c r="BHG103" s="412"/>
      <c r="BHH103" s="412"/>
      <c r="BHI103" s="412"/>
      <c r="BHJ103" s="412"/>
      <c r="BHK103" s="412"/>
      <c r="BHL103" s="412"/>
      <c r="BHM103" s="412"/>
      <c r="BHN103" s="412"/>
      <c r="BHO103" s="412"/>
      <c r="BHP103" s="412"/>
      <c r="BHQ103" s="412"/>
      <c r="BHR103" s="412"/>
      <c r="BHS103" s="412"/>
      <c r="BHT103" s="412"/>
      <c r="BHU103" s="412"/>
      <c r="BHV103" s="412"/>
      <c r="BHW103" s="412"/>
      <c r="BHX103" s="412"/>
      <c r="BHY103" s="412"/>
      <c r="BHZ103" s="412"/>
      <c r="BIA103" s="412"/>
      <c r="BIB103" s="412"/>
      <c r="BIC103" s="412"/>
      <c r="BID103" s="412"/>
      <c r="BIE103" s="412"/>
      <c r="BIF103" s="412"/>
      <c r="BIG103" s="412"/>
      <c r="BIH103" s="412"/>
      <c r="BII103" s="412"/>
      <c r="BIJ103" s="412"/>
      <c r="BIK103" s="412"/>
      <c r="BIL103" s="412"/>
      <c r="BIM103" s="412"/>
      <c r="BIN103" s="412"/>
      <c r="BIO103" s="412"/>
      <c r="BIP103" s="412"/>
      <c r="BIQ103" s="412"/>
      <c r="BIR103" s="412"/>
      <c r="BIS103" s="412"/>
      <c r="BIT103" s="412"/>
      <c r="BIU103" s="412"/>
      <c r="BIV103" s="412"/>
      <c r="BIW103" s="412"/>
      <c r="BIX103" s="412"/>
      <c r="BIY103" s="412"/>
      <c r="BIZ103" s="412"/>
      <c r="BJA103" s="412"/>
      <c r="BJB103" s="412"/>
      <c r="BJC103" s="412"/>
      <c r="BJD103" s="412"/>
      <c r="BJE103" s="412"/>
      <c r="BJF103" s="412"/>
      <c r="BJG103" s="412"/>
      <c r="BJH103" s="412"/>
      <c r="BJI103" s="412"/>
      <c r="BJJ103" s="412"/>
      <c r="BJK103" s="412"/>
      <c r="BJL103" s="412"/>
      <c r="BJM103" s="412"/>
      <c r="BJN103" s="412"/>
      <c r="BJO103" s="412"/>
      <c r="BJP103" s="412"/>
      <c r="BJQ103" s="412"/>
      <c r="BJR103" s="412"/>
      <c r="BJS103" s="412"/>
      <c r="BJT103" s="412"/>
      <c r="BJU103" s="412"/>
      <c r="BJV103" s="412"/>
      <c r="BJW103" s="412"/>
      <c r="BJX103" s="412"/>
      <c r="BJY103" s="412"/>
      <c r="BJZ103" s="412"/>
      <c r="BKA103" s="412"/>
      <c r="BKB103" s="412"/>
      <c r="BKC103" s="412"/>
      <c r="BKD103" s="412"/>
      <c r="BKE103" s="412"/>
      <c r="BKF103" s="412"/>
      <c r="BKG103" s="412"/>
      <c r="BKH103" s="412"/>
      <c r="BKI103" s="412"/>
      <c r="BKJ103" s="412"/>
      <c r="BKK103" s="412"/>
      <c r="BKL103" s="412"/>
      <c r="BKM103" s="412"/>
      <c r="BKN103" s="412"/>
      <c r="BKO103" s="412"/>
      <c r="BKP103" s="412"/>
      <c r="BKQ103" s="412"/>
      <c r="BKR103" s="412"/>
      <c r="BKS103" s="412"/>
      <c r="BKT103" s="412"/>
      <c r="BKU103" s="412"/>
      <c r="BKV103" s="412"/>
      <c r="BKW103" s="412"/>
      <c r="BKX103" s="412"/>
      <c r="BKY103" s="412"/>
      <c r="BKZ103" s="412"/>
      <c r="BLA103" s="412"/>
      <c r="BLB103" s="412"/>
      <c r="BLC103" s="412"/>
      <c r="BLD103" s="412"/>
      <c r="BLE103" s="412"/>
      <c r="BLF103" s="412"/>
      <c r="BLG103" s="412"/>
      <c r="BLH103" s="412"/>
      <c r="BLI103" s="412"/>
      <c r="BLJ103" s="412"/>
      <c r="BLK103" s="412"/>
      <c r="BLL103" s="412"/>
      <c r="BLM103" s="412"/>
      <c r="BLN103" s="412"/>
      <c r="BLO103" s="412"/>
      <c r="BLP103" s="412"/>
      <c r="BLQ103" s="412"/>
      <c r="BLR103" s="412"/>
      <c r="BLS103" s="412"/>
      <c r="BLT103" s="412"/>
      <c r="BLU103" s="412"/>
      <c r="BLV103" s="412"/>
      <c r="BLW103" s="412"/>
      <c r="BLX103" s="412"/>
      <c r="BLY103" s="412"/>
      <c r="BLZ103" s="412"/>
      <c r="BMA103" s="412"/>
      <c r="BMB103" s="412"/>
      <c r="BMC103" s="412"/>
      <c r="BMD103" s="412"/>
      <c r="BME103" s="412"/>
      <c r="BMF103" s="412"/>
      <c r="BMG103" s="412"/>
      <c r="BMH103" s="412"/>
      <c r="BMI103" s="412"/>
      <c r="BMJ103" s="412"/>
      <c r="BMK103" s="412"/>
      <c r="BML103" s="412"/>
      <c r="BMM103" s="412"/>
      <c r="BMN103" s="412"/>
      <c r="BMO103" s="412"/>
      <c r="BMP103" s="412"/>
      <c r="BMQ103" s="412"/>
      <c r="BMR103" s="412"/>
      <c r="BMS103" s="412"/>
      <c r="BMT103" s="412"/>
      <c r="BMU103" s="412"/>
      <c r="BMV103" s="412"/>
      <c r="BMW103" s="412"/>
      <c r="BMX103" s="412"/>
      <c r="BMY103" s="412"/>
      <c r="BMZ103" s="412"/>
      <c r="BNA103" s="412"/>
      <c r="BNB103" s="412"/>
      <c r="BNC103" s="412"/>
      <c r="BND103" s="412"/>
      <c r="BNE103" s="412"/>
      <c r="BNF103" s="412"/>
      <c r="BNG103" s="412"/>
      <c r="BNH103" s="412"/>
      <c r="BNI103" s="412"/>
      <c r="BNJ103" s="412"/>
      <c r="BNK103" s="412"/>
      <c r="BNL103" s="412"/>
      <c r="BNM103" s="412"/>
      <c r="BNN103" s="412"/>
      <c r="BNO103" s="412"/>
      <c r="BNP103" s="412"/>
      <c r="BNQ103" s="412"/>
      <c r="BNR103" s="412"/>
      <c r="BNS103" s="412"/>
      <c r="BNT103" s="412"/>
      <c r="BNU103" s="412"/>
      <c r="BNV103" s="412"/>
      <c r="BNW103" s="412"/>
      <c r="BNX103" s="412"/>
      <c r="BNY103" s="412"/>
      <c r="BNZ103" s="412"/>
      <c r="BOA103" s="412"/>
      <c r="BOB103" s="412"/>
      <c r="BOC103" s="412"/>
      <c r="BOD103" s="412"/>
      <c r="BOE103" s="412"/>
      <c r="BOF103" s="412"/>
      <c r="BOG103" s="412"/>
      <c r="BOH103" s="412"/>
      <c r="BOI103" s="412"/>
      <c r="BOJ103" s="412"/>
      <c r="BOK103" s="412"/>
      <c r="BOL103" s="412"/>
      <c r="BOM103" s="412"/>
      <c r="BON103" s="412"/>
      <c r="BOO103" s="412"/>
      <c r="BOP103" s="412"/>
      <c r="BOQ103" s="412"/>
      <c r="BOR103" s="412"/>
      <c r="BOS103" s="412"/>
      <c r="BOT103" s="412"/>
      <c r="BOU103" s="412"/>
      <c r="BOV103" s="412"/>
      <c r="BOW103" s="412"/>
      <c r="BOX103" s="412"/>
      <c r="BOY103" s="412"/>
      <c r="BOZ103" s="412"/>
      <c r="BPA103" s="412"/>
      <c r="BPB103" s="412"/>
      <c r="BPC103" s="412"/>
      <c r="BPD103" s="412"/>
      <c r="BPE103" s="412"/>
      <c r="BPF103" s="412"/>
      <c r="BPG103" s="412"/>
      <c r="BPH103" s="412"/>
      <c r="BPI103" s="412"/>
      <c r="BPJ103" s="412"/>
      <c r="BPK103" s="412"/>
      <c r="BPL103" s="412"/>
      <c r="BPM103" s="412"/>
      <c r="BPN103" s="412"/>
      <c r="BPO103" s="412"/>
      <c r="BPP103" s="412"/>
      <c r="BPQ103" s="412"/>
      <c r="BPR103" s="412"/>
      <c r="BPS103" s="412"/>
      <c r="BPT103" s="412"/>
      <c r="BPU103" s="412"/>
      <c r="BPV103" s="412"/>
      <c r="BPW103" s="412"/>
      <c r="BPX103" s="412"/>
      <c r="BPY103" s="412"/>
      <c r="BPZ103" s="412"/>
      <c r="BQA103" s="412"/>
      <c r="BQB103" s="412"/>
      <c r="BQC103" s="412"/>
      <c r="BQD103" s="412"/>
      <c r="BQE103" s="412"/>
      <c r="BQF103" s="412"/>
      <c r="BQG103" s="412"/>
      <c r="BQH103" s="412"/>
      <c r="BQI103" s="412"/>
      <c r="BQJ103" s="412"/>
      <c r="BQK103" s="412"/>
      <c r="BQL103" s="412"/>
      <c r="BQM103" s="412"/>
      <c r="BQN103" s="412"/>
      <c r="BQO103" s="412"/>
      <c r="BQP103" s="412"/>
      <c r="BQQ103" s="412"/>
      <c r="BQR103" s="412"/>
      <c r="BQS103" s="412"/>
      <c r="BQT103" s="412"/>
      <c r="BQU103" s="412"/>
      <c r="BQV103" s="412"/>
      <c r="BQW103" s="412"/>
      <c r="BQX103" s="412"/>
      <c r="BQY103" s="412"/>
      <c r="BQZ103" s="412"/>
      <c r="BRA103" s="412"/>
      <c r="BRB103" s="412"/>
      <c r="BRC103" s="412"/>
      <c r="BRD103" s="412"/>
      <c r="BRE103" s="412"/>
      <c r="BRF103" s="412"/>
      <c r="BRG103" s="412"/>
      <c r="BRH103" s="412"/>
      <c r="BRI103" s="412"/>
      <c r="BRJ103" s="412"/>
      <c r="BRK103" s="412"/>
      <c r="BRL103" s="412"/>
      <c r="BRM103" s="412"/>
      <c r="BRN103" s="412"/>
      <c r="BRO103" s="412"/>
      <c r="BRP103" s="412"/>
      <c r="BRQ103" s="412"/>
      <c r="BRR103" s="412"/>
      <c r="BRS103" s="412"/>
      <c r="BRT103" s="412"/>
      <c r="BRU103" s="412"/>
      <c r="BRV103" s="412"/>
      <c r="BRW103" s="412"/>
      <c r="BRX103" s="412"/>
      <c r="BRY103" s="412"/>
      <c r="BRZ103" s="412"/>
      <c r="BSA103" s="412"/>
      <c r="BSB103" s="412"/>
      <c r="BSC103" s="412"/>
      <c r="BSD103" s="412"/>
      <c r="BSE103" s="412"/>
      <c r="BSF103" s="412"/>
      <c r="BSG103" s="412"/>
      <c r="BSH103" s="412"/>
      <c r="BSI103" s="412"/>
      <c r="BSJ103" s="412"/>
      <c r="BSK103" s="412"/>
      <c r="BSL103" s="412"/>
      <c r="BSM103" s="412"/>
      <c r="BSN103" s="412"/>
      <c r="BSO103" s="412"/>
      <c r="BSP103" s="412"/>
      <c r="BSQ103" s="412"/>
      <c r="BSR103" s="412"/>
      <c r="BSS103" s="412"/>
      <c r="BST103" s="412"/>
      <c r="BSU103" s="412"/>
      <c r="BSV103" s="412"/>
      <c r="BSW103" s="412"/>
      <c r="BSX103" s="412"/>
      <c r="BSY103" s="412"/>
      <c r="BSZ103" s="412"/>
      <c r="BTA103" s="412"/>
      <c r="BTB103" s="412"/>
      <c r="BTC103" s="412"/>
      <c r="BTD103" s="412"/>
      <c r="BTE103" s="412"/>
      <c r="BTF103" s="412"/>
      <c r="BTG103" s="412"/>
      <c r="BTH103" s="412"/>
      <c r="BTI103" s="412"/>
    </row>
    <row r="104" spans="1:1881" s="632" customFormat="1" ht="70.5" customHeight="1" x14ac:dyDescent="0.25">
      <c r="A104" s="473">
        <v>658</v>
      </c>
      <c r="B104" s="469" t="s">
        <v>65</v>
      </c>
      <c r="C104" s="470" t="s">
        <v>185</v>
      </c>
      <c r="D104" s="485" t="s">
        <v>1206</v>
      </c>
      <c r="E104" s="472" t="s">
        <v>837</v>
      </c>
      <c r="F104" s="647"/>
      <c r="G104" s="634"/>
      <c r="H104" s="635"/>
      <c r="I104" s="636"/>
      <c r="J104" s="633"/>
      <c r="K104" s="633"/>
      <c r="L104" s="633"/>
      <c r="M104" s="633"/>
      <c r="N104"/>
      <c r="O104" s="633"/>
      <c r="P104" s="633"/>
      <c r="Q104" s="633"/>
      <c r="R104" s="633"/>
      <c r="S104" s="633"/>
      <c r="T104" s="633"/>
      <c r="U104" s="633"/>
      <c r="V104" s="633"/>
      <c r="W104" s="633"/>
      <c r="X104" s="633"/>
      <c r="Y104" s="633"/>
      <c r="Z104" s="633"/>
      <c r="AA104" s="633"/>
      <c r="AB104" s="633"/>
      <c r="AC104" s="633"/>
      <c r="AD104" s="633"/>
      <c r="AE104" s="633"/>
      <c r="AF104" s="633"/>
      <c r="AG104" s="633"/>
      <c r="AH104" s="633"/>
      <c r="AI104" s="633"/>
      <c r="AJ104" s="633"/>
      <c r="AK104" s="633"/>
      <c r="AL104" s="633"/>
      <c r="AM104" s="633"/>
      <c r="AN104" s="633"/>
      <c r="AO104" s="633"/>
      <c r="AP104" s="633"/>
      <c r="AQ104" s="633"/>
      <c r="AR104" s="633"/>
      <c r="AS104" s="633"/>
      <c r="AT104" s="633"/>
      <c r="AU104" s="633"/>
      <c r="AV104" s="633"/>
      <c r="AW104" s="633"/>
      <c r="AX104" s="633"/>
      <c r="AY104" s="633"/>
      <c r="AZ104" s="633"/>
      <c r="BA104" s="633"/>
      <c r="BB104" s="633"/>
      <c r="BC104" s="633"/>
      <c r="BD104" s="633"/>
      <c r="BE104" s="633"/>
      <c r="BF104" s="633"/>
      <c r="BG104" s="633"/>
      <c r="BH104" s="633"/>
      <c r="BI104" s="633"/>
      <c r="BJ104" s="633"/>
      <c r="BK104" s="633"/>
      <c r="BL104" s="633"/>
      <c r="BM104" s="633"/>
      <c r="BN104" s="633"/>
      <c r="BO104" s="633"/>
      <c r="BP104" s="633"/>
      <c r="BQ104" s="633"/>
      <c r="BR104" s="633"/>
      <c r="BS104" s="633"/>
      <c r="BT104" s="633"/>
      <c r="BU104" s="633"/>
      <c r="BV104" s="633"/>
      <c r="BW104" s="633"/>
      <c r="BX104" s="633"/>
      <c r="BY104" s="633"/>
      <c r="BZ104" s="633"/>
      <c r="CA104" s="633"/>
      <c r="CB104" s="633"/>
      <c r="CC104" s="633"/>
      <c r="CD104" s="633"/>
      <c r="CE104" s="633"/>
      <c r="CF104" s="633"/>
      <c r="CG104" s="633"/>
      <c r="CH104" s="633"/>
      <c r="CI104" s="633"/>
      <c r="CJ104" s="633"/>
      <c r="CK104" s="633"/>
      <c r="CL104" s="633"/>
      <c r="CM104" s="633"/>
      <c r="CN104" s="633"/>
      <c r="CO104" s="633"/>
      <c r="CP104" s="633"/>
      <c r="CQ104" s="633"/>
      <c r="CR104" s="633"/>
      <c r="CS104" s="633"/>
      <c r="CT104" s="633"/>
      <c r="CU104" s="633"/>
      <c r="CV104" s="633"/>
      <c r="CW104" s="633"/>
      <c r="CX104" s="633"/>
      <c r="CY104" s="633"/>
      <c r="CZ104" s="633"/>
      <c r="DA104" s="633"/>
      <c r="DB104" s="633"/>
      <c r="DC104" s="633"/>
      <c r="DD104" s="633"/>
      <c r="DE104" s="633"/>
      <c r="DF104" s="633"/>
      <c r="DG104" s="633"/>
      <c r="DH104" s="633"/>
      <c r="DI104" s="633"/>
      <c r="DJ104" s="633"/>
      <c r="DK104" s="633"/>
      <c r="DL104" s="633"/>
      <c r="DM104" s="633"/>
      <c r="DN104" s="633"/>
      <c r="DO104" s="633"/>
      <c r="DP104" s="633"/>
      <c r="DQ104" s="633"/>
      <c r="DR104" s="633"/>
      <c r="DS104" s="633"/>
      <c r="DT104" s="633"/>
      <c r="DU104" s="633"/>
      <c r="DV104" s="633"/>
      <c r="DW104" s="633"/>
      <c r="DX104" s="633"/>
      <c r="DY104" s="633"/>
      <c r="DZ104" s="633"/>
      <c r="EA104" s="633"/>
      <c r="EB104" s="633"/>
      <c r="EC104" s="633"/>
      <c r="ED104" s="633"/>
      <c r="EE104" s="633"/>
      <c r="EF104" s="633"/>
      <c r="EG104" s="633"/>
      <c r="EH104" s="633"/>
      <c r="EI104" s="633"/>
      <c r="EJ104" s="633"/>
      <c r="EK104" s="633"/>
      <c r="EL104" s="633"/>
      <c r="EM104" s="633"/>
      <c r="EN104" s="633"/>
      <c r="EO104" s="633"/>
      <c r="EP104" s="633"/>
      <c r="EQ104" s="633"/>
      <c r="ER104" s="633"/>
      <c r="ES104" s="633"/>
      <c r="ET104" s="633"/>
      <c r="EU104" s="633"/>
      <c r="EV104" s="633"/>
      <c r="EW104" s="633"/>
      <c r="EX104" s="633"/>
      <c r="EY104" s="633"/>
      <c r="EZ104" s="633"/>
      <c r="FA104" s="633"/>
      <c r="FB104" s="633"/>
      <c r="FC104" s="633"/>
      <c r="FD104" s="633"/>
      <c r="FE104" s="633"/>
      <c r="FF104" s="633"/>
      <c r="FG104" s="633"/>
      <c r="FH104" s="633"/>
      <c r="FI104" s="633"/>
      <c r="FJ104" s="633"/>
      <c r="FK104" s="633"/>
      <c r="FL104" s="633"/>
      <c r="FM104" s="633"/>
      <c r="FN104" s="633"/>
      <c r="FO104" s="633"/>
      <c r="FP104" s="633"/>
      <c r="FQ104" s="633"/>
      <c r="FR104" s="633"/>
      <c r="FS104" s="633"/>
      <c r="FT104" s="633"/>
      <c r="FU104" s="633"/>
      <c r="FV104" s="633"/>
      <c r="FW104" s="633"/>
      <c r="FX104" s="633"/>
      <c r="FY104" s="633"/>
      <c r="FZ104" s="633"/>
      <c r="GA104" s="633"/>
      <c r="GB104" s="633"/>
      <c r="GC104" s="633"/>
      <c r="GD104" s="633"/>
      <c r="GE104" s="633"/>
      <c r="GF104" s="633"/>
      <c r="GG104" s="633"/>
      <c r="GH104" s="633"/>
      <c r="GI104" s="633"/>
      <c r="GJ104" s="633"/>
      <c r="GK104" s="633"/>
      <c r="GL104" s="633"/>
      <c r="GM104" s="633"/>
      <c r="GN104" s="633"/>
      <c r="GO104" s="633"/>
      <c r="GP104" s="633"/>
      <c r="GQ104" s="633"/>
      <c r="GR104" s="633"/>
      <c r="GS104" s="633"/>
      <c r="GT104" s="633"/>
      <c r="GU104" s="633"/>
      <c r="GV104" s="633"/>
      <c r="GW104" s="633"/>
      <c r="GX104" s="633"/>
      <c r="GY104" s="633"/>
      <c r="GZ104" s="633"/>
      <c r="HA104" s="633"/>
      <c r="HB104" s="633"/>
      <c r="HC104" s="633"/>
      <c r="HD104" s="633"/>
      <c r="HE104" s="633"/>
      <c r="HF104" s="633"/>
      <c r="HG104" s="633"/>
      <c r="HH104" s="633"/>
      <c r="HI104" s="633"/>
      <c r="HJ104" s="633"/>
      <c r="HK104" s="633"/>
      <c r="HL104" s="633"/>
      <c r="HM104" s="633"/>
      <c r="HN104" s="633"/>
      <c r="HO104" s="633"/>
      <c r="HP104" s="633"/>
      <c r="HQ104" s="633"/>
      <c r="HR104" s="633"/>
      <c r="HS104" s="633"/>
      <c r="HT104" s="633"/>
      <c r="HU104" s="633"/>
      <c r="HV104" s="633"/>
      <c r="HW104" s="633"/>
      <c r="HX104" s="633"/>
      <c r="HY104" s="633"/>
      <c r="HZ104" s="633"/>
      <c r="IA104" s="633"/>
      <c r="IB104" s="633"/>
      <c r="IC104" s="633"/>
      <c r="ID104" s="633"/>
      <c r="IE104" s="633"/>
      <c r="IF104" s="633"/>
      <c r="IG104" s="633"/>
      <c r="IH104" s="633"/>
      <c r="II104" s="633"/>
      <c r="IJ104" s="633"/>
      <c r="IK104" s="633"/>
      <c r="IL104" s="633"/>
      <c r="IM104" s="633"/>
      <c r="IN104" s="633"/>
      <c r="IO104" s="633"/>
      <c r="IP104" s="633"/>
      <c r="IQ104" s="633"/>
      <c r="IR104" s="633"/>
      <c r="IS104" s="633"/>
      <c r="IT104" s="633"/>
      <c r="IU104" s="633"/>
      <c r="IV104" s="633"/>
      <c r="IW104" s="633"/>
      <c r="IX104" s="633"/>
      <c r="IY104" s="633"/>
      <c r="IZ104" s="633"/>
      <c r="JA104" s="633"/>
      <c r="JB104" s="633"/>
      <c r="JC104" s="633"/>
      <c r="JD104" s="633"/>
      <c r="JE104" s="633"/>
      <c r="JF104" s="633"/>
      <c r="JG104" s="633"/>
      <c r="JH104" s="633"/>
      <c r="JI104" s="633"/>
      <c r="JJ104" s="633"/>
      <c r="JK104" s="633"/>
      <c r="JL104" s="633"/>
      <c r="JM104" s="633"/>
      <c r="JN104" s="633"/>
      <c r="JO104" s="633"/>
      <c r="JP104" s="633"/>
      <c r="JQ104" s="633"/>
      <c r="JR104" s="633"/>
      <c r="JS104" s="633"/>
      <c r="JT104" s="633"/>
      <c r="JU104" s="633"/>
      <c r="JV104" s="633"/>
      <c r="JW104" s="633"/>
      <c r="JX104" s="633"/>
      <c r="JY104" s="633"/>
      <c r="JZ104" s="633"/>
      <c r="KA104" s="633"/>
      <c r="KB104" s="633"/>
      <c r="KC104" s="633"/>
      <c r="KD104" s="633"/>
      <c r="KE104" s="633"/>
      <c r="KF104" s="633"/>
      <c r="KG104" s="633"/>
      <c r="KH104" s="633"/>
      <c r="KI104" s="633"/>
      <c r="KJ104" s="633"/>
      <c r="KK104" s="633"/>
      <c r="KL104" s="633"/>
      <c r="KM104" s="633"/>
      <c r="KN104" s="633"/>
      <c r="KO104" s="633"/>
      <c r="KP104" s="633"/>
      <c r="KQ104" s="633"/>
      <c r="KR104" s="633"/>
      <c r="KS104" s="633"/>
      <c r="KT104" s="633"/>
      <c r="KU104" s="633"/>
      <c r="KV104" s="633"/>
      <c r="KW104" s="633"/>
      <c r="KX104" s="633"/>
      <c r="KY104" s="633"/>
      <c r="KZ104" s="633"/>
      <c r="LA104" s="633"/>
      <c r="LB104" s="633"/>
      <c r="LC104" s="633"/>
      <c r="LD104" s="633"/>
      <c r="LE104" s="633"/>
      <c r="LF104" s="633"/>
      <c r="LG104" s="633"/>
      <c r="LH104" s="633"/>
      <c r="LI104" s="633"/>
      <c r="LJ104" s="633"/>
      <c r="LK104" s="633"/>
      <c r="LL104" s="633"/>
      <c r="LM104" s="633"/>
      <c r="LN104" s="633"/>
      <c r="LO104" s="633"/>
      <c r="LP104" s="633"/>
      <c r="LQ104" s="633"/>
      <c r="LR104" s="633"/>
      <c r="LS104" s="633"/>
      <c r="LT104" s="633"/>
      <c r="LU104" s="633"/>
      <c r="LV104" s="633"/>
      <c r="LW104" s="633"/>
      <c r="LX104" s="633"/>
      <c r="LY104" s="633"/>
      <c r="LZ104" s="633"/>
      <c r="MA104" s="633"/>
      <c r="MB104" s="633"/>
      <c r="MC104" s="633"/>
      <c r="MD104" s="633"/>
      <c r="ME104" s="633"/>
      <c r="MF104" s="633"/>
      <c r="MG104" s="633"/>
      <c r="MH104" s="633"/>
      <c r="MI104" s="633"/>
      <c r="MJ104" s="633"/>
      <c r="MK104" s="633"/>
      <c r="ML104" s="633"/>
      <c r="MM104" s="633"/>
      <c r="MN104" s="633"/>
      <c r="MO104" s="633"/>
      <c r="MP104" s="633"/>
      <c r="MQ104" s="633"/>
      <c r="MR104" s="633"/>
      <c r="MS104" s="633"/>
      <c r="MT104" s="633"/>
      <c r="MU104" s="633"/>
      <c r="MV104" s="633"/>
      <c r="MW104" s="633"/>
      <c r="MX104" s="633"/>
      <c r="MY104" s="633"/>
      <c r="MZ104" s="633"/>
      <c r="NA104" s="633"/>
      <c r="NB104" s="633"/>
      <c r="NC104" s="633"/>
      <c r="ND104" s="633"/>
      <c r="NE104" s="633"/>
      <c r="NF104" s="633"/>
      <c r="NG104" s="633"/>
      <c r="NH104" s="633"/>
      <c r="NI104" s="633"/>
      <c r="NJ104" s="633"/>
      <c r="NK104" s="633"/>
      <c r="NL104" s="633"/>
      <c r="NM104" s="633"/>
      <c r="NN104" s="633"/>
      <c r="NO104" s="633"/>
      <c r="NP104" s="633"/>
      <c r="NQ104" s="633"/>
      <c r="NR104" s="633"/>
      <c r="NS104" s="633"/>
      <c r="NT104" s="633"/>
      <c r="NU104" s="633"/>
      <c r="NV104" s="633"/>
      <c r="NW104" s="633"/>
      <c r="NX104" s="633"/>
      <c r="NY104" s="633"/>
      <c r="NZ104" s="633"/>
      <c r="OA104" s="633"/>
      <c r="OB104" s="633"/>
      <c r="OC104" s="633"/>
      <c r="OD104" s="633"/>
      <c r="OE104" s="633"/>
      <c r="OF104" s="633"/>
      <c r="OG104" s="633"/>
      <c r="OH104" s="633"/>
      <c r="OI104" s="633"/>
      <c r="OJ104" s="633"/>
      <c r="OK104" s="633"/>
      <c r="OL104" s="633"/>
      <c r="OM104" s="633"/>
      <c r="ON104" s="633"/>
      <c r="OO104" s="633"/>
      <c r="OP104" s="633"/>
      <c r="OQ104" s="633"/>
      <c r="OR104" s="633"/>
      <c r="OS104" s="633"/>
      <c r="OT104" s="633"/>
      <c r="OU104" s="633"/>
      <c r="OV104" s="633"/>
      <c r="OW104" s="633"/>
      <c r="OX104" s="633"/>
      <c r="OY104" s="633"/>
      <c r="OZ104" s="633"/>
      <c r="PA104" s="633"/>
      <c r="PB104" s="633"/>
      <c r="PC104" s="633"/>
      <c r="PD104" s="633"/>
      <c r="PE104" s="633"/>
      <c r="PF104" s="633"/>
      <c r="PG104" s="633"/>
      <c r="PH104" s="633"/>
      <c r="PI104" s="633"/>
      <c r="PJ104" s="633"/>
      <c r="PK104" s="633"/>
      <c r="PL104" s="633"/>
      <c r="PM104" s="633"/>
      <c r="PN104" s="633"/>
      <c r="PO104" s="633"/>
      <c r="PP104" s="633"/>
      <c r="PQ104" s="633"/>
      <c r="PR104" s="633"/>
      <c r="PS104" s="633"/>
      <c r="PT104" s="633"/>
      <c r="PU104" s="633"/>
      <c r="PV104" s="633"/>
      <c r="PW104" s="633"/>
      <c r="PX104" s="633"/>
      <c r="PY104" s="633"/>
      <c r="PZ104" s="633"/>
      <c r="QA104" s="633"/>
      <c r="QB104" s="633"/>
      <c r="QC104" s="633"/>
      <c r="QD104" s="633"/>
      <c r="QE104" s="633"/>
      <c r="QF104" s="633"/>
      <c r="QG104" s="633"/>
      <c r="QH104" s="633"/>
      <c r="QI104" s="633"/>
      <c r="QJ104" s="633"/>
      <c r="QK104" s="633"/>
      <c r="QL104" s="633"/>
      <c r="QM104" s="633"/>
      <c r="QN104" s="633"/>
      <c r="QO104" s="633"/>
      <c r="QP104" s="633"/>
      <c r="QQ104" s="633"/>
      <c r="QR104" s="633"/>
      <c r="QS104" s="633"/>
      <c r="QT104" s="633"/>
      <c r="QU104" s="633"/>
      <c r="QV104" s="633"/>
      <c r="QW104" s="633"/>
      <c r="QX104" s="633"/>
      <c r="QY104" s="633"/>
      <c r="QZ104" s="633"/>
      <c r="RA104" s="633"/>
      <c r="RB104" s="633"/>
      <c r="RC104" s="633"/>
      <c r="RD104" s="633"/>
      <c r="RE104" s="633"/>
      <c r="RF104" s="633"/>
      <c r="RG104" s="633"/>
      <c r="RH104" s="633"/>
      <c r="RI104" s="633"/>
      <c r="RJ104" s="633"/>
      <c r="RK104" s="633"/>
      <c r="RL104" s="633"/>
      <c r="RM104" s="633"/>
      <c r="RN104" s="633"/>
      <c r="RO104" s="633"/>
      <c r="RP104" s="633"/>
      <c r="RQ104" s="633"/>
      <c r="RR104" s="633"/>
      <c r="RS104" s="633"/>
      <c r="RT104" s="633"/>
      <c r="RU104" s="633"/>
      <c r="RV104" s="633"/>
      <c r="RW104" s="633"/>
      <c r="RX104" s="633"/>
      <c r="RY104" s="633"/>
      <c r="RZ104" s="633"/>
      <c r="SA104" s="633"/>
      <c r="SB104" s="633"/>
      <c r="SC104" s="633"/>
      <c r="SD104" s="633"/>
      <c r="SE104" s="633"/>
      <c r="SF104" s="633"/>
      <c r="SG104" s="633"/>
      <c r="SH104" s="633"/>
      <c r="SI104" s="633"/>
      <c r="SJ104" s="633"/>
      <c r="SK104" s="633"/>
      <c r="SL104" s="633"/>
      <c r="SM104" s="633"/>
      <c r="SN104" s="633"/>
      <c r="SO104" s="633"/>
      <c r="SP104" s="633"/>
      <c r="SQ104" s="633"/>
      <c r="SR104" s="633"/>
      <c r="SS104" s="633"/>
      <c r="ST104" s="633"/>
      <c r="SU104" s="633"/>
      <c r="SV104" s="633"/>
      <c r="SW104" s="633"/>
      <c r="SX104" s="633"/>
      <c r="SY104" s="633"/>
      <c r="SZ104" s="633"/>
      <c r="TA104" s="633"/>
      <c r="TB104" s="633"/>
      <c r="TC104" s="633"/>
      <c r="TD104" s="633"/>
      <c r="TE104" s="633"/>
      <c r="TF104" s="633"/>
      <c r="TG104" s="633"/>
      <c r="TH104" s="633"/>
      <c r="TI104" s="633"/>
      <c r="TJ104" s="633"/>
      <c r="TK104" s="633"/>
      <c r="TL104" s="633"/>
      <c r="TM104" s="633"/>
      <c r="TN104" s="633"/>
      <c r="TO104" s="633"/>
      <c r="TP104" s="633"/>
      <c r="TQ104" s="633"/>
      <c r="TR104" s="633"/>
      <c r="TS104" s="633"/>
      <c r="TT104" s="633"/>
      <c r="TU104" s="633"/>
      <c r="TV104" s="633"/>
      <c r="TW104" s="633"/>
      <c r="TX104" s="633"/>
      <c r="TY104" s="633"/>
      <c r="TZ104" s="633"/>
      <c r="UA104" s="633"/>
      <c r="UB104" s="633"/>
      <c r="UC104" s="633"/>
      <c r="UD104" s="633"/>
      <c r="UE104" s="633"/>
      <c r="UF104" s="633"/>
      <c r="UG104" s="633"/>
      <c r="UH104" s="633"/>
      <c r="UI104" s="633"/>
      <c r="UJ104" s="633"/>
      <c r="UK104" s="633"/>
      <c r="UL104" s="633"/>
      <c r="UM104" s="633"/>
      <c r="UN104" s="633"/>
      <c r="UO104" s="633"/>
      <c r="UP104" s="633"/>
      <c r="UQ104" s="633"/>
      <c r="UR104" s="633"/>
      <c r="US104" s="633"/>
      <c r="UT104" s="633"/>
      <c r="UU104" s="633"/>
      <c r="UV104" s="633"/>
      <c r="UW104" s="633"/>
      <c r="UX104" s="633"/>
      <c r="UY104" s="633"/>
      <c r="UZ104" s="633"/>
      <c r="VA104" s="633"/>
      <c r="VB104" s="633"/>
      <c r="VC104" s="633"/>
      <c r="VD104" s="633"/>
      <c r="VE104" s="633"/>
      <c r="VF104" s="633"/>
      <c r="VG104" s="633"/>
      <c r="VH104" s="633"/>
      <c r="VI104" s="633"/>
      <c r="VJ104" s="633"/>
      <c r="VK104" s="633"/>
      <c r="VL104" s="633"/>
      <c r="VM104" s="633"/>
      <c r="VN104" s="633"/>
      <c r="VO104" s="633"/>
      <c r="VP104" s="633"/>
      <c r="VQ104" s="633"/>
      <c r="VR104" s="633"/>
      <c r="VS104" s="633"/>
      <c r="VT104" s="633"/>
      <c r="VU104" s="633"/>
      <c r="VV104" s="633"/>
      <c r="VW104" s="633"/>
      <c r="VX104" s="633"/>
      <c r="VY104" s="633"/>
      <c r="VZ104" s="633"/>
      <c r="WA104" s="633"/>
      <c r="WB104" s="633"/>
      <c r="WC104" s="633"/>
      <c r="WD104" s="633"/>
      <c r="WE104" s="633"/>
      <c r="WF104" s="633"/>
      <c r="WG104" s="633"/>
      <c r="WH104" s="633"/>
      <c r="WI104" s="633"/>
      <c r="WJ104" s="633"/>
      <c r="WK104" s="633"/>
      <c r="WL104" s="633"/>
      <c r="WM104" s="633"/>
      <c r="WN104" s="633"/>
      <c r="WO104" s="633"/>
      <c r="WP104" s="633"/>
      <c r="WQ104" s="633"/>
      <c r="WR104" s="633"/>
      <c r="WS104" s="633"/>
      <c r="WT104" s="633"/>
      <c r="WU104" s="633"/>
      <c r="WV104" s="633"/>
      <c r="WW104" s="633"/>
      <c r="WX104" s="633"/>
      <c r="WY104" s="633"/>
      <c r="WZ104" s="633"/>
      <c r="XA104" s="633"/>
      <c r="XB104" s="633"/>
      <c r="XC104" s="633"/>
      <c r="XD104" s="633"/>
      <c r="XE104" s="633"/>
      <c r="XF104" s="633"/>
      <c r="XG104" s="633"/>
      <c r="XH104" s="633"/>
      <c r="XI104" s="633"/>
      <c r="XJ104" s="633"/>
      <c r="XK104" s="633"/>
      <c r="XL104" s="633"/>
      <c r="XM104" s="633"/>
      <c r="XN104" s="633"/>
      <c r="XO104" s="633"/>
      <c r="XP104" s="633"/>
      <c r="XQ104" s="633"/>
      <c r="XR104" s="633"/>
      <c r="XS104" s="633"/>
      <c r="XT104" s="633"/>
      <c r="XU104" s="633"/>
      <c r="XV104" s="633"/>
      <c r="XW104" s="633"/>
      <c r="XX104" s="633"/>
      <c r="XY104" s="633"/>
      <c r="XZ104" s="633"/>
      <c r="YA104" s="633"/>
      <c r="YB104" s="633"/>
      <c r="YC104" s="633"/>
      <c r="YD104" s="633"/>
      <c r="YE104" s="633"/>
      <c r="YF104" s="633"/>
      <c r="YG104" s="633"/>
      <c r="YH104" s="633"/>
      <c r="YI104" s="633"/>
      <c r="YJ104" s="633"/>
      <c r="YK104" s="633"/>
      <c r="YL104" s="633"/>
      <c r="YM104" s="633"/>
      <c r="YN104" s="633"/>
      <c r="YO104" s="633"/>
      <c r="YP104" s="633"/>
      <c r="YQ104" s="633"/>
      <c r="YR104" s="633"/>
      <c r="YS104" s="633"/>
      <c r="YT104" s="633"/>
      <c r="YU104" s="633"/>
      <c r="YV104" s="633"/>
      <c r="YW104" s="633"/>
      <c r="YX104" s="633"/>
      <c r="YY104" s="633"/>
      <c r="YZ104" s="633"/>
      <c r="ZA104" s="633"/>
      <c r="ZB104" s="633"/>
      <c r="ZC104" s="633"/>
      <c r="ZD104" s="633"/>
      <c r="ZE104" s="633"/>
      <c r="ZF104" s="633"/>
      <c r="ZG104" s="633"/>
      <c r="ZH104" s="633"/>
      <c r="ZI104" s="633"/>
      <c r="ZJ104" s="633"/>
      <c r="ZK104" s="633"/>
      <c r="ZL104" s="633"/>
      <c r="ZM104" s="633"/>
      <c r="ZN104" s="633"/>
      <c r="ZO104" s="633"/>
      <c r="ZP104" s="633"/>
      <c r="ZQ104" s="633"/>
      <c r="ZR104" s="633"/>
      <c r="ZS104" s="633"/>
      <c r="ZT104" s="633"/>
      <c r="ZU104" s="633"/>
      <c r="ZV104" s="633"/>
      <c r="ZW104" s="633"/>
      <c r="ZX104" s="633"/>
      <c r="ZY104" s="633"/>
      <c r="ZZ104" s="633"/>
      <c r="AAA104" s="633"/>
      <c r="AAB104" s="633"/>
      <c r="AAC104" s="633"/>
      <c r="AAD104" s="633"/>
      <c r="AAE104" s="633"/>
      <c r="AAF104" s="633"/>
      <c r="AAG104" s="633"/>
      <c r="AAH104" s="633"/>
      <c r="AAI104" s="633"/>
      <c r="AAJ104" s="633"/>
      <c r="AAK104" s="633"/>
      <c r="AAL104" s="633"/>
      <c r="AAM104" s="633"/>
      <c r="AAN104" s="633"/>
      <c r="AAO104" s="633"/>
      <c r="AAP104" s="633"/>
      <c r="AAQ104" s="633"/>
      <c r="AAR104" s="633"/>
      <c r="AAS104" s="633"/>
      <c r="AAT104" s="633"/>
      <c r="AAU104" s="633"/>
      <c r="AAV104" s="633"/>
      <c r="AAW104" s="633"/>
      <c r="AAX104" s="633"/>
      <c r="AAY104" s="633"/>
      <c r="AAZ104" s="633"/>
      <c r="ABA104" s="633"/>
      <c r="ABB104" s="633"/>
      <c r="ABC104" s="633"/>
      <c r="ABD104" s="633"/>
      <c r="ABE104" s="633"/>
      <c r="ABF104" s="633"/>
      <c r="ABG104" s="633"/>
      <c r="ABH104" s="633"/>
      <c r="ABI104" s="633"/>
      <c r="ABJ104" s="633"/>
      <c r="ABK104" s="633"/>
      <c r="ABL104" s="633"/>
      <c r="ABM104" s="633"/>
      <c r="ABN104" s="633"/>
      <c r="ABO104" s="633"/>
      <c r="ABP104" s="633"/>
      <c r="ABQ104" s="633"/>
      <c r="ABR104" s="633"/>
      <c r="ABS104" s="633"/>
      <c r="ABT104" s="633"/>
      <c r="ABU104" s="633"/>
      <c r="ABV104" s="633"/>
      <c r="ABW104" s="633"/>
      <c r="ABX104" s="633"/>
      <c r="ABY104" s="633"/>
      <c r="ABZ104" s="633"/>
      <c r="ACA104" s="633"/>
      <c r="ACB104" s="633"/>
      <c r="ACC104" s="633"/>
      <c r="ACD104" s="633"/>
      <c r="ACE104" s="633"/>
      <c r="ACF104" s="633"/>
      <c r="ACG104" s="633"/>
      <c r="ACH104" s="633"/>
      <c r="ACI104" s="633"/>
      <c r="ACJ104" s="633"/>
      <c r="ACK104" s="633"/>
      <c r="ACL104" s="633"/>
      <c r="ACM104" s="633"/>
      <c r="ACN104" s="633"/>
      <c r="ACO104" s="633"/>
      <c r="ACP104" s="633"/>
      <c r="ACQ104" s="633"/>
      <c r="ACR104" s="633"/>
      <c r="ACS104" s="633"/>
      <c r="ACT104" s="633"/>
      <c r="ACU104" s="633"/>
      <c r="ACV104" s="633"/>
      <c r="ACW104" s="633"/>
      <c r="ACX104" s="633"/>
      <c r="ACY104" s="633"/>
      <c r="ACZ104" s="633"/>
      <c r="ADA104" s="633"/>
      <c r="ADB104" s="633"/>
      <c r="ADC104" s="633"/>
      <c r="ADD104" s="633"/>
      <c r="ADE104" s="633"/>
      <c r="ADF104" s="633"/>
      <c r="ADG104" s="633"/>
      <c r="ADH104" s="633"/>
      <c r="ADI104" s="633"/>
      <c r="ADJ104" s="633"/>
      <c r="ADK104" s="633"/>
      <c r="ADL104" s="633"/>
      <c r="ADM104" s="633"/>
      <c r="ADN104" s="633"/>
      <c r="ADO104" s="633"/>
      <c r="ADP104" s="633"/>
      <c r="ADQ104" s="633"/>
      <c r="ADR104" s="633"/>
      <c r="ADS104" s="633"/>
      <c r="ADT104" s="633"/>
      <c r="ADU104" s="633"/>
      <c r="ADV104" s="633"/>
      <c r="ADW104" s="633"/>
      <c r="ADX104" s="633"/>
      <c r="ADY104" s="633"/>
      <c r="ADZ104" s="633"/>
      <c r="AEA104" s="633"/>
      <c r="AEB104" s="633"/>
      <c r="AEC104" s="633"/>
      <c r="AED104" s="633"/>
      <c r="AEE104" s="633"/>
      <c r="AEF104" s="633"/>
      <c r="AEG104" s="633"/>
      <c r="AEH104" s="633"/>
      <c r="AEI104" s="633"/>
      <c r="AEJ104" s="633"/>
      <c r="AEK104" s="633"/>
      <c r="AEL104" s="633"/>
      <c r="AEM104" s="633"/>
      <c r="AEN104" s="633"/>
      <c r="AEO104" s="633"/>
      <c r="AEP104" s="633"/>
      <c r="AEQ104" s="633"/>
      <c r="AER104" s="633"/>
      <c r="AES104" s="633"/>
      <c r="AET104" s="633"/>
      <c r="AEU104" s="633"/>
      <c r="AEV104" s="633"/>
      <c r="AEW104" s="633"/>
      <c r="AEX104" s="633"/>
      <c r="AEY104" s="633"/>
      <c r="AEZ104" s="633"/>
      <c r="AFA104" s="633"/>
      <c r="AFB104" s="633"/>
      <c r="AFC104" s="633"/>
      <c r="AFD104" s="633"/>
      <c r="AFE104" s="633"/>
      <c r="AFF104" s="633"/>
      <c r="AFG104" s="633"/>
      <c r="AFH104" s="633"/>
      <c r="AFI104" s="633"/>
      <c r="AFJ104" s="633"/>
      <c r="AFK104" s="633"/>
      <c r="AFL104" s="633"/>
      <c r="AFM104" s="633"/>
      <c r="AFN104" s="633"/>
      <c r="AFO104" s="633"/>
      <c r="AFP104" s="633"/>
      <c r="AFQ104" s="633"/>
      <c r="AFR104" s="633"/>
      <c r="AFS104" s="633"/>
      <c r="AFT104" s="633"/>
      <c r="AFU104" s="633"/>
      <c r="AFV104" s="633"/>
      <c r="AFW104" s="633"/>
      <c r="AFX104" s="633"/>
      <c r="AFY104" s="633"/>
      <c r="AFZ104" s="633"/>
      <c r="AGA104" s="633"/>
      <c r="AGB104" s="633"/>
      <c r="AGC104" s="633"/>
      <c r="AGD104" s="633"/>
      <c r="AGE104" s="633"/>
      <c r="AGF104" s="633"/>
      <c r="AGG104" s="633"/>
      <c r="AGH104" s="633"/>
      <c r="AGI104" s="633"/>
      <c r="AGJ104" s="633"/>
      <c r="AGK104" s="633"/>
      <c r="AGL104" s="633"/>
      <c r="AGM104" s="633"/>
      <c r="AGN104" s="633"/>
      <c r="AGO104" s="633"/>
      <c r="AGP104" s="633"/>
      <c r="AGQ104" s="633"/>
      <c r="AGR104" s="633"/>
      <c r="AGS104" s="633"/>
      <c r="AGT104" s="633"/>
      <c r="AGU104" s="633"/>
      <c r="AGV104" s="633"/>
      <c r="AGW104" s="633"/>
      <c r="AGX104" s="633"/>
      <c r="AGY104" s="633"/>
      <c r="AGZ104" s="633"/>
      <c r="AHA104" s="633"/>
      <c r="AHB104" s="633"/>
      <c r="AHC104" s="633"/>
      <c r="AHD104" s="633"/>
      <c r="AHE104" s="633"/>
      <c r="AHF104" s="633"/>
      <c r="AHG104" s="633"/>
      <c r="AHH104" s="633"/>
      <c r="AHI104" s="633"/>
      <c r="AHJ104" s="633"/>
      <c r="AHK104" s="633"/>
      <c r="AHL104" s="633"/>
      <c r="AHM104" s="633"/>
      <c r="AHN104" s="633"/>
      <c r="AHO104" s="633"/>
      <c r="AHP104" s="633"/>
      <c r="AHQ104" s="633"/>
      <c r="AHR104" s="633"/>
      <c r="AHS104" s="633"/>
      <c r="AHT104" s="633"/>
      <c r="AHU104" s="633"/>
      <c r="AHV104" s="633"/>
      <c r="AHW104" s="633"/>
      <c r="AHX104" s="633"/>
      <c r="AHY104" s="633"/>
      <c r="AHZ104" s="633"/>
      <c r="AIA104" s="633"/>
      <c r="AIB104" s="633"/>
      <c r="AIC104" s="633"/>
      <c r="AID104" s="633"/>
      <c r="AIE104" s="633"/>
      <c r="AIF104" s="633"/>
      <c r="AIG104" s="633"/>
      <c r="AIH104" s="633"/>
      <c r="AII104" s="633"/>
      <c r="AIJ104" s="633"/>
      <c r="AIK104" s="633"/>
      <c r="AIL104" s="633"/>
      <c r="AIM104" s="633"/>
      <c r="AIN104" s="633"/>
      <c r="AIO104" s="633"/>
      <c r="AIP104" s="633"/>
      <c r="AIQ104" s="633"/>
      <c r="AIR104" s="633"/>
      <c r="AIS104" s="633"/>
      <c r="AIT104" s="633"/>
      <c r="AIU104" s="633"/>
      <c r="AIV104" s="633"/>
      <c r="AIW104" s="633"/>
      <c r="AIX104" s="633"/>
      <c r="AIY104" s="633"/>
      <c r="AIZ104" s="633"/>
      <c r="AJA104" s="633"/>
      <c r="AJB104" s="633"/>
      <c r="AJC104" s="633"/>
      <c r="AJD104" s="633"/>
      <c r="AJE104" s="633"/>
      <c r="AJF104" s="633"/>
      <c r="AJG104" s="633"/>
      <c r="AJH104" s="633"/>
      <c r="AJI104" s="633"/>
      <c r="AJJ104" s="633"/>
      <c r="AJK104" s="633"/>
      <c r="AJL104" s="633"/>
      <c r="AJM104" s="633"/>
      <c r="AJN104" s="633"/>
      <c r="AJO104" s="633"/>
      <c r="AJP104" s="633"/>
      <c r="AJQ104" s="633"/>
      <c r="AJR104" s="633"/>
      <c r="AJS104" s="633"/>
      <c r="AJT104" s="633"/>
      <c r="AJU104" s="633"/>
      <c r="AJV104" s="633"/>
      <c r="AJW104" s="633"/>
      <c r="AJX104" s="633"/>
      <c r="AJY104" s="633"/>
      <c r="AJZ104" s="633"/>
      <c r="AKA104" s="633"/>
      <c r="AKB104" s="633"/>
      <c r="AKC104" s="633"/>
      <c r="AKD104" s="633"/>
      <c r="AKE104" s="633"/>
      <c r="AKF104" s="633"/>
      <c r="AKG104" s="633"/>
      <c r="AKH104" s="633"/>
      <c r="AKI104" s="633"/>
      <c r="AKJ104" s="633"/>
      <c r="AKK104" s="633"/>
      <c r="AKL104" s="633"/>
      <c r="AKM104" s="633"/>
      <c r="AKN104" s="633"/>
      <c r="AKO104" s="633"/>
      <c r="AKP104" s="633"/>
      <c r="AKQ104" s="633"/>
      <c r="AKR104" s="633"/>
      <c r="AKS104" s="633"/>
      <c r="AKT104" s="633"/>
      <c r="AKU104" s="633"/>
      <c r="AKV104" s="633"/>
      <c r="AKW104" s="633"/>
      <c r="AKX104" s="633"/>
      <c r="AKY104" s="633"/>
      <c r="AKZ104" s="633"/>
      <c r="ALA104" s="633"/>
      <c r="ALB104" s="633"/>
      <c r="ALC104" s="633"/>
      <c r="ALD104" s="633"/>
      <c r="ALE104" s="633"/>
      <c r="ALF104" s="633"/>
      <c r="ALG104" s="633"/>
      <c r="ALH104" s="633"/>
      <c r="ALI104" s="633"/>
      <c r="ALJ104" s="633"/>
      <c r="ALK104" s="633"/>
      <c r="ALL104" s="633"/>
      <c r="ALM104" s="633"/>
      <c r="ALN104" s="633"/>
      <c r="ALO104" s="633"/>
      <c r="ALP104" s="633"/>
      <c r="ALQ104" s="633"/>
      <c r="ALR104" s="633"/>
      <c r="ALS104" s="633"/>
      <c r="ALT104" s="633"/>
      <c r="ALU104" s="633"/>
      <c r="ALV104" s="633"/>
      <c r="ALW104" s="633"/>
      <c r="ALX104" s="633"/>
      <c r="ALY104" s="633"/>
      <c r="ALZ104" s="633"/>
      <c r="AMA104" s="633"/>
      <c r="AMB104" s="633"/>
      <c r="AMC104" s="633"/>
      <c r="AMD104" s="633"/>
      <c r="AME104" s="633"/>
      <c r="AMF104" s="633"/>
      <c r="AMG104" s="633"/>
      <c r="AMH104" s="633"/>
      <c r="AMI104" s="633"/>
      <c r="AMJ104" s="633"/>
      <c r="AMK104" s="633"/>
      <c r="AML104" s="633"/>
      <c r="AMM104" s="633"/>
      <c r="AMN104" s="633"/>
      <c r="AMO104" s="633"/>
      <c r="AMP104" s="633"/>
      <c r="AMQ104" s="633"/>
      <c r="AMR104" s="633"/>
      <c r="AMS104" s="633"/>
      <c r="AMT104" s="633"/>
      <c r="AMU104" s="633"/>
      <c r="AMV104" s="633"/>
      <c r="AMW104" s="633"/>
      <c r="AMX104" s="633"/>
      <c r="AMY104" s="633"/>
      <c r="AMZ104" s="633"/>
      <c r="ANA104" s="633"/>
      <c r="ANB104" s="633"/>
      <c r="ANC104" s="633"/>
      <c r="AND104" s="633"/>
      <c r="ANE104" s="633"/>
      <c r="ANF104" s="633"/>
      <c r="ANG104" s="633"/>
      <c r="ANH104" s="633"/>
      <c r="ANI104" s="633"/>
      <c r="ANJ104" s="633"/>
      <c r="ANK104" s="633"/>
      <c r="ANL104" s="633"/>
      <c r="ANM104" s="633"/>
      <c r="ANN104" s="633"/>
      <c r="ANO104" s="633"/>
      <c r="ANP104" s="633"/>
      <c r="ANQ104" s="633"/>
      <c r="ANR104" s="633"/>
      <c r="ANS104" s="633"/>
      <c r="ANT104" s="633"/>
      <c r="ANU104" s="633"/>
      <c r="ANV104" s="633"/>
      <c r="ANW104" s="633"/>
      <c r="ANX104" s="633"/>
      <c r="ANY104" s="633"/>
      <c r="ANZ104" s="633"/>
      <c r="AOA104" s="633"/>
      <c r="AOB104" s="633"/>
      <c r="AOC104" s="633"/>
      <c r="AOD104" s="633"/>
      <c r="AOE104" s="633"/>
      <c r="AOF104" s="633"/>
      <c r="AOG104" s="633"/>
      <c r="AOH104" s="633"/>
      <c r="AOI104" s="633"/>
      <c r="AOJ104" s="633"/>
      <c r="AOK104" s="633"/>
      <c r="AOL104" s="633"/>
      <c r="AOM104" s="633"/>
      <c r="AON104" s="633"/>
      <c r="AOO104" s="633"/>
      <c r="AOP104" s="633"/>
      <c r="AOQ104" s="633"/>
      <c r="AOR104" s="633"/>
      <c r="AOS104" s="633"/>
      <c r="AOT104" s="633"/>
      <c r="AOU104" s="633"/>
      <c r="AOV104" s="633"/>
      <c r="AOW104" s="633"/>
      <c r="AOX104" s="633"/>
      <c r="AOY104" s="633"/>
      <c r="AOZ104" s="633"/>
      <c r="APA104" s="633"/>
      <c r="APB104" s="633"/>
      <c r="APC104" s="633"/>
      <c r="APD104" s="633"/>
      <c r="APE104" s="633"/>
      <c r="APF104" s="633"/>
      <c r="APG104" s="633"/>
      <c r="APH104" s="633"/>
      <c r="API104" s="633"/>
      <c r="APJ104" s="633"/>
      <c r="APK104" s="633"/>
      <c r="APL104" s="633"/>
      <c r="APM104" s="633"/>
      <c r="APN104" s="633"/>
      <c r="APO104" s="633"/>
      <c r="APP104" s="633"/>
      <c r="APQ104" s="633"/>
      <c r="APR104" s="633"/>
      <c r="APS104" s="633"/>
      <c r="APT104" s="633"/>
      <c r="APU104" s="633"/>
      <c r="APV104" s="633"/>
      <c r="APW104" s="633"/>
      <c r="APX104" s="633"/>
      <c r="APY104" s="633"/>
      <c r="APZ104" s="633"/>
      <c r="AQA104" s="633"/>
      <c r="AQB104" s="633"/>
      <c r="AQC104" s="633"/>
      <c r="AQD104" s="633"/>
      <c r="AQE104" s="633"/>
      <c r="AQF104" s="633"/>
      <c r="AQG104" s="633"/>
      <c r="AQH104" s="633"/>
      <c r="AQI104" s="633"/>
      <c r="AQJ104" s="633"/>
      <c r="AQK104" s="633"/>
      <c r="AQL104" s="633"/>
      <c r="AQM104" s="633"/>
      <c r="AQN104" s="633"/>
      <c r="AQO104" s="633"/>
      <c r="AQP104" s="633"/>
      <c r="AQQ104" s="633"/>
      <c r="AQR104" s="633"/>
      <c r="AQS104" s="633"/>
      <c r="AQT104" s="633"/>
      <c r="AQU104" s="633"/>
      <c r="AQV104" s="633"/>
      <c r="AQW104" s="633"/>
      <c r="AQX104" s="633"/>
      <c r="AQY104" s="633"/>
      <c r="AQZ104" s="633"/>
      <c r="ARA104" s="633"/>
      <c r="ARB104" s="633"/>
      <c r="ARC104" s="633"/>
      <c r="ARD104" s="633"/>
      <c r="ARE104" s="633"/>
      <c r="ARF104" s="633"/>
      <c r="ARG104" s="633"/>
      <c r="ARH104" s="633"/>
      <c r="ARI104" s="633"/>
      <c r="ARJ104" s="633"/>
      <c r="ARK104" s="633"/>
      <c r="ARL104" s="633"/>
      <c r="ARM104" s="633"/>
      <c r="ARN104" s="633"/>
      <c r="ARO104" s="633"/>
      <c r="ARP104" s="633"/>
      <c r="ARQ104" s="633"/>
      <c r="ARR104" s="633"/>
      <c r="ARS104" s="633"/>
      <c r="ART104" s="633"/>
      <c r="ARU104" s="633"/>
      <c r="ARV104" s="633"/>
      <c r="ARW104" s="633"/>
      <c r="ARX104" s="633"/>
      <c r="ARY104" s="633"/>
      <c r="ARZ104" s="633"/>
      <c r="ASA104" s="633"/>
      <c r="ASB104" s="633"/>
      <c r="ASC104" s="633"/>
      <c r="ASD104" s="633"/>
      <c r="ASE104" s="633"/>
      <c r="ASF104" s="633"/>
      <c r="ASG104" s="633"/>
      <c r="ASH104" s="633"/>
      <c r="ASI104" s="633"/>
      <c r="ASJ104" s="633"/>
      <c r="ASK104" s="633"/>
      <c r="ASL104" s="633"/>
      <c r="ASM104" s="633"/>
      <c r="ASN104" s="633"/>
      <c r="ASO104" s="633"/>
      <c r="ASP104" s="633"/>
      <c r="ASQ104" s="633"/>
      <c r="ASR104" s="633"/>
      <c r="ASS104" s="633"/>
      <c r="AST104" s="633"/>
      <c r="ASU104" s="633"/>
      <c r="ASV104" s="633"/>
      <c r="ASW104" s="633"/>
      <c r="ASX104" s="633"/>
      <c r="ASY104" s="633"/>
      <c r="ASZ104" s="633"/>
      <c r="ATA104" s="633"/>
      <c r="ATB104" s="633"/>
      <c r="ATC104" s="633"/>
      <c r="ATD104" s="633"/>
      <c r="ATE104" s="633"/>
      <c r="ATF104" s="633"/>
      <c r="ATG104" s="633"/>
      <c r="ATH104" s="633"/>
      <c r="ATI104" s="633"/>
      <c r="ATJ104" s="633"/>
      <c r="ATK104" s="633"/>
      <c r="ATL104" s="633"/>
      <c r="ATM104" s="633"/>
      <c r="ATN104" s="633"/>
      <c r="ATO104" s="633"/>
      <c r="ATP104" s="633"/>
      <c r="ATQ104" s="633"/>
      <c r="ATR104" s="633"/>
      <c r="ATS104" s="633"/>
      <c r="ATT104" s="633"/>
      <c r="ATU104" s="633"/>
      <c r="ATV104" s="633"/>
      <c r="ATW104" s="633"/>
      <c r="ATX104" s="633"/>
      <c r="ATY104" s="633"/>
      <c r="ATZ104" s="633"/>
      <c r="AUA104" s="633"/>
      <c r="AUB104" s="633"/>
      <c r="AUC104" s="633"/>
      <c r="AUD104" s="633"/>
      <c r="AUE104" s="633"/>
      <c r="AUF104" s="633"/>
      <c r="AUG104" s="633"/>
      <c r="AUH104" s="633"/>
      <c r="AUI104" s="633"/>
      <c r="AUJ104" s="633"/>
      <c r="AUK104" s="633"/>
      <c r="AUL104" s="633"/>
      <c r="AUM104" s="633"/>
      <c r="AUN104" s="633"/>
      <c r="AUO104" s="633"/>
      <c r="AUP104" s="633"/>
      <c r="AUQ104" s="633"/>
      <c r="AUR104" s="633"/>
      <c r="AUS104" s="633"/>
      <c r="AUT104" s="633"/>
      <c r="AUU104" s="633"/>
      <c r="AUV104" s="633"/>
      <c r="AUW104" s="633"/>
      <c r="AUX104" s="633"/>
      <c r="AUY104" s="633"/>
      <c r="AUZ104" s="633"/>
      <c r="AVA104" s="633"/>
      <c r="AVB104" s="633"/>
      <c r="AVC104" s="633"/>
      <c r="AVD104" s="633"/>
      <c r="AVE104" s="633"/>
      <c r="AVF104" s="633"/>
      <c r="AVG104" s="633"/>
      <c r="AVH104" s="633"/>
      <c r="AVI104" s="633"/>
      <c r="AVJ104" s="633"/>
      <c r="AVK104" s="633"/>
      <c r="AVL104" s="633"/>
      <c r="AVM104" s="633"/>
      <c r="AVN104" s="633"/>
      <c r="AVO104" s="633"/>
      <c r="AVP104" s="633"/>
      <c r="AVQ104" s="633"/>
      <c r="AVR104" s="633"/>
      <c r="AVS104" s="633"/>
      <c r="AVT104" s="633"/>
      <c r="AVU104" s="633"/>
      <c r="AVV104" s="633"/>
      <c r="AVW104" s="633"/>
      <c r="AVX104" s="633"/>
      <c r="AVY104" s="633"/>
      <c r="AVZ104" s="633"/>
      <c r="AWA104" s="633"/>
      <c r="AWB104" s="633"/>
      <c r="AWC104" s="633"/>
      <c r="AWD104" s="633"/>
      <c r="AWE104" s="633"/>
      <c r="AWF104" s="633"/>
      <c r="AWG104" s="633"/>
      <c r="AWH104" s="633"/>
      <c r="AWI104" s="633"/>
      <c r="AWJ104" s="633"/>
      <c r="AWK104" s="633"/>
      <c r="AWL104" s="633"/>
      <c r="AWM104" s="633"/>
      <c r="AWN104" s="633"/>
      <c r="AWO104" s="633"/>
      <c r="AWP104" s="633"/>
      <c r="AWQ104" s="633"/>
      <c r="AWR104" s="633"/>
      <c r="AWS104" s="633"/>
      <c r="AWT104" s="633"/>
      <c r="AWU104" s="633"/>
      <c r="AWV104" s="633"/>
      <c r="AWW104" s="633"/>
      <c r="AWX104" s="633"/>
      <c r="AWY104" s="633"/>
      <c r="AWZ104" s="633"/>
      <c r="AXA104" s="633"/>
      <c r="AXB104" s="633"/>
      <c r="AXC104" s="633"/>
      <c r="AXD104" s="633"/>
      <c r="AXE104" s="633"/>
      <c r="AXF104" s="633"/>
      <c r="AXG104" s="633"/>
      <c r="AXH104" s="633"/>
      <c r="AXI104" s="633"/>
      <c r="AXJ104" s="633"/>
      <c r="AXK104" s="633"/>
      <c r="AXL104" s="633"/>
      <c r="AXM104" s="633"/>
      <c r="AXN104" s="633"/>
      <c r="AXO104" s="633"/>
      <c r="AXP104" s="633"/>
      <c r="AXQ104" s="633"/>
      <c r="AXR104" s="633"/>
      <c r="AXS104" s="633"/>
      <c r="AXT104" s="633"/>
      <c r="AXU104" s="633"/>
      <c r="AXV104" s="633"/>
      <c r="AXW104" s="633"/>
      <c r="AXX104" s="633"/>
      <c r="AXY104" s="633"/>
      <c r="AXZ104" s="633"/>
      <c r="AYA104" s="633"/>
      <c r="AYB104" s="633"/>
      <c r="AYC104" s="633"/>
      <c r="AYD104" s="633"/>
      <c r="AYE104" s="633"/>
      <c r="AYF104" s="633"/>
      <c r="AYG104" s="633"/>
      <c r="AYH104" s="633"/>
      <c r="AYI104" s="633"/>
      <c r="AYJ104" s="633"/>
      <c r="AYK104" s="633"/>
      <c r="AYL104" s="633"/>
      <c r="AYM104" s="633"/>
      <c r="AYN104" s="633"/>
      <c r="AYO104" s="633"/>
      <c r="AYP104" s="633"/>
      <c r="AYQ104" s="633"/>
      <c r="AYR104" s="633"/>
      <c r="AYS104" s="633"/>
      <c r="AYT104" s="633"/>
      <c r="AYU104" s="633"/>
      <c r="AYV104" s="633"/>
      <c r="AYW104" s="633"/>
      <c r="AYX104" s="633"/>
      <c r="AYY104" s="633"/>
      <c r="AYZ104" s="633"/>
      <c r="AZA104" s="633"/>
      <c r="AZB104" s="633"/>
      <c r="AZC104" s="633"/>
      <c r="AZD104" s="633"/>
      <c r="AZE104" s="633"/>
      <c r="AZF104" s="633"/>
      <c r="AZG104" s="633"/>
      <c r="AZH104" s="633"/>
      <c r="AZI104" s="633"/>
      <c r="AZJ104" s="633"/>
      <c r="AZK104" s="633"/>
      <c r="AZL104" s="633"/>
      <c r="AZM104" s="633"/>
      <c r="AZN104" s="633"/>
      <c r="AZO104" s="633"/>
      <c r="AZP104" s="633"/>
      <c r="AZQ104" s="633"/>
      <c r="AZR104" s="633"/>
      <c r="AZS104" s="633"/>
      <c r="AZT104" s="633"/>
      <c r="AZU104" s="633"/>
      <c r="AZV104" s="633"/>
      <c r="AZW104" s="633"/>
      <c r="AZX104" s="633"/>
      <c r="AZY104" s="633"/>
      <c r="AZZ104" s="633"/>
      <c r="BAA104" s="633"/>
      <c r="BAB104" s="633"/>
      <c r="BAC104" s="633"/>
      <c r="BAD104" s="633"/>
      <c r="BAE104" s="633"/>
      <c r="BAF104" s="633"/>
      <c r="BAG104" s="633"/>
      <c r="BAH104" s="633"/>
      <c r="BAI104" s="633"/>
      <c r="BAJ104" s="633"/>
      <c r="BAK104" s="633"/>
      <c r="BAL104" s="633"/>
      <c r="BAM104" s="633"/>
      <c r="BAN104" s="633"/>
      <c r="BAO104" s="633"/>
      <c r="BAP104" s="633"/>
      <c r="BAQ104" s="633"/>
      <c r="BAR104" s="633"/>
      <c r="BAS104" s="633"/>
      <c r="BAT104" s="633"/>
      <c r="BAU104" s="633"/>
      <c r="BAV104" s="633"/>
      <c r="BAW104" s="633"/>
      <c r="BAX104" s="633"/>
      <c r="BAY104" s="633"/>
      <c r="BAZ104" s="633"/>
      <c r="BBA104" s="633"/>
      <c r="BBB104" s="633"/>
      <c r="BBC104" s="633"/>
      <c r="BBD104" s="633"/>
      <c r="BBE104" s="633"/>
      <c r="BBF104" s="633"/>
      <c r="BBG104" s="633"/>
      <c r="BBH104" s="633"/>
      <c r="BBI104" s="633"/>
      <c r="BBJ104" s="633"/>
      <c r="BBK104" s="633"/>
      <c r="BBL104" s="633"/>
      <c r="BBM104" s="633"/>
      <c r="BBN104" s="633"/>
      <c r="BBO104" s="633"/>
      <c r="BBP104" s="633"/>
      <c r="BBQ104" s="633"/>
      <c r="BBR104" s="633"/>
      <c r="BBS104" s="633"/>
      <c r="BBT104" s="633"/>
      <c r="BBU104" s="633"/>
      <c r="BBV104" s="633"/>
      <c r="BBW104" s="633"/>
      <c r="BBX104" s="633"/>
      <c r="BBY104" s="633"/>
      <c r="BBZ104" s="633"/>
      <c r="BCA104" s="633"/>
      <c r="BCB104" s="633"/>
      <c r="BCC104" s="633"/>
      <c r="BCD104" s="633"/>
      <c r="BCE104" s="633"/>
      <c r="BCF104" s="633"/>
      <c r="BCG104" s="633"/>
      <c r="BCH104" s="633"/>
      <c r="BCI104" s="633"/>
      <c r="BCJ104" s="633"/>
      <c r="BCK104" s="633"/>
      <c r="BCL104" s="633"/>
      <c r="BCM104" s="633"/>
      <c r="BCN104" s="633"/>
      <c r="BCO104" s="633"/>
      <c r="BCP104" s="633"/>
      <c r="BCQ104" s="633"/>
      <c r="BCR104" s="633"/>
      <c r="BCS104" s="633"/>
      <c r="BCT104" s="633"/>
      <c r="BCU104" s="633"/>
      <c r="BCV104" s="633"/>
      <c r="BCW104" s="633"/>
      <c r="BCX104" s="633"/>
      <c r="BCY104" s="633"/>
      <c r="BCZ104" s="633"/>
      <c r="BDA104" s="633"/>
      <c r="BDB104" s="633"/>
      <c r="BDC104" s="633"/>
      <c r="BDD104" s="633"/>
      <c r="BDE104" s="633"/>
      <c r="BDF104" s="633"/>
      <c r="BDG104" s="633"/>
      <c r="BDH104" s="633"/>
      <c r="BDI104" s="633"/>
      <c r="BDJ104" s="633"/>
      <c r="BDK104" s="633"/>
      <c r="BDL104" s="633"/>
      <c r="BDM104" s="633"/>
      <c r="BDN104" s="633"/>
      <c r="BDO104" s="633"/>
      <c r="BDP104" s="633"/>
      <c r="BDQ104" s="633"/>
      <c r="BDR104" s="633"/>
      <c r="BDS104" s="633"/>
      <c r="BDT104" s="633"/>
      <c r="BDU104" s="633"/>
      <c r="BDV104" s="633"/>
      <c r="BDW104" s="633"/>
      <c r="BDX104" s="633"/>
      <c r="BDY104" s="633"/>
      <c r="BDZ104" s="633"/>
      <c r="BEA104" s="633"/>
      <c r="BEB104" s="633"/>
      <c r="BEC104" s="633"/>
      <c r="BED104" s="633"/>
      <c r="BEE104" s="633"/>
      <c r="BEF104" s="633"/>
      <c r="BEG104" s="633"/>
      <c r="BEH104" s="633"/>
      <c r="BEI104" s="633"/>
      <c r="BEJ104" s="633"/>
      <c r="BEK104" s="633"/>
      <c r="BEL104" s="633"/>
      <c r="BEM104" s="633"/>
      <c r="BEN104" s="633"/>
      <c r="BEO104" s="633"/>
      <c r="BEP104" s="633"/>
      <c r="BEQ104" s="633"/>
      <c r="BER104" s="633"/>
      <c r="BES104" s="633"/>
      <c r="BET104" s="633"/>
      <c r="BEU104" s="633"/>
      <c r="BEV104" s="633"/>
      <c r="BEW104" s="633"/>
      <c r="BEX104" s="633"/>
      <c r="BEY104" s="633"/>
      <c r="BEZ104" s="633"/>
      <c r="BFA104" s="633"/>
      <c r="BFB104" s="633"/>
      <c r="BFC104" s="633"/>
      <c r="BFD104" s="633"/>
      <c r="BFE104" s="633"/>
      <c r="BFF104" s="633"/>
      <c r="BFG104" s="633"/>
      <c r="BFH104" s="633"/>
      <c r="BFI104" s="633"/>
      <c r="BFJ104" s="633"/>
      <c r="BFK104" s="633"/>
      <c r="BFL104" s="633"/>
      <c r="BFM104" s="633"/>
      <c r="BFN104" s="633"/>
      <c r="BFO104" s="633"/>
      <c r="BFP104" s="633"/>
      <c r="BFQ104" s="633"/>
      <c r="BFR104" s="633"/>
      <c r="BFS104" s="633"/>
      <c r="BFT104" s="633"/>
      <c r="BFU104" s="633"/>
      <c r="BFV104" s="633"/>
      <c r="BFW104" s="633"/>
      <c r="BFX104" s="633"/>
      <c r="BFY104" s="633"/>
      <c r="BFZ104" s="633"/>
      <c r="BGA104" s="633"/>
      <c r="BGB104" s="633"/>
      <c r="BGC104" s="633"/>
      <c r="BGD104" s="633"/>
      <c r="BGE104" s="633"/>
      <c r="BGF104" s="633"/>
      <c r="BGG104" s="633"/>
      <c r="BGH104" s="633"/>
      <c r="BGI104" s="633"/>
      <c r="BGJ104" s="633"/>
      <c r="BGK104" s="633"/>
      <c r="BGL104" s="633"/>
      <c r="BGM104" s="633"/>
      <c r="BGN104" s="633"/>
      <c r="BGO104" s="633"/>
      <c r="BGP104" s="633"/>
      <c r="BGQ104" s="633"/>
      <c r="BGR104" s="633"/>
      <c r="BGS104" s="633"/>
      <c r="BGT104" s="633"/>
      <c r="BGU104" s="633"/>
      <c r="BGV104" s="633"/>
      <c r="BGW104" s="633"/>
      <c r="BGX104" s="633"/>
      <c r="BGY104" s="633"/>
      <c r="BGZ104" s="633"/>
      <c r="BHA104" s="633"/>
      <c r="BHB104" s="633"/>
      <c r="BHC104" s="633"/>
      <c r="BHD104" s="633"/>
      <c r="BHE104" s="633"/>
      <c r="BHF104" s="633"/>
      <c r="BHG104" s="633"/>
      <c r="BHH104" s="633"/>
      <c r="BHI104" s="633"/>
      <c r="BHJ104" s="633"/>
      <c r="BHK104" s="633"/>
      <c r="BHL104" s="633"/>
      <c r="BHM104" s="633"/>
      <c r="BHN104" s="633"/>
      <c r="BHO104" s="633"/>
      <c r="BHP104" s="633"/>
      <c r="BHQ104" s="633"/>
      <c r="BHR104" s="633"/>
      <c r="BHS104" s="633"/>
      <c r="BHT104" s="633"/>
      <c r="BHU104" s="633"/>
      <c r="BHV104" s="633"/>
      <c r="BHW104" s="633"/>
      <c r="BHX104" s="633"/>
      <c r="BHY104" s="633"/>
      <c r="BHZ104" s="633"/>
      <c r="BIA104" s="633"/>
      <c r="BIB104" s="633"/>
      <c r="BIC104" s="633"/>
      <c r="BID104" s="633"/>
      <c r="BIE104" s="633"/>
      <c r="BIF104" s="633"/>
      <c r="BIG104" s="633"/>
      <c r="BIH104" s="633"/>
      <c r="BII104" s="633"/>
      <c r="BIJ104" s="633"/>
      <c r="BIK104" s="633"/>
      <c r="BIL104" s="633"/>
      <c r="BIM104" s="633"/>
      <c r="BIN104" s="633"/>
      <c r="BIO104" s="633"/>
      <c r="BIP104" s="633"/>
      <c r="BIQ104" s="633"/>
      <c r="BIR104" s="633"/>
      <c r="BIS104" s="633"/>
      <c r="BIT104" s="633"/>
      <c r="BIU104" s="633"/>
      <c r="BIV104" s="633"/>
      <c r="BIW104" s="633"/>
      <c r="BIX104" s="633"/>
      <c r="BIY104" s="633"/>
      <c r="BIZ104" s="633"/>
      <c r="BJA104" s="633"/>
      <c r="BJB104" s="633"/>
      <c r="BJC104" s="633"/>
      <c r="BJD104" s="633"/>
      <c r="BJE104" s="633"/>
      <c r="BJF104" s="633"/>
      <c r="BJG104" s="633"/>
      <c r="BJH104" s="633"/>
      <c r="BJI104" s="633"/>
      <c r="BJJ104" s="633"/>
      <c r="BJK104" s="633"/>
      <c r="BJL104" s="633"/>
      <c r="BJM104" s="633"/>
      <c r="BJN104" s="633"/>
      <c r="BJO104" s="633"/>
      <c r="BJP104" s="633"/>
      <c r="BJQ104" s="633"/>
      <c r="BJR104" s="633"/>
      <c r="BJS104" s="633"/>
      <c r="BJT104" s="633"/>
      <c r="BJU104" s="633"/>
      <c r="BJV104" s="633"/>
      <c r="BJW104" s="633"/>
      <c r="BJX104" s="633"/>
      <c r="BJY104" s="633"/>
      <c r="BJZ104" s="633"/>
      <c r="BKA104" s="633"/>
      <c r="BKB104" s="633"/>
      <c r="BKC104" s="633"/>
      <c r="BKD104" s="633"/>
      <c r="BKE104" s="633"/>
      <c r="BKF104" s="633"/>
      <c r="BKG104" s="633"/>
      <c r="BKH104" s="633"/>
      <c r="BKI104" s="633"/>
      <c r="BKJ104" s="633"/>
      <c r="BKK104" s="633"/>
      <c r="BKL104" s="633"/>
      <c r="BKM104" s="633"/>
      <c r="BKN104" s="633"/>
      <c r="BKO104" s="633"/>
      <c r="BKP104" s="633"/>
      <c r="BKQ104" s="633"/>
      <c r="BKR104" s="633"/>
      <c r="BKS104" s="633"/>
      <c r="BKT104" s="633"/>
      <c r="BKU104" s="633"/>
      <c r="BKV104" s="633"/>
      <c r="BKW104" s="633"/>
      <c r="BKX104" s="633"/>
      <c r="BKY104" s="633"/>
      <c r="BKZ104" s="633"/>
      <c r="BLA104" s="633"/>
      <c r="BLB104" s="633"/>
      <c r="BLC104" s="633"/>
      <c r="BLD104" s="633"/>
      <c r="BLE104" s="633"/>
      <c r="BLF104" s="633"/>
      <c r="BLG104" s="633"/>
      <c r="BLH104" s="633"/>
      <c r="BLI104" s="633"/>
      <c r="BLJ104" s="633"/>
      <c r="BLK104" s="633"/>
      <c r="BLL104" s="633"/>
      <c r="BLM104" s="633"/>
      <c r="BLN104" s="633"/>
      <c r="BLO104" s="633"/>
      <c r="BLP104" s="633"/>
      <c r="BLQ104" s="633"/>
      <c r="BLR104" s="633"/>
      <c r="BLS104" s="633"/>
      <c r="BLT104" s="633"/>
      <c r="BLU104" s="633"/>
      <c r="BLV104" s="633"/>
      <c r="BLW104" s="633"/>
      <c r="BLX104" s="633"/>
      <c r="BLY104" s="633"/>
      <c r="BLZ104" s="633"/>
      <c r="BMA104" s="633"/>
      <c r="BMB104" s="633"/>
      <c r="BMC104" s="633"/>
      <c r="BMD104" s="633"/>
      <c r="BME104" s="633"/>
      <c r="BMF104" s="633"/>
      <c r="BMG104" s="633"/>
      <c r="BMH104" s="633"/>
      <c r="BMI104" s="633"/>
      <c r="BMJ104" s="633"/>
      <c r="BMK104" s="633"/>
      <c r="BML104" s="633"/>
      <c r="BMM104" s="633"/>
      <c r="BMN104" s="633"/>
      <c r="BMO104" s="633"/>
      <c r="BMP104" s="633"/>
      <c r="BMQ104" s="633"/>
      <c r="BMR104" s="633"/>
      <c r="BMS104" s="633"/>
      <c r="BMT104" s="633"/>
      <c r="BMU104" s="633"/>
      <c r="BMV104" s="633"/>
      <c r="BMW104" s="633"/>
      <c r="BMX104" s="633"/>
      <c r="BMY104" s="633"/>
      <c r="BMZ104" s="633"/>
      <c r="BNA104" s="633"/>
      <c r="BNB104" s="633"/>
      <c r="BNC104" s="633"/>
      <c r="BND104" s="633"/>
      <c r="BNE104" s="633"/>
      <c r="BNF104" s="633"/>
      <c r="BNG104" s="633"/>
      <c r="BNH104" s="633"/>
      <c r="BNI104" s="633"/>
      <c r="BNJ104" s="633"/>
      <c r="BNK104" s="633"/>
      <c r="BNL104" s="633"/>
      <c r="BNM104" s="633"/>
      <c r="BNN104" s="633"/>
      <c r="BNO104" s="633"/>
      <c r="BNP104" s="633"/>
      <c r="BNQ104" s="633"/>
      <c r="BNR104" s="633"/>
      <c r="BNS104" s="633"/>
      <c r="BNT104" s="633"/>
      <c r="BNU104" s="633"/>
      <c r="BNV104" s="633"/>
      <c r="BNW104" s="633"/>
      <c r="BNX104" s="633"/>
      <c r="BNY104" s="633"/>
      <c r="BNZ104" s="633"/>
      <c r="BOA104" s="633"/>
      <c r="BOB104" s="633"/>
      <c r="BOC104" s="633"/>
      <c r="BOD104" s="633"/>
      <c r="BOE104" s="633"/>
      <c r="BOF104" s="633"/>
      <c r="BOG104" s="633"/>
      <c r="BOH104" s="633"/>
      <c r="BOI104" s="633"/>
      <c r="BOJ104" s="633"/>
      <c r="BOK104" s="633"/>
      <c r="BOL104" s="633"/>
      <c r="BOM104" s="633"/>
      <c r="BON104" s="633"/>
      <c r="BOO104" s="633"/>
      <c r="BOP104" s="633"/>
      <c r="BOQ104" s="633"/>
      <c r="BOR104" s="633"/>
      <c r="BOS104" s="633"/>
      <c r="BOT104" s="633"/>
      <c r="BOU104" s="633"/>
      <c r="BOV104" s="633"/>
      <c r="BOW104" s="633"/>
      <c r="BOX104" s="633"/>
      <c r="BOY104" s="633"/>
      <c r="BOZ104" s="633"/>
      <c r="BPA104" s="633"/>
      <c r="BPB104" s="633"/>
      <c r="BPC104" s="633"/>
      <c r="BPD104" s="633"/>
      <c r="BPE104" s="633"/>
      <c r="BPF104" s="633"/>
      <c r="BPG104" s="633"/>
      <c r="BPH104" s="633"/>
      <c r="BPI104" s="633"/>
      <c r="BPJ104" s="633"/>
      <c r="BPK104" s="633"/>
      <c r="BPL104" s="633"/>
      <c r="BPM104" s="633"/>
      <c r="BPN104" s="633"/>
      <c r="BPO104" s="633"/>
      <c r="BPP104" s="633"/>
      <c r="BPQ104" s="633"/>
      <c r="BPR104" s="633"/>
      <c r="BPS104" s="633"/>
      <c r="BPT104" s="633"/>
      <c r="BPU104" s="633"/>
      <c r="BPV104" s="633"/>
      <c r="BPW104" s="633"/>
      <c r="BPX104" s="633"/>
      <c r="BPY104" s="633"/>
      <c r="BPZ104" s="633"/>
      <c r="BQA104" s="633"/>
      <c r="BQB104" s="633"/>
      <c r="BQC104" s="633"/>
      <c r="BQD104" s="633"/>
      <c r="BQE104" s="633"/>
      <c r="BQF104" s="633"/>
      <c r="BQG104" s="633"/>
      <c r="BQH104" s="633"/>
      <c r="BQI104" s="633"/>
      <c r="BQJ104" s="633"/>
      <c r="BQK104" s="633"/>
      <c r="BQL104" s="633"/>
      <c r="BQM104" s="633"/>
      <c r="BQN104" s="633"/>
      <c r="BQO104" s="633"/>
      <c r="BQP104" s="633"/>
      <c r="BQQ104" s="633"/>
      <c r="BQR104" s="633"/>
      <c r="BQS104" s="633"/>
      <c r="BQT104" s="633"/>
      <c r="BQU104" s="633"/>
      <c r="BQV104" s="633"/>
      <c r="BQW104" s="633"/>
      <c r="BQX104" s="633"/>
      <c r="BQY104" s="633"/>
      <c r="BQZ104" s="633"/>
      <c r="BRA104" s="633"/>
      <c r="BRB104" s="633"/>
      <c r="BRC104" s="633"/>
      <c r="BRD104" s="633"/>
      <c r="BRE104" s="633"/>
      <c r="BRF104" s="633"/>
      <c r="BRG104" s="633"/>
      <c r="BRH104" s="633"/>
      <c r="BRI104" s="633"/>
      <c r="BRJ104" s="633"/>
      <c r="BRK104" s="633"/>
      <c r="BRL104" s="633"/>
      <c r="BRM104" s="633"/>
      <c r="BRN104" s="633"/>
      <c r="BRO104" s="633"/>
      <c r="BRP104" s="633"/>
      <c r="BRQ104" s="633"/>
      <c r="BRR104" s="633"/>
      <c r="BRS104" s="633"/>
      <c r="BRT104" s="633"/>
      <c r="BRU104" s="633"/>
      <c r="BRV104" s="633"/>
      <c r="BRW104" s="633"/>
      <c r="BRX104" s="633"/>
      <c r="BRY104" s="633"/>
      <c r="BRZ104" s="633"/>
      <c r="BSA104" s="633"/>
      <c r="BSB104" s="633"/>
      <c r="BSC104" s="633"/>
      <c r="BSD104" s="633"/>
      <c r="BSE104" s="633"/>
      <c r="BSF104" s="633"/>
      <c r="BSG104" s="633"/>
      <c r="BSH104" s="633"/>
      <c r="BSI104" s="633"/>
      <c r="BSJ104" s="633"/>
      <c r="BSK104" s="633"/>
      <c r="BSL104" s="633"/>
      <c r="BSM104" s="633"/>
      <c r="BSN104" s="633"/>
      <c r="BSO104" s="633"/>
      <c r="BSP104" s="633"/>
      <c r="BSQ104" s="633"/>
      <c r="BSR104" s="633"/>
      <c r="BSS104" s="633"/>
      <c r="BST104" s="633"/>
      <c r="BSU104" s="633"/>
      <c r="BSV104" s="633"/>
      <c r="BSW104" s="633"/>
      <c r="BSX104" s="633"/>
      <c r="BSY104" s="633"/>
      <c r="BSZ104" s="633"/>
      <c r="BTA104" s="633"/>
      <c r="BTB104" s="633"/>
      <c r="BTC104" s="633"/>
      <c r="BTD104" s="633"/>
      <c r="BTE104" s="633"/>
      <c r="BTF104" s="633"/>
      <c r="BTG104" s="633"/>
      <c r="BTH104" s="633"/>
      <c r="BTI104" s="633"/>
    </row>
    <row r="105" spans="1:1881" s="393" customFormat="1" ht="50.25" customHeight="1" x14ac:dyDescent="0.25">
      <c r="A105" s="423">
        <v>382</v>
      </c>
      <c r="B105" s="417" t="s">
        <v>67</v>
      </c>
      <c r="C105" s="420" t="s">
        <v>185</v>
      </c>
      <c r="D105" s="418" t="s">
        <v>138</v>
      </c>
      <c r="E105" s="416" t="e">
        <f>HLOOKUP($D$2,'2019 Data(H)'!$C$1:$CG$300,141,FALSE)</f>
        <v>#N/A</v>
      </c>
      <c r="F105" s="647"/>
      <c r="G105" s="871">
        <f>IF(F103&gt;F105,"Error: Please review components of current assets above. Account numbers 657&gt;382",)</f>
        <v>0</v>
      </c>
      <c r="H105" s="414"/>
      <c r="I105" s="415"/>
      <c r="J105" s="412"/>
      <c r="K105" s="412"/>
      <c r="L105" s="412"/>
      <c r="M105" s="412"/>
      <c r="N105"/>
      <c r="O105" s="412"/>
      <c r="P105" s="412"/>
      <c r="Q105" s="412"/>
      <c r="R105" s="412"/>
      <c r="S105" s="412"/>
      <c r="T105" s="412"/>
      <c r="U105" s="412"/>
      <c r="V105" s="412"/>
      <c r="W105" s="412"/>
      <c r="X105" s="412"/>
      <c r="Y105" s="412"/>
      <c r="Z105" s="412"/>
      <c r="AA105" s="412"/>
      <c r="AB105" s="412"/>
      <c r="AC105" s="412"/>
      <c r="AD105" s="412"/>
      <c r="AE105" s="412"/>
      <c r="AF105" s="412"/>
      <c r="AG105" s="412"/>
      <c r="AH105" s="412"/>
      <c r="AI105" s="412"/>
      <c r="AJ105" s="412"/>
      <c r="AK105" s="412"/>
      <c r="AL105" s="412"/>
      <c r="AM105" s="412"/>
      <c r="AN105" s="412"/>
      <c r="AO105" s="412"/>
      <c r="AP105" s="412"/>
      <c r="AQ105" s="412"/>
      <c r="AR105" s="412"/>
      <c r="AS105" s="412"/>
      <c r="AT105" s="412"/>
      <c r="AU105" s="412"/>
      <c r="AV105" s="412"/>
      <c r="AW105" s="412"/>
      <c r="AX105" s="412"/>
      <c r="AY105" s="412"/>
      <c r="AZ105" s="412"/>
      <c r="BA105" s="412"/>
      <c r="BB105" s="412"/>
      <c r="BC105" s="412"/>
      <c r="BD105" s="412"/>
      <c r="BE105" s="412"/>
      <c r="BF105" s="412"/>
      <c r="BG105" s="412"/>
      <c r="BH105" s="412"/>
      <c r="BI105" s="412"/>
      <c r="BJ105" s="412"/>
      <c r="BK105" s="412"/>
      <c r="BL105" s="412"/>
      <c r="BM105" s="412"/>
      <c r="BN105" s="412"/>
      <c r="BO105" s="412"/>
      <c r="BP105" s="412"/>
      <c r="BQ105" s="412"/>
      <c r="BR105" s="412"/>
      <c r="BS105" s="412"/>
      <c r="BT105" s="412"/>
      <c r="BU105" s="412"/>
      <c r="BV105" s="412"/>
      <c r="BW105" s="412"/>
      <c r="BX105" s="412"/>
      <c r="BY105" s="412"/>
      <c r="BZ105" s="412"/>
      <c r="CA105" s="412"/>
      <c r="CB105" s="412"/>
      <c r="CC105" s="412"/>
      <c r="CD105" s="412"/>
      <c r="CE105" s="412"/>
      <c r="CF105" s="412"/>
      <c r="CG105" s="412"/>
      <c r="CH105" s="412"/>
      <c r="CI105" s="412"/>
      <c r="CJ105" s="412"/>
      <c r="CK105" s="412"/>
      <c r="CL105" s="412"/>
      <c r="CM105" s="412"/>
      <c r="CN105" s="412"/>
      <c r="CO105" s="412"/>
      <c r="CP105" s="412"/>
      <c r="CQ105" s="412"/>
      <c r="CR105" s="412"/>
      <c r="CS105" s="412"/>
      <c r="CT105" s="412"/>
      <c r="CU105" s="412"/>
      <c r="CV105" s="412"/>
      <c r="CW105" s="412"/>
      <c r="CX105" s="412"/>
      <c r="CY105" s="412"/>
      <c r="CZ105" s="412"/>
      <c r="DA105" s="412"/>
      <c r="DB105" s="412"/>
      <c r="DC105" s="412"/>
      <c r="DD105" s="412"/>
      <c r="DE105" s="412"/>
      <c r="DF105" s="412"/>
      <c r="DG105" s="412"/>
      <c r="DH105" s="412"/>
      <c r="DI105" s="412"/>
      <c r="DJ105" s="412"/>
      <c r="DK105" s="412"/>
      <c r="DL105" s="412"/>
      <c r="DM105" s="412"/>
      <c r="DN105" s="412"/>
      <c r="DO105" s="412"/>
      <c r="DP105" s="412"/>
      <c r="DQ105" s="412"/>
      <c r="DR105" s="412"/>
      <c r="DS105" s="412"/>
      <c r="DT105" s="412"/>
      <c r="DU105" s="412"/>
      <c r="DV105" s="412"/>
      <c r="DW105" s="412"/>
      <c r="DX105" s="412"/>
      <c r="DY105" s="412"/>
      <c r="DZ105" s="412"/>
      <c r="EA105" s="412"/>
      <c r="EB105" s="412"/>
      <c r="EC105" s="412"/>
      <c r="ED105" s="412"/>
      <c r="EE105" s="412"/>
      <c r="EF105" s="412"/>
      <c r="EG105" s="412"/>
      <c r="EH105" s="412"/>
      <c r="EI105" s="412"/>
      <c r="EJ105" s="412"/>
      <c r="EK105" s="412"/>
      <c r="EL105" s="412"/>
      <c r="EM105" s="412"/>
      <c r="EN105" s="412"/>
      <c r="EO105" s="412"/>
      <c r="EP105" s="412"/>
      <c r="EQ105" s="412"/>
      <c r="ER105" s="412"/>
      <c r="ES105" s="412"/>
      <c r="ET105" s="412"/>
      <c r="EU105" s="412"/>
      <c r="EV105" s="412"/>
      <c r="EW105" s="412"/>
      <c r="EX105" s="412"/>
      <c r="EY105" s="412"/>
      <c r="EZ105" s="412"/>
      <c r="FA105" s="412"/>
      <c r="FB105" s="412"/>
      <c r="FC105" s="412"/>
      <c r="FD105" s="412"/>
      <c r="FE105" s="412"/>
      <c r="FF105" s="412"/>
      <c r="FG105" s="412"/>
      <c r="FH105" s="412"/>
      <c r="FI105" s="412"/>
      <c r="FJ105" s="412"/>
      <c r="FK105" s="412"/>
      <c r="FL105" s="412"/>
      <c r="FM105" s="412"/>
      <c r="FN105" s="412"/>
      <c r="FO105" s="412"/>
      <c r="FP105" s="412"/>
      <c r="FQ105" s="412"/>
      <c r="FR105" s="412"/>
      <c r="FS105" s="412"/>
      <c r="FT105" s="412"/>
      <c r="FU105" s="412"/>
      <c r="FV105" s="412"/>
      <c r="FW105" s="412"/>
      <c r="FX105" s="412"/>
      <c r="FY105" s="412"/>
      <c r="FZ105" s="412"/>
      <c r="GA105" s="412"/>
      <c r="GB105" s="412"/>
      <c r="GC105" s="412"/>
      <c r="GD105" s="412"/>
      <c r="GE105" s="412"/>
      <c r="GF105" s="412"/>
      <c r="GG105" s="412"/>
      <c r="GH105" s="412"/>
      <c r="GI105" s="412"/>
      <c r="GJ105" s="412"/>
      <c r="GK105" s="412"/>
      <c r="GL105" s="412"/>
      <c r="GM105" s="412"/>
      <c r="GN105" s="412"/>
      <c r="GO105" s="412"/>
      <c r="GP105" s="412"/>
      <c r="GQ105" s="412"/>
      <c r="GR105" s="412"/>
      <c r="GS105" s="412"/>
      <c r="GT105" s="412"/>
      <c r="GU105" s="412"/>
      <c r="GV105" s="412"/>
      <c r="GW105" s="412"/>
      <c r="GX105" s="412"/>
      <c r="GY105" s="412"/>
      <c r="GZ105" s="412"/>
      <c r="HA105" s="412"/>
      <c r="HB105" s="412"/>
      <c r="HC105" s="412"/>
      <c r="HD105" s="412"/>
      <c r="HE105" s="412"/>
      <c r="HF105" s="412"/>
      <c r="HG105" s="412"/>
      <c r="HH105" s="412"/>
      <c r="HI105" s="412"/>
      <c r="HJ105" s="412"/>
      <c r="HK105" s="412"/>
      <c r="HL105" s="412"/>
      <c r="HM105" s="412"/>
      <c r="HN105" s="412"/>
      <c r="HO105" s="412"/>
      <c r="HP105" s="412"/>
      <c r="HQ105" s="412"/>
      <c r="HR105" s="412"/>
      <c r="HS105" s="412"/>
      <c r="HT105" s="412"/>
      <c r="HU105" s="412"/>
      <c r="HV105" s="412"/>
      <c r="HW105" s="412"/>
      <c r="HX105" s="412"/>
      <c r="HY105" s="412"/>
      <c r="HZ105" s="412"/>
      <c r="IA105" s="412"/>
      <c r="IB105" s="412"/>
      <c r="IC105" s="412"/>
      <c r="ID105" s="412"/>
      <c r="IE105" s="412"/>
      <c r="IF105" s="412"/>
      <c r="IG105" s="412"/>
      <c r="IH105" s="412"/>
      <c r="II105" s="412"/>
      <c r="IJ105" s="412"/>
      <c r="IK105" s="412"/>
      <c r="IL105" s="412"/>
      <c r="IM105" s="412"/>
      <c r="IN105" s="412"/>
      <c r="IO105" s="412"/>
      <c r="IP105" s="412"/>
      <c r="IQ105" s="412"/>
      <c r="IR105" s="412"/>
      <c r="IS105" s="412"/>
      <c r="IT105" s="412"/>
      <c r="IU105" s="412"/>
      <c r="IV105" s="412"/>
      <c r="IW105" s="412"/>
      <c r="IX105" s="412"/>
      <c r="IY105" s="412"/>
      <c r="IZ105" s="412"/>
      <c r="JA105" s="412"/>
      <c r="JB105" s="412"/>
      <c r="JC105" s="412"/>
      <c r="JD105" s="412"/>
      <c r="JE105" s="412"/>
      <c r="JF105" s="412"/>
      <c r="JG105" s="412"/>
      <c r="JH105" s="412"/>
      <c r="JI105" s="412"/>
      <c r="JJ105" s="412"/>
      <c r="JK105" s="412"/>
      <c r="JL105" s="412"/>
      <c r="JM105" s="412"/>
      <c r="JN105" s="412"/>
      <c r="JO105" s="412"/>
      <c r="JP105" s="412"/>
      <c r="JQ105" s="412"/>
      <c r="JR105" s="412"/>
      <c r="JS105" s="412"/>
      <c r="JT105" s="412"/>
      <c r="JU105" s="412"/>
      <c r="JV105" s="412"/>
      <c r="JW105" s="412"/>
      <c r="JX105" s="412"/>
      <c r="JY105" s="412"/>
      <c r="JZ105" s="412"/>
      <c r="KA105" s="412"/>
      <c r="KB105" s="412"/>
      <c r="KC105" s="412"/>
      <c r="KD105" s="412"/>
      <c r="KE105" s="412"/>
      <c r="KF105" s="412"/>
      <c r="KG105" s="412"/>
      <c r="KH105" s="412"/>
      <c r="KI105" s="412"/>
      <c r="KJ105" s="412"/>
      <c r="KK105" s="412"/>
      <c r="KL105" s="412"/>
      <c r="KM105" s="412"/>
      <c r="KN105" s="412"/>
      <c r="KO105" s="412"/>
      <c r="KP105" s="412"/>
      <c r="KQ105" s="412"/>
      <c r="KR105" s="412"/>
      <c r="KS105" s="412"/>
      <c r="KT105" s="412"/>
      <c r="KU105" s="412"/>
      <c r="KV105" s="412"/>
      <c r="KW105" s="412"/>
      <c r="KX105" s="412"/>
      <c r="KY105" s="412"/>
      <c r="KZ105" s="412"/>
      <c r="LA105" s="412"/>
      <c r="LB105" s="412"/>
      <c r="LC105" s="412"/>
      <c r="LD105" s="412"/>
      <c r="LE105" s="412"/>
      <c r="LF105" s="412"/>
      <c r="LG105" s="412"/>
      <c r="LH105" s="412"/>
      <c r="LI105" s="412"/>
      <c r="LJ105" s="412"/>
      <c r="LK105" s="412"/>
      <c r="LL105" s="412"/>
      <c r="LM105" s="412"/>
      <c r="LN105" s="412"/>
      <c r="LO105" s="412"/>
      <c r="LP105" s="412"/>
      <c r="LQ105" s="412"/>
      <c r="LR105" s="412"/>
      <c r="LS105" s="412"/>
      <c r="LT105" s="412"/>
      <c r="LU105" s="412"/>
      <c r="LV105" s="412"/>
      <c r="LW105" s="412"/>
      <c r="LX105" s="412"/>
      <c r="LY105" s="412"/>
      <c r="LZ105" s="412"/>
      <c r="MA105" s="412"/>
      <c r="MB105" s="412"/>
      <c r="MC105" s="412"/>
      <c r="MD105" s="412"/>
      <c r="ME105" s="412"/>
      <c r="MF105" s="412"/>
      <c r="MG105" s="412"/>
      <c r="MH105" s="412"/>
      <c r="MI105" s="412"/>
      <c r="MJ105" s="412"/>
      <c r="MK105" s="412"/>
      <c r="ML105" s="412"/>
      <c r="MM105" s="412"/>
      <c r="MN105" s="412"/>
      <c r="MO105" s="412"/>
      <c r="MP105" s="412"/>
      <c r="MQ105" s="412"/>
      <c r="MR105" s="412"/>
      <c r="MS105" s="412"/>
      <c r="MT105" s="412"/>
      <c r="MU105" s="412"/>
      <c r="MV105" s="412"/>
      <c r="MW105" s="412"/>
      <c r="MX105" s="412"/>
      <c r="MY105" s="412"/>
      <c r="MZ105" s="412"/>
      <c r="NA105" s="412"/>
      <c r="NB105" s="412"/>
      <c r="NC105" s="412"/>
      <c r="ND105" s="412"/>
      <c r="NE105" s="412"/>
      <c r="NF105" s="412"/>
      <c r="NG105" s="412"/>
      <c r="NH105" s="412"/>
      <c r="NI105" s="412"/>
      <c r="NJ105" s="412"/>
      <c r="NK105" s="412"/>
      <c r="NL105" s="412"/>
      <c r="NM105" s="412"/>
      <c r="NN105" s="412"/>
      <c r="NO105" s="412"/>
      <c r="NP105" s="412"/>
      <c r="NQ105" s="412"/>
      <c r="NR105" s="412"/>
      <c r="NS105" s="412"/>
      <c r="NT105" s="412"/>
      <c r="NU105" s="412"/>
      <c r="NV105" s="412"/>
      <c r="NW105" s="412"/>
      <c r="NX105" s="412"/>
      <c r="NY105" s="412"/>
      <c r="NZ105" s="412"/>
      <c r="OA105" s="412"/>
      <c r="OB105" s="412"/>
      <c r="OC105" s="412"/>
      <c r="OD105" s="412"/>
      <c r="OE105" s="412"/>
      <c r="OF105" s="412"/>
      <c r="OG105" s="412"/>
      <c r="OH105" s="412"/>
      <c r="OI105" s="412"/>
      <c r="OJ105" s="412"/>
      <c r="OK105" s="412"/>
      <c r="OL105" s="412"/>
      <c r="OM105" s="412"/>
      <c r="ON105" s="412"/>
      <c r="OO105" s="412"/>
      <c r="OP105" s="412"/>
      <c r="OQ105" s="412"/>
      <c r="OR105" s="412"/>
      <c r="OS105" s="412"/>
      <c r="OT105" s="412"/>
      <c r="OU105" s="412"/>
      <c r="OV105" s="412"/>
      <c r="OW105" s="412"/>
      <c r="OX105" s="412"/>
      <c r="OY105" s="412"/>
      <c r="OZ105" s="412"/>
      <c r="PA105" s="412"/>
      <c r="PB105" s="412"/>
      <c r="PC105" s="412"/>
      <c r="PD105" s="412"/>
      <c r="PE105" s="412"/>
      <c r="PF105" s="412"/>
      <c r="PG105" s="412"/>
      <c r="PH105" s="412"/>
      <c r="PI105" s="412"/>
      <c r="PJ105" s="412"/>
      <c r="PK105" s="412"/>
      <c r="PL105" s="412"/>
      <c r="PM105" s="412"/>
      <c r="PN105" s="412"/>
      <c r="PO105" s="412"/>
      <c r="PP105" s="412"/>
      <c r="PQ105" s="412"/>
      <c r="PR105" s="412"/>
      <c r="PS105" s="412"/>
      <c r="PT105" s="412"/>
      <c r="PU105" s="412"/>
      <c r="PV105" s="412"/>
      <c r="PW105" s="412"/>
      <c r="PX105" s="412"/>
      <c r="PY105" s="412"/>
      <c r="PZ105" s="412"/>
      <c r="QA105" s="412"/>
      <c r="QB105" s="412"/>
      <c r="QC105" s="412"/>
      <c r="QD105" s="412"/>
      <c r="QE105" s="412"/>
      <c r="QF105" s="412"/>
      <c r="QG105" s="412"/>
      <c r="QH105" s="412"/>
      <c r="QI105" s="412"/>
      <c r="QJ105" s="412"/>
      <c r="QK105" s="412"/>
      <c r="QL105" s="412"/>
      <c r="QM105" s="412"/>
      <c r="QN105" s="412"/>
      <c r="QO105" s="412"/>
      <c r="QP105" s="412"/>
      <c r="QQ105" s="412"/>
      <c r="QR105" s="412"/>
      <c r="QS105" s="412"/>
      <c r="QT105" s="412"/>
      <c r="QU105" s="412"/>
      <c r="QV105" s="412"/>
      <c r="QW105" s="412"/>
      <c r="QX105" s="412"/>
      <c r="QY105" s="412"/>
      <c r="QZ105" s="412"/>
      <c r="RA105" s="412"/>
      <c r="RB105" s="412"/>
      <c r="RC105" s="412"/>
      <c r="RD105" s="412"/>
      <c r="RE105" s="412"/>
      <c r="RF105" s="412"/>
      <c r="RG105" s="412"/>
      <c r="RH105" s="412"/>
      <c r="RI105" s="412"/>
      <c r="RJ105" s="412"/>
      <c r="RK105" s="412"/>
      <c r="RL105" s="412"/>
      <c r="RM105" s="412"/>
      <c r="RN105" s="412"/>
      <c r="RO105" s="412"/>
      <c r="RP105" s="412"/>
      <c r="RQ105" s="412"/>
      <c r="RR105" s="412"/>
      <c r="RS105" s="412"/>
      <c r="RT105" s="412"/>
      <c r="RU105" s="412"/>
      <c r="RV105" s="412"/>
      <c r="RW105" s="412"/>
      <c r="RX105" s="412"/>
      <c r="RY105" s="412"/>
      <c r="RZ105" s="412"/>
      <c r="SA105" s="412"/>
      <c r="SB105" s="412"/>
      <c r="SC105" s="412"/>
      <c r="SD105" s="412"/>
      <c r="SE105" s="412"/>
      <c r="SF105" s="412"/>
      <c r="SG105" s="412"/>
      <c r="SH105" s="412"/>
      <c r="SI105" s="412"/>
      <c r="SJ105" s="412"/>
      <c r="SK105" s="412"/>
      <c r="SL105" s="412"/>
      <c r="SM105" s="412"/>
      <c r="SN105" s="412"/>
      <c r="SO105" s="412"/>
      <c r="SP105" s="412"/>
      <c r="SQ105" s="412"/>
      <c r="SR105" s="412"/>
      <c r="SS105" s="412"/>
      <c r="ST105" s="412"/>
      <c r="SU105" s="412"/>
      <c r="SV105" s="412"/>
      <c r="SW105" s="412"/>
      <c r="SX105" s="412"/>
      <c r="SY105" s="412"/>
      <c r="SZ105" s="412"/>
      <c r="TA105" s="412"/>
      <c r="TB105" s="412"/>
      <c r="TC105" s="412"/>
      <c r="TD105" s="412"/>
      <c r="TE105" s="412"/>
      <c r="TF105" s="412"/>
      <c r="TG105" s="412"/>
      <c r="TH105" s="412"/>
      <c r="TI105" s="412"/>
      <c r="TJ105" s="412"/>
      <c r="TK105" s="412"/>
      <c r="TL105" s="412"/>
      <c r="TM105" s="412"/>
      <c r="TN105" s="412"/>
      <c r="TO105" s="412"/>
      <c r="TP105" s="412"/>
      <c r="TQ105" s="412"/>
      <c r="TR105" s="412"/>
      <c r="TS105" s="412"/>
      <c r="TT105" s="412"/>
      <c r="TU105" s="412"/>
      <c r="TV105" s="412"/>
      <c r="TW105" s="412"/>
      <c r="TX105" s="412"/>
      <c r="TY105" s="412"/>
      <c r="TZ105" s="412"/>
      <c r="UA105" s="412"/>
      <c r="UB105" s="412"/>
      <c r="UC105" s="412"/>
      <c r="UD105" s="412"/>
      <c r="UE105" s="412"/>
      <c r="UF105" s="412"/>
      <c r="UG105" s="412"/>
      <c r="UH105" s="412"/>
      <c r="UI105" s="412"/>
      <c r="UJ105" s="412"/>
      <c r="UK105" s="412"/>
      <c r="UL105" s="412"/>
      <c r="UM105" s="412"/>
      <c r="UN105" s="412"/>
      <c r="UO105" s="412"/>
      <c r="UP105" s="412"/>
      <c r="UQ105" s="412"/>
      <c r="UR105" s="412"/>
      <c r="US105" s="412"/>
      <c r="UT105" s="412"/>
      <c r="UU105" s="412"/>
      <c r="UV105" s="412"/>
      <c r="UW105" s="412"/>
      <c r="UX105" s="412"/>
      <c r="UY105" s="412"/>
      <c r="UZ105" s="412"/>
      <c r="VA105" s="412"/>
      <c r="VB105" s="412"/>
      <c r="VC105" s="412"/>
      <c r="VD105" s="412"/>
      <c r="VE105" s="412"/>
      <c r="VF105" s="412"/>
      <c r="VG105" s="412"/>
      <c r="VH105" s="412"/>
      <c r="VI105" s="412"/>
      <c r="VJ105" s="412"/>
      <c r="VK105" s="412"/>
      <c r="VL105" s="412"/>
      <c r="VM105" s="412"/>
      <c r="VN105" s="412"/>
      <c r="VO105" s="412"/>
      <c r="VP105" s="412"/>
      <c r="VQ105" s="412"/>
      <c r="VR105" s="412"/>
      <c r="VS105" s="412"/>
      <c r="VT105" s="412"/>
      <c r="VU105" s="412"/>
      <c r="VV105" s="412"/>
      <c r="VW105" s="412"/>
      <c r="VX105" s="412"/>
      <c r="VY105" s="412"/>
      <c r="VZ105" s="412"/>
      <c r="WA105" s="412"/>
      <c r="WB105" s="412"/>
      <c r="WC105" s="412"/>
      <c r="WD105" s="412"/>
      <c r="WE105" s="412"/>
      <c r="WF105" s="412"/>
      <c r="WG105" s="412"/>
      <c r="WH105" s="412"/>
      <c r="WI105" s="412"/>
      <c r="WJ105" s="412"/>
      <c r="WK105" s="412"/>
      <c r="WL105" s="412"/>
      <c r="WM105" s="412"/>
      <c r="WN105" s="412"/>
      <c r="WO105" s="412"/>
      <c r="WP105" s="412"/>
      <c r="WQ105" s="412"/>
      <c r="WR105" s="412"/>
      <c r="WS105" s="412"/>
      <c r="WT105" s="412"/>
      <c r="WU105" s="412"/>
      <c r="WV105" s="412"/>
      <c r="WW105" s="412"/>
      <c r="WX105" s="412"/>
      <c r="WY105" s="412"/>
      <c r="WZ105" s="412"/>
      <c r="XA105" s="412"/>
      <c r="XB105" s="412"/>
      <c r="XC105" s="412"/>
      <c r="XD105" s="412"/>
      <c r="XE105" s="412"/>
      <c r="XF105" s="412"/>
      <c r="XG105" s="412"/>
      <c r="XH105" s="412"/>
      <c r="XI105" s="412"/>
      <c r="XJ105" s="412"/>
      <c r="XK105" s="412"/>
      <c r="XL105" s="412"/>
      <c r="XM105" s="412"/>
      <c r="XN105" s="412"/>
      <c r="XO105" s="412"/>
      <c r="XP105" s="412"/>
      <c r="XQ105" s="412"/>
      <c r="XR105" s="412"/>
      <c r="XS105" s="412"/>
      <c r="XT105" s="412"/>
      <c r="XU105" s="412"/>
      <c r="XV105" s="412"/>
      <c r="XW105" s="412"/>
      <c r="XX105" s="412"/>
      <c r="XY105" s="412"/>
      <c r="XZ105" s="412"/>
      <c r="YA105" s="412"/>
      <c r="YB105" s="412"/>
      <c r="YC105" s="412"/>
      <c r="YD105" s="412"/>
      <c r="YE105" s="412"/>
      <c r="YF105" s="412"/>
      <c r="YG105" s="412"/>
      <c r="YH105" s="412"/>
      <c r="YI105" s="412"/>
      <c r="YJ105" s="412"/>
      <c r="YK105" s="412"/>
      <c r="YL105" s="412"/>
      <c r="YM105" s="412"/>
      <c r="YN105" s="412"/>
      <c r="YO105" s="412"/>
      <c r="YP105" s="412"/>
      <c r="YQ105" s="412"/>
      <c r="YR105" s="412"/>
      <c r="YS105" s="412"/>
      <c r="YT105" s="412"/>
      <c r="YU105" s="412"/>
      <c r="YV105" s="412"/>
      <c r="YW105" s="412"/>
      <c r="YX105" s="412"/>
      <c r="YY105" s="412"/>
      <c r="YZ105" s="412"/>
      <c r="ZA105" s="412"/>
      <c r="ZB105" s="412"/>
      <c r="ZC105" s="412"/>
      <c r="ZD105" s="412"/>
      <c r="ZE105" s="412"/>
      <c r="ZF105" s="412"/>
      <c r="ZG105" s="412"/>
      <c r="ZH105" s="412"/>
      <c r="ZI105" s="412"/>
      <c r="ZJ105" s="412"/>
      <c r="ZK105" s="412"/>
      <c r="ZL105" s="412"/>
      <c r="ZM105" s="412"/>
      <c r="ZN105" s="412"/>
      <c r="ZO105" s="412"/>
      <c r="ZP105" s="412"/>
      <c r="ZQ105" s="412"/>
      <c r="ZR105" s="412"/>
      <c r="ZS105" s="412"/>
      <c r="ZT105" s="412"/>
      <c r="ZU105" s="412"/>
      <c r="ZV105" s="412"/>
      <c r="ZW105" s="412"/>
      <c r="ZX105" s="412"/>
      <c r="ZY105" s="412"/>
      <c r="ZZ105" s="412"/>
      <c r="AAA105" s="412"/>
      <c r="AAB105" s="412"/>
      <c r="AAC105" s="412"/>
      <c r="AAD105" s="412"/>
      <c r="AAE105" s="412"/>
      <c r="AAF105" s="412"/>
      <c r="AAG105" s="412"/>
      <c r="AAH105" s="412"/>
      <c r="AAI105" s="412"/>
      <c r="AAJ105" s="412"/>
      <c r="AAK105" s="412"/>
      <c r="AAL105" s="412"/>
      <c r="AAM105" s="412"/>
      <c r="AAN105" s="412"/>
      <c r="AAO105" s="412"/>
      <c r="AAP105" s="412"/>
      <c r="AAQ105" s="412"/>
      <c r="AAR105" s="412"/>
      <c r="AAS105" s="412"/>
      <c r="AAT105" s="412"/>
      <c r="AAU105" s="412"/>
      <c r="AAV105" s="412"/>
      <c r="AAW105" s="412"/>
      <c r="AAX105" s="412"/>
      <c r="AAY105" s="412"/>
      <c r="AAZ105" s="412"/>
      <c r="ABA105" s="412"/>
      <c r="ABB105" s="412"/>
      <c r="ABC105" s="412"/>
      <c r="ABD105" s="412"/>
      <c r="ABE105" s="412"/>
      <c r="ABF105" s="412"/>
      <c r="ABG105" s="412"/>
      <c r="ABH105" s="412"/>
      <c r="ABI105" s="412"/>
      <c r="ABJ105" s="412"/>
      <c r="ABK105" s="412"/>
      <c r="ABL105" s="412"/>
      <c r="ABM105" s="412"/>
      <c r="ABN105" s="412"/>
      <c r="ABO105" s="412"/>
      <c r="ABP105" s="412"/>
      <c r="ABQ105" s="412"/>
      <c r="ABR105" s="412"/>
      <c r="ABS105" s="412"/>
      <c r="ABT105" s="412"/>
      <c r="ABU105" s="412"/>
      <c r="ABV105" s="412"/>
      <c r="ABW105" s="412"/>
      <c r="ABX105" s="412"/>
      <c r="ABY105" s="412"/>
      <c r="ABZ105" s="412"/>
      <c r="ACA105" s="412"/>
      <c r="ACB105" s="412"/>
      <c r="ACC105" s="412"/>
      <c r="ACD105" s="412"/>
      <c r="ACE105" s="412"/>
      <c r="ACF105" s="412"/>
      <c r="ACG105" s="412"/>
      <c r="ACH105" s="412"/>
      <c r="ACI105" s="412"/>
      <c r="ACJ105" s="412"/>
      <c r="ACK105" s="412"/>
      <c r="ACL105" s="412"/>
      <c r="ACM105" s="412"/>
      <c r="ACN105" s="412"/>
      <c r="ACO105" s="412"/>
      <c r="ACP105" s="412"/>
      <c r="ACQ105" s="412"/>
      <c r="ACR105" s="412"/>
      <c r="ACS105" s="412"/>
      <c r="ACT105" s="412"/>
      <c r="ACU105" s="412"/>
      <c r="ACV105" s="412"/>
      <c r="ACW105" s="412"/>
      <c r="ACX105" s="412"/>
      <c r="ACY105" s="412"/>
      <c r="ACZ105" s="412"/>
      <c r="ADA105" s="412"/>
      <c r="ADB105" s="412"/>
      <c r="ADC105" s="412"/>
      <c r="ADD105" s="412"/>
      <c r="ADE105" s="412"/>
      <c r="ADF105" s="412"/>
      <c r="ADG105" s="412"/>
      <c r="ADH105" s="412"/>
      <c r="ADI105" s="412"/>
      <c r="ADJ105" s="412"/>
      <c r="ADK105" s="412"/>
      <c r="ADL105" s="412"/>
      <c r="ADM105" s="412"/>
      <c r="ADN105" s="412"/>
      <c r="ADO105" s="412"/>
      <c r="ADP105" s="412"/>
      <c r="ADQ105" s="412"/>
      <c r="ADR105" s="412"/>
      <c r="ADS105" s="412"/>
      <c r="ADT105" s="412"/>
      <c r="ADU105" s="412"/>
      <c r="ADV105" s="412"/>
      <c r="ADW105" s="412"/>
      <c r="ADX105" s="412"/>
      <c r="ADY105" s="412"/>
      <c r="ADZ105" s="412"/>
      <c r="AEA105" s="412"/>
      <c r="AEB105" s="412"/>
      <c r="AEC105" s="412"/>
      <c r="AED105" s="412"/>
      <c r="AEE105" s="412"/>
      <c r="AEF105" s="412"/>
      <c r="AEG105" s="412"/>
      <c r="AEH105" s="412"/>
      <c r="AEI105" s="412"/>
      <c r="AEJ105" s="412"/>
      <c r="AEK105" s="412"/>
      <c r="AEL105" s="412"/>
      <c r="AEM105" s="412"/>
      <c r="AEN105" s="412"/>
      <c r="AEO105" s="412"/>
      <c r="AEP105" s="412"/>
      <c r="AEQ105" s="412"/>
      <c r="AER105" s="412"/>
      <c r="AES105" s="412"/>
      <c r="AET105" s="412"/>
      <c r="AEU105" s="412"/>
      <c r="AEV105" s="412"/>
      <c r="AEW105" s="412"/>
      <c r="AEX105" s="412"/>
      <c r="AEY105" s="412"/>
      <c r="AEZ105" s="412"/>
      <c r="AFA105" s="412"/>
      <c r="AFB105" s="412"/>
      <c r="AFC105" s="412"/>
      <c r="AFD105" s="412"/>
      <c r="AFE105" s="412"/>
      <c r="AFF105" s="412"/>
      <c r="AFG105" s="412"/>
      <c r="AFH105" s="412"/>
      <c r="AFI105" s="412"/>
      <c r="AFJ105" s="412"/>
      <c r="AFK105" s="412"/>
      <c r="AFL105" s="412"/>
      <c r="AFM105" s="412"/>
      <c r="AFN105" s="412"/>
      <c r="AFO105" s="412"/>
      <c r="AFP105" s="412"/>
      <c r="AFQ105" s="412"/>
      <c r="AFR105" s="412"/>
      <c r="AFS105" s="412"/>
      <c r="AFT105" s="412"/>
      <c r="AFU105" s="412"/>
      <c r="AFV105" s="412"/>
      <c r="AFW105" s="412"/>
      <c r="AFX105" s="412"/>
      <c r="AFY105" s="412"/>
      <c r="AFZ105" s="412"/>
      <c r="AGA105" s="412"/>
      <c r="AGB105" s="412"/>
      <c r="AGC105" s="412"/>
      <c r="AGD105" s="412"/>
      <c r="AGE105" s="412"/>
      <c r="AGF105" s="412"/>
      <c r="AGG105" s="412"/>
      <c r="AGH105" s="412"/>
      <c r="AGI105" s="412"/>
      <c r="AGJ105" s="412"/>
      <c r="AGK105" s="412"/>
      <c r="AGL105" s="412"/>
      <c r="AGM105" s="412"/>
      <c r="AGN105" s="412"/>
      <c r="AGO105" s="412"/>
      <c r="AGP105" s="412"/>
      <c r="AGQ105" s="412"/>
      <c r="AGR105" s="412"/>
      <c r="AGS105" s="412"/>
      <c r="AGT105" s="412"/>
      <c r="AGU105" s="412"/>
      <c r="AGV105" s="412"/>
      <c r="AGW105" s="412"/>
      <c r="AGX105" s="412"/>
      <c r="AGY105" s="412"/>
      <c r="AGZ105" s="412"/>
      <c r="AHA105" s="412"/>
      <c r="AHB105" s="412"/>
      <c r="AHC105" s="412"/>
      <c r="AHD105" s="412"/>
      <c r="AHE105" s="412"/>
      <c r="AHF105" s="412"/>
      <c r="AHG105" s="412"/>
      <c r="AHH105" s="412"/>
      <c r="AHI105" s="412"/>
      <c r="AHJ105" s="412"/>
      <c r="AHK105" s="412"/>
      <c r="AHL105" s="412"/>
      <c r="AHM105" s="412"/>
      <c r="AHN105" s="412"/>
      <c r="AHO105" s="412"/>
      <c r="AHP105" s="412"/>
      <c r="AHQ105" s="412"/>
      <c r="AHR105" s="412"/>
      <c r="AHS105" s="412"/>
      <c r="AHT105" s="412"/>
      <c r="AHU105" s="412"/>
      <c r="AHV105" s="412"/>
      <c r="AHW105" s="412"/>
      <c r="AHX105" s="412"/>
      <c r="AHY105" s="412"/>
      <c r="AHZ105" s="412"/>
      <c r="AIA105" s="412"/>
      <c r="AIB105" s="412"/>
      <c r="AIC105" s="412"/>
      <c r="AID105" s="412"/>
      <c r="AIE105" s="412"/>
      <c r="AIF105" s="412"/>
      <c r="AIG105" s="412"/>
      <c r="AIH105" s="412"/>
      <c r="AII105" s="412"/>
      <c r="AIJ105" s="412"/>
      <c r="AIK105" s="412"/>
      <c r="AIL105" s="412"/>
      <c r="AIM105" s="412"/>
      <c r="AIN105" s="412"/>
      <c r="AIO105" s="412"/>
      <c r="AIP105" s="412"/>
      <c r="AIQ105" s="412"/>
      <c r="AIR105" s="412"/>
      <c r="AIS105" s="412"/>
      <c r="AIT105" s="412"/>
      <c r="AIU105" s="412"/>
      <c r="AIV105" s="412"/>
      <c r="AIW105" s="412"/>
      <c r="AIX105" s="412"/>
      <c r="AIY105" s="412"/>
      <c r="AIZ105" s="412"/>
      <c r="AJA105" s="412"/>
      <c r="AJB105" s="412"/>
      <c r="AJC105" s="412"/>
      <c r="AJD105" s="412"/>
      <c r="AJE105" s="412"/>
      <c r="AJF105" s="412"/>
      <c r="AJG105" s="412"/>
      <c r="AJH105" s="412"/>
      <c r="AJI105" s="412"/>
      <c r="AJJ105" s="412"/>
      <c r="AJK105" s="412"/>
      <c r="AJL105" s="412"/>
      <c r="AJM105" s="412"/>
      <c r="AJN105" s="412"/>
      <c r="AJO105" s="412"/>
      <c r="AJP105" s="412"/>
      <c r="AJQ105" s="412"/>
      <c r="AJR105" s="412"/>
      <c r="AJS105" s="412"/>
      <c r="AJT105" s="412"/>
      <c r="AJU105" s="412"/>
      <c r="AJV105" s="412"/>
      <c r="AJW105" s="412"/>
      <c r="AJX105" s="412"/>
      <c r="AJY105" s="412"/>
      <c r="AJZ105" s="412"/>
      <c r="AKA105" s="412"/>
      <c r="AKB105" s="412"/>
      <c r="AKC105" s="412"/>
      <c r="AKD105" s="412"/>
      <c r="AKE105" s="412"/>
      <c r="AKF105" s="412"/>
      <c r="AKG105" s="412"/>
      <c r="AKH105" s="412"/>
      <c r="AKI105" s="412"/>
      <c r="AKJ105" s="412"/>
      <c r="AKK105" s="412"/>
      <c r="AKL105" s="412"/>
      <c r="AKM105" s="412"/>
      <c r="AKN105" s="412"/>
      <c r="AKO105" s="412"/>
      <c r="AKP105" s="412"/>
      <c r="AKQ105" s="412"/>
      <c r="AKR105" s="412"/>
      <c r="AKS105" s="412"/>
      <c r="AKT105" s="412"/>
      <c r="AKU105" s="412"/>
      <c r="AKV105" s="412"/>
      <c r="AKW105" s="412"/>
      <c r="AKX105" s="412"/>
      <c r="AKY105" s="412"/>
      <c r="AKZ105" s="412"/>
      <c r="ALA105" s="412"/>
      <c r="ALB105" s="412"/>
      <c r="ALC105" s="412"/>
      <c r="ALD105" s="412"/>
      <c r="ALE105" s="412"/>
      <c r="ALF105" s="412"/>
      <c r="ALG105" s="412"/>
      <c r="ALH105" s="412"/>
      <c r="ALI105" s="412"/>
      <c r="ALJ105" s="412"/>
      <c r="ALK105" s="412"/>
      <c r="ALL105" s="412"/>
      <c r="ALM105" s="412"/>
      <c r="ALN105" s="412"/>
      <c r="ALO105" s="412"/>
      <c r="ALP105" s="412"/>
      <c r="ALQ105" s="412"/>
      <c r="ALR105" s="412"/>
      <c r="ALS105" s="412"/>
      <c r="ALT105" s="412"/>
      <c r="ALU105" s="412"/>
      <c r="ALV105" s="412"/>
      <c r="ALW105" s="412"/>
      <c r="ALX105" s="412"/>
      <c r="ALY105" s="412"/>
      <c r="ALZ105" s="412"/>
      <c r="AMA105" s="412"/>
      <c r="AMB105" s="412"/>
      <c r="AMC105" s="412"/>
      <c r="AMD105" s="412"/>
      <c r="AME105" s="412"/>
      <c r="AMF105" s="412"/>
      <c r="AMG105" s="412"/>
      <c r="AMH105" s="412"/>
      <c r="AMI105" s="412"/>
      <c r="AMJ105" s="412"/>
      <c r="AMK105" s="412"/>
      <c r="AML105" s="412"/>
      <c r="AMM105" s="412"/>
      <c r="AMN105" s="412"/>
      <c r="AMO105" s="412"/>
      <c r="AMP105" s="412"/>
      <c r="AMQ105" s="412"/>
      <c r="AMR105" s="412"/>
      <c r="AMS105" s="412"/>
      <c r="AMT105" s="412"/>
      <c r="AMU105" s="412"/>
      <c r="AMV105" s="412"/>
      <c r="AMW105" s="412"/>
      <c r="AMX105" s="412"/>
      <c r="AMY105" s="412"/>
      <c r="AMZ105" s="412"/>
      <c r="ANA105" s="412"/>
      <c r="ANB105" s="412"/>
      <c r="ANC105" s="412"/>
      <c r="AND105" s="412"/>
      <c r="ANE105" s="412"/>
      <c r="ANF105" s="412"/>
      <c r="ANG105" s="412"/>
      <c r="ANH105" s="412"/>
      <c r="ANI105" s="412"/>
      <c r="ANJ105" s="412"/>
      <c r="ANK105" s="412"/>
      <c r="ANL105" s="412"/>
      <c r="ANM105" s="412"/>
      <c r="ANN105" s="412"/>
      <c r="ANO105" s="412"/>
      <c r="ANP105" s="412"/>
      <c r="ANQ105" s="412"/>
      <c r="ANR105" s="412"/>
      <c r="ANS105" s="412"/>
      <c r="ANT105" s="412"/>
      <c r="ANU105" s="412"/>
      <c r="ANV105" s="412"/>
      <c r="ANW105" s="412"/>
      <c r="ANX105" s="412"/>
      <c r="ANY105" s="412"/>
      <c r="ANZ105" s="412"/>
      <c r="AOA105" s="412"/>
      <c r="AOB105" s="412"/>
      <c r="AOC105" s="412"/>
      <c r="AOD105" s="412"/>
      <c r="AOE105" s="412"/>
      <c r="AOF105" s="412"/>
      <c r="AOG105" s="412"/>
      <c r="AOH105" s="412"/>
      <c r="AOI105" s="412"/>
      <c r="AOJ105" s="412"/>
      <c r="AOK105" s="412"/>
      <c r="AOL105" s="412"/>
      <c r="AOM105" s="412"/>
      <c r="AON105" s="412"/>
      <c r="AOO105" s="412"/>
      <c r="AOP105" s="412"/>
      <c r="AOQ105" s="412"/>
      <c r="AOR105" s="412"/>
      <c r="AOS105" s="412"/>
      <c r="AOT105" s="412"/>
      <c r="AOU105" s="412"/>
      <c r="AOV105" s="412"/>
      <c r="AOW105" s="412"/>
      <c r="AOX105" s="412"/>
      <c r="AOY105" s="412"/>
      <c r="AOZ105" s="412"/>
      <c r="APA105" s="412"/>
      <c r="APB105" s="412"/>
      <c r="APC105" s="412"/>
      <c r="APD105" s="412"/>
      <c r="APE105" s="412"/>
      <c r="APF105" s="412"/>
      <c r="APG105" s="412"/>
      <c r="APH105" s="412"/>
      <c r="API105" s="412"/>
      <c r="APJ105" s="412"/>
      <c r="APK105" s="412"/>
      <c r="APL105" s="412"/>
      <c r="APM105" s="412"/>
      <c r="APN105" s="412"/>
      <c r="APO105" s="412"/>
      <c r="APP105" s="412"/>
      <c r="APQ105" s="412"/>
      <c r="APR105" s="412"/>
      <c r="APS105" s="412"/>
      <c r="APT105" s="412"/>
      <c r="APU105" s="412"/>
      <c r="APV105" s="412"/>
      <c r="APW105" s="412"/>
      <c r="APX105" s="412"/>
      <c r="APY105" s="412"/>
      <c r="APZ105" s="412"/>
      <c r="AQA105" s="412"/>
      <c r="AQB105" s="412"/>
      <c r="AQC105" s="412"/>
      <c r="AQD105" s="412"/>
      <c r="AQE105" s="412"/>
      <c r="AQF105" s="412"/>
      <c r="AQG105" s="412"/>
      <c r="AQH105" s="412"/>
      <c r="AQI105" s="412"/>
      <c r="AQJ105" s="412"/>
      <c r="AQK105" s="412"/>
      <c r="AQL105" s="412"/>
      <c r="AQM105" s="412"/>
      <c r="AQN105" s="412"/>
      <c r="AQO105" s="412"/>
      <c r="AQP105" s="412"/>
      <c r="AQQ105" s="412"/>
      <c r="AQR105" s="412"/>
      <c r="AQS105" s="412"/>
      <c r="AQT105" s="412"/>
      <c r="AQU105" s="412"/>
      <c r="AQV105" s="412"/>
      <c r="AQW105" s="412"/>
      <c r="AQX105" s="412"/>
      <c r="AQY105" s="412"/>
      <c r="AQZ105" s="412"/>
      <c r="ARA105" s="412"/>
      <c r="ARB105" s="412"/>
      <c r="ARC105" s="412"/>
      <c r="ARD105" s="412"/>
      <c r="ARE105" s="412"/>
      <c r="ARF105" s="412"/>
      <c r="ARG105" s="412"/>
      <c r="ARH105" s="412"/>
      <c r="ARI105" s="412"/>
      <c r="ARJ105" s="412"/>
      <c r="ARK105" s="412"/>
      <c r="ARL105" s="412"/>
      <c r="ARM105" s="412"/>
      <c r="ARN105" s="412"/>
      <c r="ARO105" s="412"/>
      <c r="ARP105" s="412"/>
      <c r="ARQ105" s="412"/>
      <c r="ARR105" s="412"/>
      <c r="ARS105" s="412"/>
      <c r="ART105" s="412"/>
      <c r="ARU105" s="412"/>
      <c r="ARV105" s="412"/>
      <c r="ARW105" s="412"/>
      <c r="ARX105" s="412"/>
      <c r="ARY105" s="412"/>
      <c r="ARZ105" s="412"/>
      <c r="ASA105" s="412"/>
      <c r="ASB105" s="412"/>
      <c r="ASC105" s="412"/>
      <c r="ASD105" s="412"/>
      <c r="ASE105" s="412"/>
      <c r="ASF105" s="412"/>
      <c r="ASG105" s="412"/>
      <c r="ASH105" s="412"/>
      <c r="ASI105" s="412"/>
      <c r="ASJ105" s="412"/>
      <c r="ASK105" s="412"/>
      <c r="ASL105" s="412"/>
      <c r="ASM105" s="412"/>
      <c r="ASN105" s="412"/>
      <c r="ASO105" s="412"/>
      <c r="ASP105" s="412"/>
      <c r="ASQ105" s="412"/>
      <c r="ASR105" s="412"/>
      <c r="ASS105" s="412"/>
      <c r="AST105" s="412"/>
      <c r="ASU105" s="412"/>
      <c r="ASV105" s="412"/>
      <c r="ASW105" s="412"/>
      <c r="ASX105" s="412"/>
      <c r="ASY105" s="412"/>
      <c r="ASZ105" s="412"/>
      <c r="ATA105" s="412"/>
      <c r="ATB105" s="412"/>
      <c r="ATC105" s="412"/>
      <c r="ATD105" s="412"/>
      <c r="ATE105" s="412"/>
      <c r="ATF105" s="412"/>
      <c r="ATG105" s="412"/>
      <c r="ATH105" s="412"/>
      <c r="ATI105" s="412"/>
      <c r="ATJ105" s="412"/>
      <c r="ATK105" s="412"/>
      <c r="ATL105" s="412"/>
      <c r="ATM105" s="412"/>
      <c r="ATN105" s="412"/>
      <c r="ATO105" s="412"/>
      <c r="ATP105" s="412"/>
      <c r="ATQ105" s="412"/>
      <c r="ATR105" s="412"/>
      <c r="ATS105" s="412"/>
      <c r="ATT105" s="412"/>
      <c r="ATU105" s="412"/>
      <c r="ATV105" s="412"/>
      <c r="ATW105" s="412"/>
      <c r="ATX105" s="412"/>
      <c r="ATY105" s="412"/>
      <c r="ATZ105" s="412"/>
      <c r="AUA105" s="412"/>
      <c r="AUB105" s="412"/>
      <c r="AUC105" s="412"/>
      <c r="AUD105" s="412"/>
      <c r="AUE105" s="412"/>
      <c r="AUF105" s="412"/>
      <c r="AUG105" s="412"/>
      <c r="AUH105" s="412"/>
      <c r="AUI105" s="412"/>
      <c r="AUJ105" s="412"/>
      <c r="AUK105" s="412"/>
      <c r="AUL105" s="412"/>
      <c r="AUM105" s="412"/>
      <c r="AUN105" s="412"/>
      <c r="AUO105" s="412"/>
      <c r="AUP105" s="412"/>
      <c r="AUQ105" s="412"/>
      <c r="AUR105" s="412"/>
      <c r="AUS105" s="412"/>
      <c r="AUT105" s="412"/>
      <c r="AUU105" s="412"/>
      <c r="AUV105" s="412"/>
      <c r="AUW105" s="412"/>
      <c r="AUX105" s="412"/>
      <c r="AUY105" s="412"/>
      <c r="AUZ105" s="412"/>
      <c r="AVA105" s="412"/>
      <c r="AVB105" s="412"/>
      <c r="AVC105" s="412"/>
      <c r="AVD105" s="412"/>
      <c r="AVE105" s="412"/>
      <c r="AVF105" s="412"/>
      <c r="AVG105" s="412"/>
      <c r="AVH105" s="412"/>
      <c r="AVI105" s="412"/>
      <c r="AVJ105" s="412"/>
      <c r="AVK105" s="412"/>
      <c r="AVL105" s="412"/>
      <c r="AVM105" s="412"/>
      <c r="AVN105" s="412"/>
      <c r="AVO105" s="412"/>
      <c r="AVP105" s="412"/>
      <c r="AVQ105" s="412"/>
      <c r="AVR105" s="412"/>
      <c r="AVS105" s="412"/>
      <c r="AVT105" s="412"/>
      <c r="AVU105" s="412"/>
      <c r="AVV105" s="412"/>
      <c r="AVW105" s="412"/>
      <c r="AVX105" s="412"/>
      <c r="AVY105" s="412"/>
      <c r="AVZ105" s="412"/>
      <c r="AWA105" s="412"/>
      <c r="AWB105" s="412"/>
      <c r="AWC105" s="412"/>
      <c r="AWD105" s="412"/>
      <c r="AWE105" s="412"/>
      <c r="AWF105" s="412"/>
      <c r="AWG105" s="412"/>
      <c r="AWH105" s="412"/>
      <c r="AWI105" s="412"/>
      <c r="AWJ105" s="412"/>
      <c r="AWK105" s="412"/>
      <c r="AWL105" s="412"/>
      <c r="AWM105" s="412"/>
      <c r="AWN105" s="412"/>
      <c r="AWO105" s="412"/>
      <c r="AWP105" s="412"/>
      <c r="AWQ105" s="412"/>
      <c r="AWR105" s="412"/>
      <c r="AWS105" s="412"/>
      <c r="AWT105" s="412"/>
      <c r="AWU105" s="412"/>
      <c r="AWV105" s="412"/>
      <c r="AWW105" s="412"/>
      <c r="AWX105" s="412"/>
      <c r="AWY105" s="412"/>
      <c r="AWZ105" s="412"/>
      <c r="AXA105" s="412"/>
      <c r="AXB105" s="412"/>
      <c r="AXC105" s="412"/>
      <c r="AXD105" s="412"/>
      <c r="AXE105" s="412"/>
      <c r="AXF105" s="412"/>
      <c r="AXG105" s="412"/>
      <c r="AXH105" s="412"/>
      <c r="AXI105" s="412"/>
      <c r="AXJ105" s="412"/>
      <c r="AXK105" s="412"/>
      <c r="AXL105" s="412"/>
      <c r="AXM105" s="412"/>
      <c r="AXN105" s="412"/>
      <c r="AXO105" s="412"/>
      <c r="AXP105" s="412"/>
      <c r="AXQ105" s="412"/>
      <c r="AXR105" s="412"/>
      <c r="AXS105" s="412"/>
      <c r="AXT105" s="412"/>
      <c r="AXU105" s="412"/>
      <c r="AXV105" s="412"/>
      <c r="AXW105" s="412"/>
      <c r="AXX105" s="412"/>
      <c r="AXY105" s="412"/>
      <c r="AXZ105" s="412"/>
      <c r="AYA105" s="412"/>
      <c r="AYB105" s="412"/>
      <c r="AYC105" s="412"/>
      <c r="AYD105" s="412"/>
      <c r="AYE105" s="412"/>
      <c r="AYF105" s="412"/>
      <c r="AYG105" s="412"/>
      <c r="AYH105" s="412"/>
      <c r="AYI105" s="412"/>
      <c r="AYJ105" s="412"/>
      <c r="AYK105" s="412"/>
      <c r="AYL105" s="412"/>
      <c r="AYM105" s="412"/>
      <c r="AYN105" s="412"/>
      <c r="AYO105" s="412"/>
      <c r="AYP105" s="412"/>
      <c r="AYQ105" s="412"/>
      <c r="AYR105" s="412"/>
      <c r="AYS105" s="412"/>
      <c r="AYT105" s="412"/>
      <c r="AYU105" s="412"/>
      <c r="AYV105" s="412"/>
      <c r="AYW105" s="412"/>
      <c r="AYX105" s="412"/>
      <c r="AYY105" s="412"/>
      <c r="AYZ105" s="412"/>
      <c r="AZA105" s="412"/>
      <c r="AZB105" s="412"/>
      <c r="AZC105" s="412"/>
      <c r="AZD105" s="412"/>
      <c r="AZE105" s="412"/>
      <c r="AZF105" s="412"/>
      <c r="AZG105" s="412"/>
      <c r="AZH105" s="412"/>
      <c r="AZI105" s="412"/>
      <c r="AZJ105" s="412"/>
      <c r="AZK105" s="412"/>
      <c r="AZL105" s="412"/>
      <c r="AZM105" s="412"/>
      <c r="AZN105" s="412"/>
      <c r="AZO105" s="412"/>
      <c r="AZP105" s="412"/>
      <c r="AZQ105" s="412"/>
      <c r="AZR105" s="412"/>
      <c r="AZS105" s="412"/>
      <c r="AZT105" s="412"/>
      <c r="AZU105" s="412"/>
      <c r="AZV105" s="412"/>
      <c r="AZW105" s="412"/>
      <c r="AZX105" s="412"/>
      <c r="AZY105" s="412"/>
      <c r="AZZ105" s="412"/>
      <c r="BAA105" s="412"/>
      <c r="BAB105" s="412"/>
      <c r="BAC105" s="412"/>
      <c r="BAD105" s="412"/>
      <c r="BAE105" s="412"/>
      <c r="BAF105" s="412"/>
      <c r="BAG105" s="412"/>
      <c r="BAH105" s="412"/>
      <c r="BAI105" s="412"/>
      <c r="BAJ105" s="412"/>
      <c r="BAK105" s="412"/>
      <c r="BAL105" s="412"/>
      <c r="BAM105" s="412"/>
      <c r="BAN105" s="412"/>
      <c r="BAO105" s="412"/>
      <c r="BAP105" s="412"/>
      <c r="BAQ105" s="412"/>
      <c r="BAR105" s="412"/>
      <c r="BAS105" s="412"/>
      <c r="BAT105" s="412"/>
      <c r="BAU105" s="412"/>
      <c r="BAV105" s="412"/>
      <c r="BAW105" s="412"/>
      <c r="BAX105" s="412"/>
      <c r="BAY105" s="412"/>
      <c r="BAZ105" s="412"/>
      <c r="BBA105" s="412"/>
      <c r="BBB105" s="412"/>
      <c r="BBC105" s="412"/>
      <c r="BBD105" s="412"/>
      <c r="BBE105" s="412"/>
      <c r="BBF105" s="412"/>
      <c r="BBG105" s="412"/>
      <c r="BBH105" s="412"/>
      <c r="BBI105" s="412"/>
      <c r="BBJ105" s="412"/>
      <c r="BBK105" s="412"/>
      <c r="BBL105" s="412"/>
      <c r="BBM105" s="412"/>
      <c r="BBN105" s="412"/>
      <c r="BBO105" s="412"/>
      <c r="BBP105" s="412"/>
      <c r="BBQ105" s="412"/>
      <c r="BBR105" s="412"/>
      <c r="BBS105" s="412"/>
      <c r="BBT105" s="412"/>
      <c r="BBU105" s="412"/>
      <c r="BBV105" s="412"/>
      <c r="BBW105" s="412"/>
      <c r="BBX105" s="412"/>
      <c r="BBY105" s="412"/>
      <c r="BBZ105" s="412"/>
      <c r="BCA105" s="412"/>
      <c r="BCB105" s="412"/>
      <c r="BCC105" s="412"/>
      <c r="BCD105" s="412"/>
      <c r="BCE105" s="412"/>
      <c r="BCF105" s="412"/>
      <c r="BCG105" s="412"/>
      <c r="BCH105" s="412"/>
      <c r="BCI105" s="412"/>
      <c r="BCJ105" s="412"/>
      <c r="BCK105" s="412"/>
      <c r="BCL105" s="412"/>
      <c r="BCM105" s="412"/>
      <c r="BCN105" s="412"/>
      <c r="BCO105" s="412"/>
      <c r="BCP105" s="412"/>
      <c r="BCQ105" s="412"/>
      <c r="BCR105" s="412"/>
      <c r="BCS105" s="412"/>
      <c r="BCT105" s="412"/>
      <c r="BCU105" s="412"/>
      <c r="BCV105" s="412"/>
      <c r="BCW105" s="412"/>
      <c r="BCX105" s="412"/>
      <c r="BCY105" s="412"/>
      <c r="BCZ105" s="412"/>
      <c r="BDA105" s="412"/>
      <c r="BDB105" s="412"/>
      <c r="BDC105" s="412"/>
      <c r="BDD105" s="412"/>
      <c r="BDE105" s="412"/>
      <c r="BDF105" s="412"/>
      <c r="BDG105" s="412"/>
      <c r="BDH105" s="412"/>
      <c r="BDI105" s="412"/>
      <c r="BDJ105" s="412"/>
      <c r="BDK105" s="412"/>
      <c r="BDL105" s="412"/>
      <c r="BDM105" s="412"/>
      <c r="BDN105" s="412"/>
      <c r="BDO105" s="412"/>
      <c r="BDP105" s="412"/>
      <c r="BDQ105" s="412"/>
      <c r="BDR105" s="412"/>
      <c r="BDS105" s="412"/>
      <c r="BDT105" s="412"/>
      <c r="BDU105" s="412"/>
      <c r="BDV105" s="412"/>
      <c r="BDW105" s="412"/>
      <c r="BDX105" s="412"/>
      <c r="BDY105" s="412"/>
      <c r="BDZ105" s="412"/>
      <c r="BEA105" s="412"/>
      <c r="BEB105" s="412"/>
      <c r="BEC105" s="412"/>
      <c r="BED105" s="412"/>
      <c r="BEE105" s="412"/>
      <c r="BEF105" s="412"/>
      <c r="BEG105" s="412"/>
      <c r="BEH105" s="412"/>
      <c r="BEI105" s="412"/>
      <c r="BEJ105" s="412"/>
      <c r="BEK105" s="412"/>
      <c r="BEL105" s="412"/>
      <c r="BEM105" s="412"/>
      <c r="BEN105" s="412"/>
      <c r="BEO105" s="412"/>
      <c r="BEP105" s="412"/>
      <c r="BEQ105" s="412"/>
      <c r="BER105" s="412"/>
      <c r="BES105" s="412"/>
      <c r="BET105" s="412"/>
      <c r="BEU105" s="412"/>
      <c r="BEV105" s="412"/>
      <c r="BEW105" s="412"/>
      <c r="BEX105" s="412"/>
      <c r="BEY105" s="412"/>
      <c r="BEZ105" s="412"/>
      <c r="BFA105" s="412"/>
      <c r="BFB105" s="412"/>
      <c r="BFC105" s="412"/>
      <c r="BFD105" s="412"/>
      <c r="BFE105" s="412"/>
      <c r="BFF105" s="412"/>
      <c r="BFG105" s="412"/>
      <c r="BFH105" s="412"/>
      <c r="BFI105" s="412"/>
      <c r="BFJ105" s="412"/>
      <c r="BFK105" s="412"/>
      <c r="BFL105" s="412"/>
      <c r="BFM105" s="412"/>
      <c r="BFN105" s="412"/>
      <c r="BFO105" s="412"/>
      <c r="BFP105" s="412"/>
      <c r="BFQ105" s="412"/>
      <c r="BFR105" s="412"/>
      <c r="BFS105" s="412"/>
      <c r="BFT105" s="412"/>
      <c r="BFU105" s="412"/>
      <c r="BFV105" s="412"/>
      <c r="BFW105" s="412"/>
      <c r="BFX105" s="412"/>
      <c r="BFY105" s="412"/>
      <c r="BFZ105" s="412"/>
      <c r="BGA105" s="412"/>
      <c r="BGB105" s="412"/>
      <c r="BGC105" s="412"/>
      <c r="BGD105" s="412"/>
      <c r="BGE105" s="412"/>
      <c r="BGF105" s="412"/>
      <c r="BGG105" s="412"/>
      <c r="BGH105" s="412"/>
      <c r="BGI105" s="412"/>
      <c r="BGJ105" s="412"/>
      <c r="BGK105" s="412"/>
      <c r="BGL105" s="412"/>
      <c r="BGM105" s="412"/>
      <c r="BGN105" s="412"/>
      <c r="BGO105" s="412"/>
      <c r="BGP105" s="412"/>
      <c r="BGQ105" s="412"/>
      <c r="BGR105" s="412"/>
      <c r="BGS105" s="412"/>
      <c r="BGT105" s="412"/>
      <c r="BGU105" s="412"/>
      <c r="BGV105" s="412"/>
      <c r="BGW105" s="412"/>
      <c r="BGX105" s="412"/>
      <c r="BGY105" s="412"/>
      <c r="BGZ105" s="412"/>
      <c r="BHA105" s="412"/>
      <c r="BHB105" s="412"/>
      <c r="BHC105" s="412"/>
      <c r="BHD105" s="412"/>
      <c r="BHE105" s="412"/>
      <c r="BHF105" s="412"/>
      <c r="BHG105" s="412"/>
      <c r="BHH105" s="412"/>
      <c r="BHI105" s="412"/>
      <c r="BHJ105" s="412"/>
      <c r="BHK105" s="412"/>
      <c r="BHL105" s="412"/>
      <c r="BHM105" s="412"/>
      <c r="BHN105" s="412"/>
      <c r="BHO105" s="412"/>
      <c r="BHP105" s="412"/>
      <c r="BHQ105" s="412"/>
      <c r="BHR105" s="412"/>
      <c r="BHS105" s="412"/>
      <c r="BHT105" s="412"/>
      <c r="BHU105" s="412"/>
      <c r="BHV105" s="412"/>
      <c r="BHW105" s="412"/>
      <c r="BHX105" s="412"/>
      <c r="BHY105" s="412"/>
      <c r="BHZ105" s="412"/>
      <c r="BIA105" s="412"/>
      <c r="BIB105" s="412"/>
      <c r="BIC105" s="412"/>
      <c r="BID105" s="412"/>
      <c r="BIE105" s="412"/>
      <c r="BIF105" s="412"/>
      <c r="BIG105" s="412"/>
      <c r="BIH105" s="412"/>
      <c r="BII105" s="412"/>
      <c r="BIJ105" s="412"/>
      <c r="BIK105" s="412"/>
      <c r="BIL105" s="412"/>
      <c r="BIM105" s="412"/>
      <c r="BIN105" s="412"/>
      <c r="BIO105" s="412"/>
      <c r="BIP105" s="412"/>
      <c r="BIQ105" s="412"/>
      <c r="BIR105" s="412"/>
      <c r="BIS105" s="412"/>
      <c r="BIT105" s="412"/>
      <c r="BIU105" s="412"/>
      <c r="BIV105" s="412"/>
      <c r="BIW105" s="412"/>
      <c r="BIX105" s="412"/>
      <c r="BIY105" s="412"/>
      <c r="BIZ105" s="412"/>
      <c r="BJA105" s="412"/>
      <c r="BJB105" s="412"/>
      <c r="BJC105" s="412"/>
      <c r="BJD105" s="412"/>
      <c r="BJE105" s="412"/>
      <c r="BJF105" s="412"/>
      <c r="BJG105" s="412"/>
      <c r="BJH105" s="412"/>
      <c r="BJI105" s="412"/>
      <c r="BJJ105" s="412"/>
      <c r="BJK105" s="412"/>
      <c r="BJL105" s="412"/>
      <c r="BJM105" s="412"/>
      <c r="BJN105" s="412"/>
      <c r="BJO105" s="412"/>
      <c r="BJP105" s="412"/>
      <c r="BJQ105" s="412"/>
      <c r="BJR105" s="412"/>
      <c r="BJS105" s="412"/>
      <c r="BJT105" s="412"/>
      <c r="BJU105" s="412"/>
      <c r="BJV105" s="412"/>
      <c r="BJW105" s="412"/>
      <c r="BJX105" s="412"/>
      <c r="BJY105" s="412"/>
      <c r="BJZ105" s="412"/>
      <c r="BKA105" s="412"/>
      <c r="BKB105" s="412"/>
      <c r="BKC105" s="412"/>
      <c r="BKD105" s="412"/>
      <c r="BKE105" s="412"/>
      <c r="BKF105" s="412"/>
      <c r="BKG105" s="412"/>
      <c r="BKH105" s="412"/>
      <c r="BKI105" s="412"/>
      <c r="BKJ105" s="412"/>
      <c r="BKK105" s="412"/>
      <c r="BKL105" s="412"/>
      <c r="BKM105" s="412"/>
      <c r="BKN105" s="412"/>
      <c r="BKO105" s="412"/>
      <c r="BKP105" s="412"/>
      <c r="BKQ105" s="412"/>
      <c r="BKR105" s="412"/>
      <c r="BKS105" s="412"/>
      <c r="BKT105" s="412"/>
      <c r="BKU105" s="412"/>
      <c r="BKV105" s="412"/>
      <c r="BKW105" s="412"/>
      <c r="BKX105" s="412"/>
      <c r="BKY105" s="412"/>
      <c r="BKZ105" s="412"/>
      <c r="BLA105" s="412"/>
      <c r="BLB105" s="412"/>
      <c r="BLC105" s="412"/>
      <c r="BLD105" s="412"/>
      <c r="BLE105" s="412"/>
      <c r="BLF105" s="412"/>
      <c r="BLG105" s="412"/>
      <c r="BLH105" s="412"/>
      <c r="BLI105" s="412"/>
      <c r="BLJ105" s="412"/>
      <c r="BLK105" s="412"/>
      <c r="BLL105" s="412"/>
      <c r="BLM105" s="412"/>
      <c r="BLN105" s="412"/>
      <c r="BLO105" s="412"/>
      <c r="BLP105" s="412"/>
      <c r="BLQ105" s="412"/>
      <c r="BLR105" s="412"/>
      <c r="BLS105" s="412"/>
      <c r="BLT105" s="412"/>
      <c r="BLU105" s="412"/>
      <c r="BLV105" s="412"/>
      <c r="BLW105" s="412"/>
      <c r="BLX105" s="412"/>
      <c r="BLY105" s="412"/>
      <c r="BLZ105" s="412"/>
      <c r="BMA105" s="412"/>
      <c r="BMB105" s="412"/>
      <c r="BMC105" s="412"/>
      <c r="BMD105" s="412"/>
      <c r="BME105" s="412"/>
      <c r="BMF105" s="412"/>
      <c r="BMG105" s="412"/>
      <c r="BMH105" s="412"/>
      <c r="BMI105" s="412"/>
      <c r="BMJ105" s="412"/>
      <c r="BMK105" s="412"/>
      <c r="BML105" s="412"/>
      <c r="BMM105" s="412"/>
      <c r="BMN105" s="412"/>
      <c r="BMO105" s="412"/>
      <c r="BMP105" s="412"/>
      <c r="BMQ105" s="412"/>
      <c r="BMR105" s="412"/>
      <c r="BMS105" s="412"/>
      <c r="BMT105" s="412"/>
      <c r="BMU105" s="412"/>
      <c r="BMV105" s="412"/>
      <c r="BMW105" s="412"/>
      <c r="BMX105" s="412"/>
      <c r="BMY105" s="412"/>
      <c r="BMZ105" s="412"/>
      <c r="BNA105" s="412"/>
      <c r="BNB105" s="412"/>
      <c r="BNC105" s="412"/>
      <c r="BND105" s="412"/>
      <c r="BNE105" s="412"/>
      <c r="BNF105" s="412"/>
      <c r="BNG105" s="412"/>
      <c r="BNH105" s="412"/>
      <c r="BNI105" s="412"/>
      <c r="BNJ105" s="412"/>
      <c r="BNK105" s="412"/>
      <c r="BNL105" s="412"/>
      <c r="BNM105" s="412"/>
      <c r="BNN105" s="412"/>
      <c r="BNO105" s="412"/>
      <c r="BNP105" s="412"/>
      <c r="BNQ105" s="412"/>
      <c r="BNR105" s="412"/>
      <c r="BNS105" s="412"/>
      <c r="BNT105" s="412"/>
      <c r="BNU105" s="412"/>
      <c r="BNV105" s="412"/>
      <c r="BNW105" s="412"/>
      <c r="BNX105" s="412"/>
      <c r="BNY105" s="412"/>
      <c r="BNZ105" s="412"/>
      <c r="BOA105" s="412"/>
      <c r="BOB105" s="412"/>
      <c r="BOC105" s="412"/>
      <c r="BOD105" s="412"/>
      <c r="BOE105" s="412"/>
      <c r="BOF105" s="412"/>
      <c r="BOG105" s="412"/>
      <c r="BOH105" s="412"/>
      <c r="BOI105" s="412"/>
      <c r="BOJ105" s="412"/>
      <c r="BOK105" s="412"/>
      <c r="BOL105" s="412"/>
      <c r="BOM105" s="412"/>
      <c r="BON105" s="412"/>
      <c r="BOO105" s="412"/>
      <c r="BOP105" s="412"/>
      <c r="BOQ105" s="412"/>
      <c r="BOR105" s="412"/>
      <c r="BOS105" s="412"/>
      <c r="BOT105" s="412"/>
      <c r="BOU105" s="412"/>
      <c r="BOV105" s="412"/>
      <c r="BOW105" s="412"/>
      <c r="BOX105" s="412"/>
      <c r="BOY105" s="412"/>
      <c r="BOZ105" s="412"/>
      <c r="BPA105" s="412"/>
      <c r="BPB105" s="412"/>
      <c r="BPC105" s="412"/>
      <c r="BPD105" s="412"/>
      <c r="BPE105" s="412"/>
      <c r="BPF105" s="412"/>
      <c r="BPG105" s="412"/>
      <c r="BPH105" s="412"/>
      <c r="BPI105" s="412"/>
      <c r="BPJ105" s="412"/>
      <c r="BPK105" s="412"/>
      <c r="BPL105" s="412"/>
      <c r="BPM105" s="412"/>
      <c r="BPN105" s="412"/>
      <c r="BPO105" s="412"/>
      <c r="BPP105" s="412"/>
      <c r="BPQ105" s="412"/>
      <c r="BPR105" s="412"/>
      <c r="BPS105" s="412"/>
      <c r="BPT105" s="412"/>
      <c r="BPU105" s="412"/>
      <c r="BPV105" s="412"/>
      <c r="BPW105" s="412"/>
      <c r="BPX105" s="412"/>
      <c r="BPY105" s="412"/>
      <c r="BPZ105" s="412"/>
      <c r="BQA105" s="412"/>
      <c r="BQB105" s="412"/>
      <c r="BQC105" s="412"/>
      <c r="BQD105" s="412"/>
      <c r="BQE105" s="412"/>
      <c r="BQF105" s="412"/>
      <c r="BQG105" s="412"/>
      <c r="BQH105" s="412"/>
      <c r="BQI105" s="412"/>
      <c r="BQJ105" s="412"/>
      <c r="BQK105" s="412"/>
      <c r="BQL105" s="412"/>
      <c r="BQM105" s="412"/>
      <c r="BQN105" s="412"/>
      <c r="BQO105" s="412"/>
      <c r="BQP105" s="412"/>
      <c r="BQQ105" s="412"/>
      <c r="BQR105" s="412"/>
      <c r="BQS105" s="412"/>
      <c r="BQT105" s="412"/>
      <c r="BQU105" s="412"/>
      <c r="BQV105" s="412"/>
      <c r="BQW105" s="412"/>
      <c r="BQX105" s="412"/>
      <c r="BQY105" s="412"/>
      <c r="BQZ105" s="412"/>
      <c r="BRA105" s="412"/>
      <c r="BRB105" s="412"/>
      <c r="BRC105" s="412"/>
      <c r="BRD105" s="412"/>
      <c r="BRE105" s="412"/>
      <c r="BRF105" s="412"/>
      <c r="BRG105" s="412"/>
      <c r="BRH105" s="412"/>
      <c r="BRI105" s="412"/>
      <c r="BRJ105" s="412"/>
      <c r="BRK105" s="412"/>
      <c r="BRL105" s="412"/>
      <c r="BRM105" s="412"/>
      <c r="BRN105" s="412"/>
      <c r="BRO105" s="412"/>
      <c r="BRP105" s="412"/>
      <c r="BRQ105" s="412"/>
      <c r="BRR105" s="412"/>
      <c r="BRS105" s="412"/>
      <c r="BRT105" s="412"/>
      <c r="BRU105" s="412"/>
      <c r="BRV105" s="412"/>
      <c r="BRW105" s="412"/>
      <c r="BRX105" s="412"/>
      <c r="BRY105" s="412"/>
      <c r="BRZ105" s="412"/>
      <c r="BSA105" s="412"/>
      <c r="BSB105" s="412"/>
      <c r="BSC105" s="412"/>
      <c r="BSD105" s="412"/>
      <c r="BSE105" s="412"/>
      <c r="BSF105" s="412"/>
      <c r="BSG105" s="412"/>
      <c r="BSH105" s="412"/>
      <c r="BSI105" s="412"/>
      <c r="BSJ105" s="412"/>
      <c r="BSK105" s="412"/>
      <c r="BSL105" s="412"/>
      <c r="BSM105" s="412"/>
      <c r="BSN105" s="412"/>
      <c r="BSO105" s="412"/>
      <c r="BSP105" s="412"/>
      <c r="BSQ105" s="412"/>
      <c r="BSR105" s="412"/>
      <c r="BSS105" s="412"/>
      <c r="BST105" s="412"/>
      <c r="BSU105" s="412"/>
      <c r="BSV105" s="412"/>
      <c r="BSW105" s="412"/>
      <c r="BSX105" s="412"/>
      <c r="BSY105" s="412"/>
      <c r="BSZ105" s="412"/>
      <c r="BTA105" s="412"/>
      <c r="BTB105" s="412"/>
      <c r="BTC105" s="412"/>
      <c r="BTD105" s="412"/>
      <c r="BTE105" s="412"/>
      <c r="BTF105" s="412"/>
      <c r="BTG105" s="412"/>
      <c r="BTH105" s="412"/>
      <c r="BTI105" s="412"/>
    </row>
    <row r="106" spans="1:1881" s="393" customFormat="1" ht="57.75" customHeight="1" x14ac:dyDescent="0.25">
      <c r="A106" s="423">
        <v>360</v>
      </c>
      <c r="B106" s="417" t="s">
        <v>63</v>
      </c>
      <c r="C106" s="420" t="s">
        <v>185</v>
      </c>
      <c r="D106" s="421" t="s">
        <v>181</v>
      </c>
      <c r="E106" s="416" t="e">
        <f>HLOOKUP($D$2,'2019 Data(H)'!$C$1:$CG$300,121,FALSE)</f>
        <v>#N/A</v>
      </c>
      <c r="F106" s="647"/>
      <c r="G106" s="413"/>
      <c r="H106" s="414"/>
      <c r="I106" s="415"/>
      <c r="J106" s="412"/>
      <c r="K106" s="412"/>
      <c r="L106" s="412"/>
      <c r="M106" s="412"/>
      <c r="N106"/>
      <c r="O106" s="412"/>
      <c r="P106" s="412"/>
      <c r="Q106" s="412"/>
      <c r="R106" s="412"/>
      <c r="S106" s="412"/>
      <c r="T106" s="412"/>
      <c r="U106" s="412"/>
      <c r="V106" s="412"/>
      <c r="W106" s="412"/>
      <c r="X106" s="412"/>
      <c r="Y106" s="412"/>
      <c r="Z106" s="412"/>
      <c r="AA106" s="412"/>
      <c r="AB106" s="412"/>
      <c r="AC106" s="412"/>
      <c r="AD106" s="412"/>
      <c r="AE106" s="412"/>
      <c r="AF106" s="412"/>
      <c r="AG106" s="412"/>
      <c r="AH106" s="412"/>
      <c r="AI106" s="412"/>
      <c r="AJ106" s="412"/>
      <c r="AK106" s="412"/>
      <c r="AL106" s="412"/>
      <c r="AM106" s="412"/>
      <c r="AN106" s="412"/>
      <c r="AO106" s="412"/>
      <c r="AP106" s="412"/>
      <c r="AQ106" s="412"/>
      <c r="AR106" s="412"/>
      <c r="AS106" s="412"/>
      <c r="AT106" s="412"/>
      <c r="AU106" s="412"/>
      <c r="AV106" s="412"/>
      <c r="AW106" s="412"/>
      <c r="AX106" s="412"/>
      <c r="AY106" s="412"/>
      <c r="AZ106" s="412"/>
      <c r="BA106" s="412"/>
      <c r="BB106" s="412"/>
      <c r="BC106" s="412"/>
      <c r="BD106" s="412"/>
      <c r="BE106" s="412"/>
      <c r="BF106" s="412"/>
      <c r="BG106" s="412"/>
      <c r="BH106" s="412"/>
      <c r="BI106" s="412"/>
      <c r="BJ106" s="412"/>
      <c r="BK106" s="412"/>
      <c r="BL106" s="412"/>
      <c r="BM106" s="412"/>
      <c r="BN106" s="412"/>
      <c r="BO106" s="412"/>
      <c r="BP106" s="412"/>
      <c r="BQ106" s="412"/>
      <c r="BR106" s="412"/>
      <c r="BS106" s="412"/>
      <c r="BT106" s="412"/>
      <c r="BU106" s="412"/>
      <c r="BV106" s="412"/>
      <c r="BW106" s="412"/>
      <c r="BX106" s="412"/>
      <c r="BY106" s="412"/>
      <c r="BZ106" s="412"/>
      <c r="CA106" s="412"/>
      <c r="CB106" s="412"/>
      <c r="CC106" s="412"/>
      <c r="CD106" s="412"/>
      <c r="CE106" s="412"/>
      <c r="CF106" s="412"/>
      <c r="CG106" s="412"/>
      <c r="CH106" s="412"/>
      <c r="CI106" s="412"/>
      <c r="CJ106" s="412"/>
      <c r="CK106" s="412"/>
      <c r="CL106" s="412"/>
      <c r="CM106" s="412"/>
      <c r="CN106" s="412"/>
      <c r="CO106" s="412"/>
      <c r="CP106" s="412"/>
      <c r="CQ106" s="412"/>
      <c r="CR106" s="412"/>
      <c r="CS106" s="412"/>
      <c r="CT106" s="412"/>
      <c r="CU106" s="412"/>
      <c r="CV106" s="412"/>
      <c r="CW106" s="412"/>
      <c r="CX106" s="412"/>
      <c r="CY106" s="412"/>
      <c r="CZ106" s="412"/>
      <c r="DA106" s="412"/>
      <c r="DB106" s="412"/>
      <c r="DC106" s="412"/>
      <c r="DD106" s="412"/>
      <c r="DE106" s="412"/>
      <c r="DF106" s="412"/>
      <c r="DG106" s="412"/>
      <c r="DH106" s="412"/>
      <c r="DI106" s="412"/>
      <c r="DJ106" s="412"/>
      <c r="DK106" s="412"/>
      <c r="DL106" s="412"/>
      <c r="DM106" s="412"/>
      <c r="DN106" s="412"/>
      <c r="DO106" s="412"/>
      <c r="DP106" s="412"/>
      <c r="DQ106" s="412"/>
      <c r="DR106" s="412"/>
      <c r="DS106" s="412"/>
      <c r="DT106" s="412"/>
      <c r="DU106" s="412"/>
      <c r="DV106" s="412"/>
      <c r="DW106" s="412"/>
      <c r="DX106" s="412"/>
      <c r="DY106" s="412"/>
      <c r="DZ106" s="412"/>
      <c r="EA106" s="412"/>
      <c r="EB106" s="412"/>
      <c r="EC106" s="412"/>
      <c r="ED106" s="412"/>
      <c r="EE106" s="412"/>
      <c r="EF106" s="412"/>
      <c r="EG106" s="412"/>
      <c r="EH106" s="412"/>
      <c r="EI106" s="412"/>
      <c r="EJ106" s="412"/>
      <c r="EK106" s="412"/>
      <c r="EL106" s="412"/>
      <c r="EM106" s="412"/>
      <c r="EN106" s="412"/>
      <c r="EO106" s="412"/>
      <c r="EP106" s="412"/>
      <c r="EQ106" s="412"/>
      <c r="ER106" s="412"/>
      <c r="ES106" s="412"/>
      <c r="ET106" s="412"/>
      <c r="EU106" s="412"/>
      <c r="EV106" s="412"/>
      <c r="EW106" s="412"/>
      <c r="EX106" s="412"/>
      <c r="EY106" s="412"/>
      <c r="EZ106" s="412"/>
      <c r="FA106" s="412"/>
      <c r="FB106" s="412"/>
      <c r="FC106" s="412"/>
      <c r="FD106" s="412"/>
      <c r="FE106" s="412"/>
      <c r="FF106" s="412"/>
      <c r="FG106" s="412"/>
      <c r="FH106" s="412"/>
      <c r="FI106" s="412"/>
      <c r="FJ106" s="412"/>
      <c r="FK106" s="412"/>
      <c r="FL106" s="412"/>
      <c r="FM106" s="412"/>
      <c r="FN106" s="412"/>
      <c r="FO106" s="412"/>
      <c r="FP106" s="412"/>
      <c r="FQ106" s="412"/>
      <c r="FR106" s="412"/>
      <c r="FS106" s="412"/>
      <c r="FT106" s="412"/>
      <c r="FU106" s="412"/>
      <c r="FV106" s="412"/>
      <c r="FW106" s="412"/>
      <c r="FX106" s="412"/>
      <c r="FY106" s="412"/>
      <c r="FZ106" s="412"/>
      <c r="GA106" s="412"/>
      <c r="GB106" s="412"/>
      <c r="GC106" s="412"/>
      <c r="GD106" s="412"/>
      <c r="GE106" s="412"/>
      <c r="GF106" s="412"/>
      <c r="GG106" s="412"/>
      <c r="GH106" s="412"/>
      <c r="GI106" s="412"/>
      <c r="GJ106" s="412"/>
      <c r="GK106" s="412"/>
      <c r="GL106" s="412"/>
      <c r="GM106" s="412"/>
      <c r="GN106" s="412"/>
      <c r="GO106" s="412"/>
      <c r="GP106" s="412"/>
      <c r="GQ106" s="412"/>
      <c r="GR106" s="412"/>
      <c r="GS106" s="412"/>
      <c r="GT106" s="412"/>
      <c r="GU106" s="412"/>
      <c r="GV106" s="412"/>
      <c r="GW106" s="412"/>
      <c r="GX106" s="412"/>
      <c r="GY106" s="412"/>
      <c r="GZ106" s="412"/>
      <c r="HA106" s="412"/>
      <c r="HB106" s="412"/>
      <c r="HC106" s="412"/>
      <c r="HD106" s="412"/>
      <c r="HE106" s="412"/>
      <c r="HF106" s="412"/>
      <c r="HG106" s="412"/>
      <c r="HH106" s="412"/>
      <c r="HI106" s="412"/>
      <c r="HJ106" s="412"/>
      <c r="HK106" s="412"/>
      <c r="HL106" s="412"/>
      <c r="HM106" s="412"/>
      <c r="HN106" s="412"/>
      <c r="HO106" s="412"/>
      <c r="HP106" s="412"/>
      <c r="HQ106" s="412"/>
      <c r="HR106" s="412"/>
      <c r="HS106" s="412"/>
      <c r="HT106" s="412"/>
      <c r="HU106" s="412"/>
      <c r="HV106" s="412"/>
      <c r="HW106" s="412"/>
      <c r="HX106" s="412"/>
      <c r="HY106" s="412"/>
      <c r="HZ106" s="412"/>
      <c r="IA106" s="412"/>
      <c r="IB106" s="412"/>
      <c r="IC106" s="412"/>
      <c r="ID106" s="412"/>
      <c r="IE106" s="412"/>
      <c r="IF106" s="412"/>
      <c r="IG106" s="412"/>
      <c r="IH106" s="412"/>
      <c r="II106" s="412"/>
      <c r="IJ106" s="412"/>
      <c r="IK106" s="412"/>
      <c r="IL106" s="412"/>
      <c r="IM106" s="412"/>
      <c r="IN106" s="412"/>
      <c r="IO106" s="412"/>
      <c r="IP106" s="412"/>
      <c r="IQ106" s="412"/>
      <c r="IR106" s="412"/>
      <c r="IS106" s="412"/>
      <c r="IT106" s="412"/>
      <c r="IU106" s="412"/>
      <c r="IV106" s="412"/>
      <c r="IW106" s="412"/>
      <c r="IX106" s="412"/>
      <c r="IY106" s="412"/>
      <c r="IZ106" s="412"/>
      <c r="JA106" s="412"/>
      <c r="JB106" s="412"/>
      <c r="JC106" s="412"/>
      <c r="JD106" s="412"/>
      <c r="JE106" s="412"/>
      <c r="JF106" s="412"/>
      <c r="JG106" s="412"/>
      <c r="JH106" s="412"/>
      <c r="JI106" s="412"/>
      <c r="JJ106" s="412"/>
      <c r="JK106" s="412"/>
      <c r="JL106" s="412"/>
      <c r="JM106" s="412"/>
      <c r="JN106" s="412"/>
      <c r="JO106" s="412"/>
      <c r="JP106" s="412"/>
      <c r="JQ106" s="412"/>
      <c r="JR106" s="412"/>
      <c r="JS106" s="412"/>
      <c r="JT106" s="412"/>
      <c r="JU106" s="412"/>
      <c r="JV106" s="412"/>
      <c r="JW106" s="412"/>
      <c r="JX106" s="412"/>
      <c r="JY106" s="412"/>
      <c r="JZ106" s="412"/>
      <c r="KA106" s="412"/>
      <c r="KB106" s="412"/>
      <c r="KC106" s="412"/>
      <c r="KD106" s="412"/>
      <c r="KE106" s="412"/>
      <c r="KF106" s="412"/>
      <c r="KG106" s="412"/>
      <c r="KH106" s="412"/>
      <c r="KI106" s="412"/>
      <c r="KJ106" s="412"/>
      <c r="KK106" s="412"/>
      <c r="KL106" s="412"/>
      <c r="KM106" s="412"/>
      <c r="KN106" s="412"/>
      <c r="KO106" s="412"/>
      <c r="KP106" s="412"/>
      <c r="KQ106" s="412"/>
      <c r="KR106" s="412"/>
      <c r="KS106" s="412"/>
      <c r="KT106" s="412"/>
      <c r="KU106" s="412"/>
      <c r="KV106" s="412"/>
      <c r="KW106" s="412"/>
      <c r="KX106" s="412"/>
      <c r="KY106" s="412"/>
      <c r="KZ106" s="412"/>
      <c r="LA106" s="412"/>
      <c r="LB106" s="412"/>
      <c r="LC106" s="412"/>
      <c r="LD106" s="412"/>
      <c r="LE106" s="412"/>
      <c r="LF106" s="412"/>
      <c r="LG106" s="412"/>
      <c r="LH106" s="412"/>
      <c r="LI106" s="412"/>
      <c r="LJ106" s="412"/>
      <c r="LK106" s="412"/>
      <c r="LL106" s="412"/>
      <c r="LM106" s="412"/>
      <c r="LN106" s="412"/>
      <c r="LO106" s="412"/>
      <c r="LP106" s="412"/>
      <c r="LQ106" s="412"/>
      <c r="LR106" s="412"/>
      <c r="LS106" s="412"/>
      <c r="LT106" s="412"/>
      <c r="LU106" s="412"/>
      <c r="LV106" s="412"/>
      <c r="LW106" s="412"/>
      <c r="LX106" s="412"/>
      <c r="LY106" s="412"/>
      <c r="LZ106" s="412"/>
      <c r="MA106" s="412"/>
      <c r="MB106" s="412"/>
      <c r="MC106" s="412"/>
      <c r="MD106" s="412"/>
      <c r="ME106" s="412"/>
      <c r="MF106" s="412"/>
      <c r="MG106" s="412"/>
      <c r="MH106" s="412"/>
      <c r="MI106" s="412"/>
      <c r="MJ106" s="412"/>
      <c r="MK106" s="412"/>
      <c r="ML106" s="412"/>
      <c r="MM106" s="412"/>
      <c r="MN106" s="412"/>
      <c r="MO106" s="412"/>
      <c r="MP106" s="412"/>
      <c r="MQ106" s="412"/>
      <c r="MR106" s="412"/>
      <c r="MS106" s="412"/>
      <c r="MT106" s="412"/>
      <c r="MU106" s="412"/>
      <c r="MV106" s="412"/>
      <c r="MW106" s="412"/>
      <c r="MX106" s="412"/>
      <c r="MY106" s="412"/>
      <c r="MZ106" s="412"/>
      <c r="NA106" s="412"/>
      <c r="NB106" s="412"/>
      <c r="NC106" s="412"/>
      <c r="ND106" s="412"/>
      <c r="NE106" s="412"/>
      <c r="NF106" s="412"/>
      <c r="NG106" s="412"/>
      <c r="NH106" s="412"/>
      <c r="NI106" s="412"/>
      <c r="NJ106" s="412"/>
      <c r="NK106" s="412"/>
      <c r="NL106" s="412"/>
      <c r="NM106" s="412"/>
      <c r="NN106" s="412"/>
      <c r="NO106" s="412"/>
      <c r="NP106" s="412"/>
      <c r="NQ106" s="412"/>
      <c r="NR106" s="412"/>
      <c r="NS106" s="412"/>
      <c r="NT106" s="412"/>
      <c r="NU106" s="412"/>
      <c r="NV106" s="412"/>
      <c r="NW106" s="412"/>
      <c r="NX106" s="412"/>
      <c r="NY106" s="412"/>
      <c r="NZ106" s="412"/>
      <c r="OA106" s="412"/>
      <c r="OB106" s="412"/>
      <c r="OC106" s="412"/>
      <c r="OD106" s="412"/>
      <c r="OE106" s="412"/>
      <c r="OF106" s="412"/>
      <c r="OG106" s="412"/>
      <c r="OH106" s="412"/>
      <c r="OI106" s="412"/>
      <c r="OJ106" s="412"/>
      <c r="OK106" s="412"/>
      <c r="OL106" s="412"/>
      <c r="OM106" s="412"/>
      <c r="ON106" s="412"/>
      <c r="OO106" s="412"/>
      <c r="OP106" s="412"/>
      <c r="OQ106" s="412"/>
      <c r="OR106" s="412"/>
      <c r="OS106" s="412"/>
      <c r="OT106" s="412"/>
      <c r="OU106" s="412"/>
      <c r="OV106" s="412"/>
      <c r="OW106" s="412"/>
      <c r="OX106" s="412"/>
      <c r="OY106" s="412"/>
      <c r="OZ106" s="412"/>
      <c r="PA106" s="412"/>
      <c r="PB106" s="412"/>
      <c r="PC106" s="412"/>
      <c r="PD106" s="412"/>
      <c r="PE106" s="412"/>
      <c r="PF106" s="412"/>
      <c r="PG106" s="412"/>
      <c r="PH106" s="412"/>
      <c r="PI106" s="412"/>
      <c r="PJ106" s="412"/>
      <c r="PK106" s="412"/>
      <c r="PL106" s="412"/>
      <c r="PM106" s="412"/>
      <c r="PN106" s="412"/>
      <c r="PO106" s="412"/>
      <c r="PP106" s="412"/>
      <c r="PQ106" s="412"/>
      <c r="PR106" s="412"/>
      <c r="PS106" s="412"/>
      <c r="PT106" s="412"/>
      <c r="PU106" s="412"/>
      <c r="PV106" s="412"/>
      <c r="PW106" s="412"/>
      <c r="PX106" s="412"/>
      <c r="PY106" s="412"/>
      <c r="PZ106" s="412"/>
      <c r="QA106" s="412"/>
      <c r="QB106" s="412"/>
      <c r="QC106" s="412"/>
      <c r="QD106" s="412"/>
      <c r="QE106" s="412"/>
      <c r="QF106" s="412"/>
      <c r="QG106" s="412"/>
      <c r="QH106" s="412"/>
      <c r="QI106" s="412"/>
      <c r="QJ106" s="412"/>
      <c r="QK106" s="412"/>
      <c r="QL106" s="412"/>
      <c r="QM106" s="412"/>
      <c r="QN106" s="412"/>
      <c r="QO106" s="412"/>
      <c r="QP106" s="412"/>
      <c r="QQ106" s="412"/>
      <c r="QR106" s="412"/>
      <c r="QS106" s="412"/>
      <c r="QT106" s="412"/>
      <c r="QU106" s="412"/>
      <c r="QV106" s="412"/>
      <c r="QW106" s="412"/>
      <c r="QX106" s="412"/>
      <c r="QY106" s="412"/>
      <c r="QZ106" s="412"/>
      <c r="RA106" s="412"/>
      <c r="RB106" s="412"/>
      <c r="RC106" s="412"/>
      <c r="RD106" s="412"/>
      <c r="RE106" s="412"/>
      <c r="RF106" s="412"/>
      <c r="RG106" s="412"/>
      <c r="RH106" s="412"/>
      <c r="RI106" s="412"/>
      <c r="RJ106" s="412"/>
      <c r="RK106" s="412"/>
      <c r="RL106" s="412"/>
      <c r="RM106" s="412"/>
      <c r="RN106" s="412"/>
      <c r="RO106" s="412"/>
      <c r="RP106" s="412"/>
      <c r="RQ106" s="412"/>
      <c r="RR106" s="412"/>
      <c r="RS106" s="412"/>
      <c r="RT106" s="412"/>
      <c r="RU106" s="412"/>
      <c r="RV106" s="412"/>
      <c r="RW106" s="412"/>
      <c r="RX106" s="412"/>
      <c r="RY106" s="412"/>
      <c r="RZ106" s="412"/>
      <c r="SA106" s="412"/>
      <c r="SB106" s="412"/>
      <c r="SC106" s="412"/>
      <c r="SD106" s="412"/>
      <c r="SE106" s="412"/>
      <c r="SF106" s="412"/>
      <c r="SG106" s="412"/>
      <c r="SH106" s="412"/>
      <c r="SI106" s="412"/>
      <c r="SJ106" s="412"/>
      <c r="SK106" s="412"/>
      <c r="SL106" s="412"/>
      <c r="SM106" s="412"/>
      <c r="SN106" s="412"/>
      <c r="SO106" s="412"/>
      <c r="SP106" s="412"/>
      <c r="SQ106" s="412"/>
      <c r="SR106" s="412"/>
      <c r="SS106" s="412"/>
      <c r="ST106" s="412"/>
      <c r="SU106" s="412"/>
      <c r="SV106" s="412"/>
      <c r="SW106" s="412"/>
      <c r="SX106" s="412"/>
      <c r="SY106" s="412"/>
      <c r="SZ106" s="412"/>
      <c r="TA106" s="412"/>
      <c r="TB106" s="412"/>
      <c r="TC106" s="412"/>
      <c r="TD106" s="412"/>
      <c r="TE106" s="412"/>
      <c r="TF106" s="412"/>
      <c r="TG106" s="412"/>
      <c r="TH106" s="412"/>
      <c r="TI106" s="412"/>
      <c r="TJ106" s="412"/>
      <c r="TK106" s="412"/>
      <c r="TL106" s="412"/>
      <c r="TM106" s="412"/>
      <c r="TN106" s="412"/>
      <c r="TO106" s="412"/>
      <c r="TP106" s="412"/>
      <c r="TQ106" s="412"/>
      <c r="TR106" s="412"/>
      <c r="TS106" s="412"/>
      <c r="TT106" s="412"/>
      <c r="TU106" s="412"/>
      <c r="TV106" s="412"/>
      <c r="TW106" s="412"/>
      <c r="TX106" s="412"/>
      <c r="TY106" s="412"/>
      <c r="TZ106" s="412"/>
      <c r="UA106" s="412"/>
      <c r="UB106" s="412"/>
      <c r="UC106" s="412"/>
      <c r="UD106" s="412"/>
      <c r="UE106" s="412"/>
      <c r="UF106" s="412"/>
      <c r="UG106" s="412"/>
      <c r="UH106" s="412"/>
      <c r="UI106" s="412"/>
      <c r="UJ106" s="412"/>
      <c r="UK106" s="412"/>
      <c r="UL106" s="412"/>
      <c r="UM106" s="412"/>
      <c r="UN106" s="412"/>
      <c r="UO106" s="412"/>
      <c r="UP106" s="412"/>
      <c r="UQ106" s="412"/>
      <c r="UR106" s="412"/>
      <c r="US106" s="412"/>
      <c r="UT106" s="412"/>
      <c r="UU106" s="412"/>
      <c r="UV106" s="412"/>
      <c r="UW106" s="412"/>
      <c r="UX106" s="412"/>
      <c r="UY106" s="412"/>
      <c r="UZ106" s="412"/>
      <c r="VA106" s="412"/>
      <c r="VB106" s="412"/>
      <c r="VC106" s="412"/>
      <c r="VD106" s="412"/>
      <c r="VE106" s="412"/>
      <c r="VF106" s="412"/>
      <c r="VG106" s="412"/>
      <c r="VH106" s="412"/>
      <c r="VI106" s="412"/>
      <c r="VJ106" s="412"/>
      <c r="VK106" s="412"/>
      <c r="VL106" s="412"/>
      <c r="VM106" s="412"/>
      <c r="VN106" s="412"/>
      <c r="VO106" s="412"/>
      <c r="VP106" s="412"/>
      <c r="VQ106" s="412"/>
      <c r="VR106" s="412"/>
      <c r="VS106" s="412"/>
      <c r="VT106" s="412"/>
      <c r="VU106" s="412"/>
      <c r="VV106" s="412"/>
      <c r="VW106" s="412"/>
      <c r="VX106" s="412"/>
      <c r="VY106" s="412"/>
      <c r="VZ106" s="412"/>
      <c r="WA106" s="412"/>
      <c r="WB106" s="412"/>
      <c r="WC106" s="412"/>
      <c r="WD106" s="412"/>
      <c r="WE106" s="412"/>
      <c r="WF106" s="412"/>
      <c r="WG106" s="412"/>
      <c r="WH106" s="412"/>
      <c r="WI106" s="412"/>
      <c r="WJ106" s="412"/>
      <c r="WK106" s="412"/>
      <c r="WL106" s="412"/>
      <c r="WM106" s="412"/>
      <c r="WN106" s="412"/>
      <c r="WO106" s="412"/>
      <c r="WP106" s="412"/>
      <c r="WQ106" s="412"/>
      <c r="WR106" s="412"/>
      <c r="WS106" s="412"/>
      <c r="WT106" s="412"/>
      <c r="WU106" s="412"/>
      <c r="WV106" s="412"/>
      <c r="WW106" s="412"/>
      <c r="WX106" s="412"/>
      <c r="WY106" s="412"/>
      <c r="WZ106" s="412"/>
      <c r="XA106" s="412"/>
      <c r="XB106" s="412"/>
      <c r="XC106" s="412"/>
      <c r="XD106" s="412"/>
      <c r="XE106" s="412"/>
      <c r="XF106" s="412"/>
      <c r="XG106" s="412"/>
      <c r="XH106" s="412"/>
      <c r="XI106" s="412"/>
      <c r="XJ106" s="412"/>
      <c r="XK106" s="412"/>
      <c r="XL106" s="412"/>
      <c r="XM106" s="412"/>
      <c r="XN106" s="412"/>
      <c r="XO106" s="412"/>
      <c r="XP106" s="412"/>
      <c r="XQ106" s="412"/>
      <c r="XR106" s="412"/>
      <c r="XS106" s="412"/>
      <c r="XT106" s="412"/>
      <c r="XU106" s="412"/>
      <c r="XV106" s="412"/>
      <c r="XW106" s="412"/>
      <c r="XX106" s="412"/>
      <c r="XY106" s="412"/>
      <c r="XZ106" s="412"/>
      <c r="YA106" s="412"/>
      <c r="YB106" s="412"/>
      <c r="YC106" s="412"/>
      <c r="YD106" s="412"/>
      <c r="YE106" s="412"/>
      <c r="YF106" s="412"/>
      <c r="YG106" s="412"/>
      <c r="YH106" s="412"/>
      <c r="YI106" s="412"/>
      <c r="YJ106" s="412"/>
      <c r="YK106" s="412"/>
      <c r="YL106" s="412"/>
      <c r="YM106" s="412"/>
      <c r="YN106" s="412"/>
      <c r="YO106" s="412"/>
      <c r="YP106" s="412"/>
      <c r="YQ106" s="412"/>
      <c r="YR106" s="412"/>
      <c r="YS106" s="412"/>
      <c r="YT106" s="412"/>
      <c r="YU106" s="412"/>
      <c r="YV106" s="412"/>
      <c r="YW106" s="412"/>
      <c r="YX106" s="412"/>
      <c r="YY106" s="412"/>
      <c r="YZ106" s="412"/>
      <c r="ZA106" s="412"/>
      <c r="ZB106" s="412"/>
      <c r="ZC106" s="412"/>
      <c r="ZD106" s="412"/>
      <c r="ZE106" s="412"/>
      <c r="ZF106" s="412"/>
      <c r="ZG106" s="412"/>
      <c r="ZH106" s="412"/>
      <c r="ZI106" s="412"/>
      <c r="ZJ106" s="412"/>
      <c r="ZK106" s="412"/>
      <c r="ZL106" s="412"/>
      <c r="ZM106" s="412"/>
      <c r="ZN106" s="412"/>
      <c r="ZO106" s="412"/>
      <c r="ZP106" s="412"/>
      <c r="ZQ106" s="412"/>
      <c r="ZR106" s="412"/>
      <c r="ZS106" s="412"/>
      <c r="ZT106" s="412"/>
      <c r="ZU106" s="412"/>
      <c r="ZV106" s="412"/>
      <c r="ZW106" s="412"/>
      <c r="ZX106" s="412"/>
      <c r="ZY106" s="412"/>
      <c r="ZZ106" s="412"/>
      <c r="AAA106" s="412"/>
      <c r="AAB106" s="412"/>
      <c r="AAC106" s="412"/>
      <c r="AAD106" s="412"/>
      <c r="AAE106" s="412"/>
      <c r="AAF106" s="412"/>
      <c r="AAG106" s="412"/>
      <c r="AAH106" s="412"/>
      <c r="AAI106" s="412"/>
      <c r="AAJ106" s="412"/>
      <c r="AAK106" s="412"/>
      <c r="AAL106" s="412"/>
      <c r="AAM106" s="412"/>
      <c r="AAN106" s="412"/>
      <c r="AAO106" s="412"/>
      <c r="AAP106" s="412"/>
      <c r="AAQ106" s="412"/>
      <c r="AAR106" s="412"/>
      <c r="AAS106" s="412"/>
      <c r="AAT106" s="412"/>
      <c r="AAU106" s="412"/>
      <c r="AAV106" s="412"/>
      <c r="AAW106" s="412"/>
      <c r="AAX106" s="412"/>
      <c r="AAY106" s="412"/>
      <c r="AAZ106" s="412"/>
      <c r="ABA106" s="412"/>
      <c r="ABB106" s="412"/>
      <c r="ABC106" s="412"/>
      <c r="ABD106" s="412"/>
      <c r="ABE106" s="412"/>
      <c r="ABF106" s="412"/>
      <c r="ABG106" s="412"/>
      <c r="ABH106" s="412"/>
      <c r="ABI106" s="412"/>
      <c r="ABJ106" s="412"/>
      <c r="ABK106" s="412"/>
      <c r="ABL106" s="412"/>
      <c r="ABM106" s="412"/>
      <c r="ABN106" s="412"/>
      <c r="ABO106" s="412"/>
      <c r="ABP106" s="412"/>
      <c r="ABQ106" s="412"/>
      <c r="ABR106" s="412"/>
      <c r="ABS106" s="412"/>
      <c r="ABT106" s="412"/>
      <c r="ABU106" s="412"/>
      <c r="ABV106" s="412"/>
      <c r="ABW106" s="412"/>
      <c r="ABX106" s="412"/>
      <c r="ABY106" s="412"/>
      <c r="ABZ106" s="412"/>
      <c r="ACA106" s="412"/>
      <c r="ACB106" s="412"/>
      <c r="ACC106" s="412"/>
      <c r="ACD106" s="412"/>
      <c r="ACE106" s="412"/>
      <c r="ACF106" s="412"/>
      <c r="ACG106" s="412"/>
      <c r="ACH106" s="412"/>
      <c r="ACI106" s="412"/>
      <c r="ACJ106" s="412"/>
      <c r="ACK106" s="412"/>
      <c r="ACL106" s="412"/>
      <c r="ACM106" s="412"/>
      <c r="ACN106" s="412"/>
      <c r="ACO106" s="412"/>
      <c r="ACP106" s="412"/>
      <c r="ACQ106" s="412"/>
      <c r="ACR106" s="412"/>
      <c r="ACS106" s="412"/>
      <c r="ACT106" s="412"/>
      <c r="ACU106" s="412"/>
      <c r="ACV106" s="412"/>
      <c r="ACW106" s="412"/>
      <c r="ACX106" s="412"/>
      <c r="ACY106" s="412"/>
      <c r="ACZ106" s="412"/>
      <c r="ADA106" s="412"/>
      <c r="ADB106" s="412"/>
      <c r="ADC106" s="412"/>
      <c r="ADD106" s="412"/>
      <c r="ADE106" s="412"/>
      <c r="ADF106" s="412"/>
      <c r="ADG106" s="412"/>
      <c r="ADH106" s="412"/>
      <c r="ADI106" s="412"/>
      <c r="ADJ106" s="412"/>
      <c r="ADK106" s="412"/>
      <c r="ADL106" s="412"/>
      <c r="ADM106" s="412"/>
      <c r="ADN106" s="412"/>
      <c r="ADO106" s="412"/>
      <c r="ADP106" s="412"/>
      <c r="ADQ106" s="412"/>
      <c r="ADR106" s="412"/>
      <c r="ADS106" s="412"/>
      <c r="ADT106" s="412"/>
      <c r="ADU106" s="412"/>
      <c r="ADV106" s="412"/>
      <c r="ADW106" s="412"/>
      <c r="ADX106" s="412"/>
      <c r="ADY106" s="412"/>
      <c r="ADZ106" s="412"/>
      <c r="AEA106" s="412"/>
      <c r="AEB106" s="412"/>
      <c r="AEC106" s="412"/>
      <c r="AED106" s="412"/>
      <c r="AEE106" s="412"/>
      <c r="AEF106" s="412"/>
      <c r="AEG106" s="412"/>
      <c r="AEH106" s="412"/>
      <c r="AEI106" s="412"/>
      <c r="AEJ106" s="412"/>
      <c r="AEK106" s="412"/>
      <c r="AEL106" s="412"/>
      <c r="AEM106" s="412"/>
      <c r="AEN106" s="412"/>
      <c r="AEO106" s="412"/>
      <c r="AEP106" s="412"/>
      <c r="AEQ106" s="412"/>
      <c r="AER106" s="412"/>
      <c r="AES106" s="412"/>
      <c r="AET106" s="412"/>
      <c r="AEU106" s="412"/>
      <c r="AEV106" s="412"/>
      <c r="AEW106" s="412"/>
      <c r="AEX106" s="412"/>
      <c r="AEY106" s="412"/>
      <c r="AEZ106" s="412"/>
      <c r="AFA106" s="412"/>
      <c r="AFB106" s="412"/>
      <c r="AFC106" s="412"/>
      <c r="AFD106" s="412"/>
      <c r="AFE106" s="412"/>
      <c r="AFF106" s="412"/>
      <c r="AFG106" s="412"/>
      <c r="AFH106" s="412"/>
      <c r="AFI106" s="412"/>
      <c r="AFJ106" s="412"/>
      <c r="AFK106" s="412"/>
      <c r="AFL106" s="412"/>
      <c r="AFM106" s="412"/>
      <c r="AFN106" s="412"/>
      <c r="AFO106" s="412"/>
      <c r="AFP106" s="412"/>
      <c r="AFQ106" s="412"/>
      <c r="AFR106" s="412"/>
      <c r="AFS106" s="412"/>
      <c r="AFT106" s="412"/>
      <c r="AFU106" s="412"/>
      <c r="AFV106" s="412"/>
      <c r="AFW106" s="412"/>
      <c r="AFX106" s="412"/>
      <c r="AFY106" s="412"/>
      <c r="AFZ106" s="412"/>
      <c r="AGA106" s="412"/>
      <c r="AGB106" s="412"/>
      <c r="AGC106" s="412"/>
      <c r="AGD106" s="412"/>
      <c r="AGE106" s="412"/>
      <c r="AGF106" s="412"/>
      <c r="AGG106" s="412"/>
      <c r="AGH106" s="412"/>
      <c r="AGI106" s="412"/>
      <c r="AGJ106" s="412"/>
      <c r="AGK106" s="412"/>
      <c r="AGL106" s="412"/>
      <c r="AGM106" s="412"/>
      <c r="AGN106" s="412"/>
      <c r="AGO106" s="412"/>
      <c r="AGP106" s="412"/>
      <c r="AGQ106" s="412"/>
      <c r="AGR106" s="412"/>
      <c r="AGS106" s="412"/>
      <c r="AGT106" s="412"/>
      <c r="AGU106" s="412"/>
      <c r="AGV106" s="412"/>
      <c r="AGW106" s="412"/>
      <c r="AGX106" s="412"/>
      <c r="AGY106" s="412"/>
      <c r="AGZ106" s="412"/>
      <c r="AHA106" s="412"/>
      <c r="AHB106" s="412"/>
      <c r="AHC106" s="412"/>
      <c r="AHD106" s="412"/>
      <c r="AHE106" s="412"/>
      <c r="AHF106" s="412"/>
      <c r="AHG106" s="412"/>
      <c r="AHH106" s="412"/>
      <c r="AHI106" s="412"/>
      <c r="AHJ106" s="412"/>
      <c r="AHK106" s="412"/>
      <c r="AHL106" s="412"/>
      <c r="AHM106" s="412"/>
      <c r="AHN106" s="412"/>
      <c r="AHO106" s="412"/>
      <c r="AHP106" s="412"/>
      <c r="AHQ106" s="412"/>
      <c r="AHR106" s="412"/>
      <c r="AHS106" s="412"/>
      <c r="AHT106" s="412"/>
      <c r="AHU106" s="412"/>
      <c r="AHV106" s="412"/>
      <c r="AHW106" s="412"/>
      <c r="AHX106" s="412"/>
      <c r="AHY106" s="412"/>
      <c r="AHZ106" s="412"/>
      <c r="AIA106" s="412"/>
      <c r="AIB106" s="412"/>
      <c r="AIC106" s="412"/>
      <c r="AID106" s="412"/>
      <c r="AIE106" s="412"/>
      <c r="AIF106" s="412"/>
      <c r="AIG106" s="412"/>
      <c r="AIH106" s="412"/>
      <c r="AII106" s="412"/>
      <c r="AIJ106" s="412"/>
      <c r="AIK106" s="412"/>
      <c r="AIL106" s="412"/>
      <c r="AIM106" s="412"/>
      <c r="AIN106" s="412"/>
      <c r="AIO106" s="412"/>
      <c r="AIP106" s="412"/>
      <c r="AIQ106" s="412"/>
      <c r="AIR106" s="412"/>
      <c r="AIS106" s="412"/>
      <c r="AIT106" s="412"/>
      <c r="AIU106" s="412"/>
      <c r="AIV106" s="412"/>
      <c r="AIW106" s="412"/>
      <c r="AIX106" s="412"/>
      <c r="AIY106" s="412"/>
      <c r="AIZ106" s="412"/>
      <c r="AJA106" s="412"/>
      <c r="AJB106" s="412"/>
      <c r="AJC106" s="412"/>
      <c r="AJD106" s="412"/>
      <c r="AJE106" s="412"/>
      <c r="AJF106" s="412"/>
      <c r="AJG106" s="412"/>
      <c r="AJH106" s="412"/>
      <c r="AJI106" s="412"/>
      <c r="AJJ106" s="412"/>
      <c r="AJK106" s="412"/>
      <c r="AJL106" s="412"/>
      <c r="AJM106" s="412"/>
      <c r="AJN106" s="412"/>
      <c r="AJO106" s="412"/>
      <c r="AJP106" s="412"/>
      <c r="AJQ106" s="412"/>
      <c r="AJR106" s="412"/>
      <c r="AJS106" s="412"/>
      <c r="AJT106" s="412"/>
      <c r="AJU106" s="412"/>
      <c r="AJV106" s="412"/>
      <c r="AJW106" s="412"/>
      <c r="AJX106" s="412"/>
      <c r="AJY106" s="412"/>
      <c r="AJZ106" s="412"/>
      <c r="AKA106" s="412"/>
      <c r="AKB106" s="412"/>
      <c r="AKC106" s="412"/>
      <c r="AKD106" s="412"/>
      <c r="AKE106" s="412"/>
      <c r="AKF106" s="412"/>
      <c r="AKG106" s="412"/>
      <c r="AKH106" s="412"/>
      <c r="AKI106" s="412"/>
      <c r="AKJ106" s="412"/>
      <c r="AKK106" s="412"/>
      <c r="AKL106" s="412"/>
      <c r="AKM106" s="412"/>
      <c r="AKN106" s="412"/>
      <c r="AKO106" s="412"/>
      <c r="AKP106" s="412"/>
      <c r="AKQ106" s="412"/>
      <c r="AKR106" s="412"/>
      <c r="AKS106" s="412"/>
      <c r="AKT106" s="412"/>
      <c r="AKU106" s="412"/>
      <c r="AKV106" s="412"/>
      <c r="AKW106" s="412"/>
      <c r="AKX106" s="412"/>
      <c r="AKY106" s="412"/>
      <c r="AKZ106" s="412"/>
      <c r="ALA106" s="412"/>
      <c r="ALB106" s="412"/>
      <c r="ALC106" s="412"/>
      <c r="ALD106" s="412"/>
      <c r="ALE106" s="412"/>
      <c r="ALF106" s="412"/>
      <c r="ALG106" s="412"/>
      <c r="ALH106" s="412"/>
      <c r="ALI106" s="412"/>
      <c r="ALJ106" s="412"/>
      <c r="ALK106" s="412"/>
      <c r="ALL106" s="412"/>
      <c r="ALM106" s="412"/>
      <c r="ALN106" s="412"/>
      <c r="ALO106" s="412"/>
      <c r="ALP106" s="412"/>
      <c r="ALQ106" s="412"/>
      <c r="ALR106" s="412"/>
      <c r="ALS106" s="412"/>
      <c r="ALT106" s="412"/>
      <c r="ALU106" s="412"/>
      <c r="ALV106" s="412"/>
      <c r="ALW106" s="412"/>
      <c r="ALX106" s="412"/>
      <c r="ALY106" s="412"/>
      <c r="ALZ106" s="412"/>
      <c r="AMA106" s="412"/>
      <c r="AMB106" s="412"/>
      <c r="AMC106" s="412"/>
      <c r="AMD106" s="412"/>
      <c r="AME106" s="412"/>
      <c r="AMF106" s="412"/>
      <c r="AMG106" s="412"/>
      <c r="AMH106" s="412"/>
      <c r="AMI106" s="412"/>
      <c r="AMJ106" s="412"/>
      <c r="AMK106" s="412"/>
      <c r="AML106" s="412"/>
      <c r="AMM106" s="412"/>
      <c r="AMN106" s="412"/>
      <c r="AMO106" s="412"/>
      <c r="AMP106" s="412"/>
      <c r="AMQ106" s="412"/>
      <c r="AMR106" s="412"/>
      <c r="AMS106" s="412"/>
      <c r="AMT106" s="412"/>
      <c r="AMU106" s="412"/>
      <c r="AMV106" s="412"/>
      <c r="AMW106" s="412"/>
      <c r="AMX106" s="412"/>
      <c r="AMY106" s="412"/>
      <c r="AMZ106" s="412"/>
      <c r="ANA106" s="412"/>
      <c r="ANB106" s="412"/>
      <c r="ANC106" s="412"/>
      <c r="AND106" s="412"/>
      <c r="ANE106" s="412"/>
      <c r="ANF106" s="412"/>
      <c r="ANG106" s="412"/>
      <c r="ANH106" s="412"/>
      <c r="ANI106" s="412"/>
      <c r="ANJ106" s="412"/>
      <c r="ANK106" s="412"/>
      <c r="ANL106" s="412"/>
      <c r="ANM106" s="412"/>
      <c r="ANN106" s="412"/>
      <c r="ANO106" s="412"/>
      <c r="ANP106" s="412"/>
      <c r="ANQ106" s="412"/>
      <c r="ANR106" s="412"/>
      <c r="ANS106" s="412"/>
      <c r="ANT106" s="412"/>
      <c r="ANU106" s="412"/>
      <c r="ANV106" s="412"/>
      <c r="ANW106" s="412"/>
      <c r="ANX106" s="412"/>
      <c r="ANY106" s="412"/>
      <c r="ANZ106" s="412"/>
      <c r="AOA106" s="412"/>
      <c r="AOB106" s="412"/>
      <c r="AOC106" s="412"/>
      <c r="AOD106" s="412"/>
      <c r="AOE106" s="412"/>
      <c r="AOF106" s="412"/>
      <c r="AOG106" s="412"/>
      <c r="AOH106" s="412"/>
      <c r="AOI106" s="412"/>
      <c r="AOJ106" s="412"/>
      <c r="AOK106" s="412"/>
      <c r="AOL106" s="412"/>
      <c r="AOM106" s="412"/>
      <c r="AON106" s="412"/>
      <c r="AOO106" s="412"/>
      <c r="AOP106" s="412"/>
      <c r="AOQ106" s="412"/>
      <c r="AOR106" s="412"/>
      <c r="AOS106" s="412"/>
      <c r="AOT106" s="412"/>
      <c r="AOU106" s="412"/>
      <c r="AOV106" s="412"/>
      <c r="AOW106" s="412"/>
      <c r="AOX106" s="412"/>
      <c r="AOY106" s="412"/>
      <c r="AOZ106" s="412"/>
      <c r="APA106" s="412"/>
      <c r="APB106" s="412"/>
      <c r="APC106" s="412"/>
      <c r="APD106" s="412"/>
      <c r="APE106" s="412"/>
      <c r="APF106" s="412"/>
      <c r="APG106" s="412"/>
      <c r="APH106" s="412"/>
      <c r="API106" s="412"/>
      <c r="APJ106" s="412"/>
      <c r="APK106" s="412"/>
      <c r="APL106" s="412"/>
      <c r="APM106" s="412"/>
      <c r="APN106" s="412"/>
      <c r="APO106" s="412"/>
      <c r="APP106" s="412"/>
      <c r="APQ106" s="412"/>
      <c r="APR106" s="412"/>
      <c r="APS106" s="412"/>
      <c r="APT106" s="412"/>
      <c r="APU106" s="412"/>
      <c r="APV106" s="412"/>
      <c r="APW106" s="412"/>
      <c r="APX106" s="412"/>
      <c r="APY106" s="412"/>
      <c r="APZ106" s="412"/>
      <c r="AQA106" s="412"/>
      <c r="AQB106" s="412"/>
      <c r="AQC106" s="412"/>
      <c r="AQD106" s="412"/>
      <c r="AQE106" s="412"/>
      <c r="AQF106" s="412"/>
      <c r="AQG106" s="412"/>
      <c r="AQH106" s="412"/>
      <c r="AQI106" s="412"/>
      <c r="AQJ106" s="412"/>
      <c r="AQK106" s="412"/>
      <c r="AQL106" s="412"/>
      <c r="AQM106" s="412"/>
      <c r="AQN106" s="412"/>
      <c r="AQO106" s="412"/>
      <c r="AQP106" s="412"/>
      <c r="AQQ106" s="412"/>
      <c r="AQR106" s="412"/>
      <c r="AQS106" s="412"/>
      <c r="AQT106" s="412"/>
      <c r="AQU106" s="412"/>
      <c r="AQV106" s="412"/>
      <c r="AQW106" s="412"/>
      <c r="AQX106" s="412"/>
      <c r="AQY106" s="412"/>
      <c r="AQZ106" s="412"/>
      <c r="ARA106" s="412"/>
      <c r="ARB106" s="412"/>
      <c r="ARC106" s="412"/>
      <c r="ARD106" s="412"/>
      <c r="ARE106" s="412"/>
      <c r="ARF106" s="412"/>
      <c r="ARG106" s="412"/>
      <c r="ARH106" s="412"/>
      <c r="ARI106" s="412"/>
      <c r="ARJ106" s="412"/>
      <c r="ARK106" s="412"/>
      <c r="ARL106" s="412"/>
      <c r="ARM106" s="412"/>
      <c r="ARN106" s="412"/>
      <c r="ARO106" s="412"/>
      <c r="ARP106" s="412"/>
      <c r="ARQ106" s="412"/>
      <c r="ARR106" s="412"/>
      <c r="ARS106" s="412"/>
      <c r="ART106" s="412"/>
      <c r="ARU106" s="412"/>
      <c r="ARV106" s="412"/>
      <c r="ARW106" s="412"/>
      <c r="ARX106" s="412"/>
      <c r="ARY106" s="412"/>
      <c r="ARZ106" s="412"/>
      <c r="ASA106" s="412"/>
      <c r="ASB106" s="412"/>
      <c r="ASC106" s="412"/>
      <c r="ASD106" s="412"/>
      <c r="ASE106" s="412"/>
      <c r="ASF106" s="412"/>
      <c r="ASG106" s="412"/>
      <c r="ASH106" s="412"/>
      <c r="ASI106" s="412"/>
      <c r="ASJ106" s="412"/>
      <c r="ASK106" s="412"/>
      <c r="ASL106" s="412"/>
      <c r="ASM106" s="412"/>
      <c r="ASN106" s="412"/>
      <c r="ASO106" s="412"/>
      <c r="ASP106" s="412"/>
      <c r="ASQ106" s="412"/>
      <c r="ASR106" s="412"/>
      <c r="ASS106" s="412"/>
      <c r="AST106" s="412"/>
      <c r="ASU106" s="412"/>
      <c r="ASV106" s="412"/>
      <c r="ASW106" s="412"/>
      <c r="ASX106" s="412"/>
      <c r="ASY106" s="412"/>
      <c r="ASZ106" s="412"/>
      <c r="ATA106" s="412"/>
      <c r="ATB106" s="412"/>
      <c r="ATC106" s="412"/>
      <c r="ATD106" s="412"/>
      <c r="ATE106" s="412"/>
      <c r="ATF106" s="412"/>
      <c r="ATG106" s="412"/>
      <c r="ATH106" s="412"/>
      <c r="ATI106" s="412"/>
      <c r="ATJ106" s="412"/>
      <c r="ATK106" s="412"/>
      <c r="ATL106" s="412"/>
      <c r="ATM106" s="412"/>
      <c r="ATN106" s="412"/>
      <c r="ATO106" s="412"/>
      <c r="ATP106" s="412"/>
      <c r="ATQ106" s="412"/>
      <c r="ATR106" s="412"/>
      <c r="ATS106" s="412"/>
      <c r="ATT106" s="412"/>
      <c r="ATU106" s="412"/>
      <c r="ATV106" s="412"/>
      <c r="ATW106" s="412"/>
      <c r="ATX106" s="412"/>
      <c r="ATY106" s="412"/>
      <c r="ATZ106" s="412"/>
      <c r="AUA106" s="412"/>
      <c r="AUB106" s="412"/>
      <c r="AUC106" s="412"/>
      <c r="AUD106" s="412"/>
      <c r="AUE106" s="412"/>
      <c r="AUF106" s="412"/>
      <c r="AUG106" s="412"/>
      <c r="AUH106" s="412"/>
      <c r="AUI106" s="412"/>
      <c r="AUJ106" s="412"/>
      <c r="AUK106" s="412"/>
      <c r="AUL106" s="412"/>
      <c r="AUM106" s="412"/>
      <c r="AUN106" s="412"/>
      <c r="AUO106" s="412"/>
      <c r="AUP106" s="412"/>
      <c r="AUQ106" s="412"/>
      <c r="AUR106" s="412"/>
      <c r="AUS106" s="412"/>
      <c r="AUT106" s="412"/>
      <c r="AUU106" s="412"/>
      <c r="AUV106" s="412"/>
      <c r="AUW106" s="412"/>
      <c r="AUX106" s="412"/>
      <c r="AUY106" s="412"/>
      <c r="AUZ106" s="412"/>
      <c r="AVA106" s="412"/>
      <c r="AVB106" s="412"/>
      <c r="AVC106" s="412"/>
      <c r="AVD106" s="412"/>
      <c r="AVE106" s="412"/>
      <c r="AVF106" s="412"/>
      <c r="AVG106" s="412"/>
      <c r="AVH106" s="412"/>
      <c r="AVI106" s="412"/>
      <c r="AVJ106" s="412"/>
      <c r="AVK106" s="412"/>
      <c r="AVL106" s="412"/>
      <c r="AVM106" s="412"/>
      <c r="AVN106" s="412"/>
      <c r="AVO106" s="412"/>
      <c r="AVP106" s="412"/>
      <c r="AVQ106" s="412"/>
      <c r="AVR106" s="412"/>
      <c r="AVS106" s="412"/>
      <c r="AVT106" s="412"/>
      <c r="AVU106" s="412"/>
      <c r="AVV106" s="412"/>
      <c r="AVW106" s="412"/>
      <c r="AVX106" s="412"/>
      <c r="AVY106" s="412"/>
      <c r="AVZ106" s="412"/>
      <c r="AWA106" s="412"/>
      <c r="AWB106" s="412"/>
      <c r="AWC106" s="412"/>
      <c r="AWD106" s="412"/>
      <c r="AWE106" s="412"/>
      <c r="AWF106" s="412"/>
      <c r="AWG106" s="412"/>
      <c r="AWH106" s="412"/>
      <c r="AWI106" s="412"/>
      <c r="AWJ106" s="412"/>
      <c r="AWK106" s="412"/>
      <c r="AWL106" s="412"/>
      <c r="AWM106" s="412"/>
      <c r="AWN106" s="412"/>
      <c r="AWO106" s="412"/>
      <c r="AWP106" s="412"/>
      <c r="AWQ106" s="412"/>
      <c r="AWR106" s="412"/>
      <c r="AWS106" s="412"/>
      <c r="AWT106" s="412"/>
      <c r="AWU106" s="412"/>
      <c r="AWV106" s="412"/>
      <c r="AWW106" s="412"/>
      <c r="AWX106" s="412"/>
      <c r="AWY106" s="412"/>
      <c r="AWZ106" s="412"/>
      <c r="AXA106" s="412"/>
      <c r="AXB106" s="412"/>
      <c r="AXC106" s="412"/>
      <c r="AXD106" s="412"/>
      <c r="AXE106" s="412"/>
      <c r="AXF106" s="412"/>
      <c r="AXG106" s="412"/>
      <c r="AXH106" s="412"/>
      <c r="AXI106" s="412"/>
      <c r="AXJ106" s="412"/>
      <c r="AXK106" s="412"/>
      <c r="AXL106" s="412"/>
      <c r="AXM106" s="412"/>
      <c r="AXN106" s="412"/>
      <c r="AXO106" s="412"/>
      <c r="AXP106" s="412"/>
      <c r="AXQ106" s="412"/>
      <c r="AXR106" s="412"/>
      <c r="AXS106" s="412"/>
      <c r="AXT106" s="412"/>
      <c r="AXU106" s="412"/>
      <c r="AXV106" s="412"/>
      <c r="AXW106" s="412"/>
      <c r="AXX106" s="412"/>
      <c r="AXY106" s="412"/>
      <c r="AXZ106" s="412"/>
      <c r="AYA106" s="412"/>
      <c r="AYB106" s="412"/>
      <c r="AYC106" s="412"/>
      <c r="AYD106" s="412"/>
      <c r="AYE106" s="412"/>
      <c r="AYF106" s="412"/>
      <c r="AYG106" s="412"/>
      <c r="AYH106" s="412"/>
      <c r="AYI106" s="412"/>
      <c r="AYJ106" s="412"/>
      <c r="AYK106" s="412"/>
      <c r="AYL106" s="412"/>
      <c r="AYM106" s="412"/>
      <c r="AYN106" s="412"/>
      <c r="AYO106" s="412"/>
      <c r="AYP106" s="412"/>
      <c r="AYQ106" s="412"/>
      <c r="AYR106" s="412"/>
      <c r="AYS106" s="412"/>
      <c r="AYT106" s="412"/>
      <c r="AYU106" s="412"/>
      <c r="AYV106" s="412"/>
      <c r="AYW106" s="412"/>
      <c r="AYX106" s="412"/>
      <c r="AYY106" s="412"/>
      <c r="AYZ106" s="412"/>
      <c r="AZA106" s="412"/>
      <c r="AZB106" s="412"/>
      <c r="AZC106" s="412"/>
      <c r="AZD106" s="412"/>
      <c r="AZE106" s="412"/>
      <c r="AZF106" s="412"/>
      <c r="AZG106" s="412"/>
      <c r="AZH106" s="412"/>
      <c r="AZI106" s="412"/>
      <c r="AZJ106" s="412"/>
      <c r="AZK106" s="412"/>
      <c r="AZL106" s="412"/>
      <c r="AZM106" s="412"/>
      <c r="AZN106" s="412"/>
      <c r="AZO106" s="412"/>
      <c r="AZP106" s="412"/>
      <c r="AZQ106" s="412"/>
      <c r="AZR106" s="412"/>
      <c r="AZS106" s="412"/>
      <c r="AZT106" s="412"/>
      <c r="AZU106" s="412"/>
      <c r="AZV106" s="412"/>
      <c r="AZW106" s="412"/>
      <c r="AZX106" s="412"/>
      <c r="AZY106" s="412"/>
      <c r="AZZ106" s="412"/>
      <c r="BAA106" s="412"/>
      <c r="BAB106" s="412"/>
      <c r="BAC106" s="412"/>
      <c r="BAD106" s="412"/>
      <c r="BAE106" s="412"/>
      <c r="BAF106" s="412"/>
      <c r="BAG106" s="412"/>
      <c r="BAH106" s="412"/>
      <c r="BAI106" s="412"/>
      <c r="BAJ106" s="412"/>
      <c r="BAK106" s="412"/>
      <c r="BAL106" s="412"/>
      <c r="BAM106" s="412"/>
      <c r="BAN106" s="412"/>
      <c r="BAO106" s="412"/>
      <c r="BAP106" s="412"/>
      <c r="BAQ106" s="412"/>
      <c r="BAR106" s="412"/>
      <c r="BAS106" s="412"/>
      <c r="BAT106" s="412"/>
      <c r="BAU106" s="412"/>
      <c r="BAV106" s="412"/>
      <c r="BAW106" s="412"/>
      <c r="BAX106" s="412"/>
      <c r="BAY106" s="412"/>
      <c r="BAZ106" s="412"/>
      <c r="BBA106" s="412"/>
      <c r="BBB106" s="412"/>
      <c r="BBC106" s="412"/>
      <c r="BBD106" s="412"/>
      <c r="BBE106" s="412"/>
      <c r="BBF106" s="412"/>
      <c r="BBG106" s="412"/>
      <c r="BBH106" s="412"/>
      <c r="BBI106" s="412"/>
      <c r="BBJ106" s="412"/>
      <c r="BBK106" s="412"/>
      <c r="BBL106" s="412"/>
      <c r="BBM106" s="412"/>
      <c r="BBN106" s="412"/>
      <c r="BBO106" s="412"/>
      <c r="BBP106" s="412"/>
      <c r="BBQ106" s="412"/>
      <c r="BBR106" s="412"/>
      <c r="BBS106" s="412"/>
      <c r="BBT106" s="412"/>
      <c r="BBU106" s="412"/>
      <c r="BBV106" s="412"/>
      <c r="BBW106" s="412"/>
      <c r="BBX106" s="412"/>
      <c r="BBY106" s="412"/>
      <c r="BBZ106" s="412"/>
      <c r="BCA106" s="412"/>
      <c r="BCB106" s="412"/>
      <c r="BCC106" s="412"/>
      <c r="BCD106" s="412"/>
      <c r="BCE106" s="412"/>
      <c r="BCF106" s="412"/>
      <c r="BCG106" s="412"/>
      <c r="BCH106" s="412"/>
      <c r="BCI106" s="412"/>
      <c r="BCJ106" s="412"/>
      <c r="BCK106" s="412"/>
      <c r="BCL106" s="412"/>
      <c r="BCM106" s="412"/>
      <c r="BCN106" s="412"/>
      <c r="BCO106" s="412"/>
      <c r="BCP106" s="412"/>
      <c r="BCQ106" s="412"/>
      <c r="BCR106" s="412"/>
      <c r="BCS106" s="412"/>
      <c r="BCT106" s="412"/>
      <c r="BCU106" s="412"/>
      <c r="BCV106" s="412"/>
      <c r="BCW106" s="412"/>
      <c r="BCX106" s="412"/>
      <c r="BCY106" s="412"/>
      <c r="BCZ106" s="412"/>
      <c r="BDA106" s="412"/>
      <c r="BDB106" s="412"/>
      <c r="BDC106" s="412"/>
      <c r="BDD106" s="412"/>
      <c r="BDE106" s="412"/>
      <c r="BDF106" s="412"/>
      <c r="BDG106" s="412"/>
      <c r="BDH106" s="412"/>
      <c r="BDI106" s="412"/>
      <c r="BDJ106" s="412"/>
      <c r="BDK106" s="412"/>
      <c r="BDL106" s="412"/>
      <c r="BDM106" s="412"/>
      <c r="BDN106" s="412"/>
      <c r="BDO106" s="412"/>
      <c r="BDP106" s="412"/>
      <c r="BDQ106" s="412"/>
      <c r="BDR106" s="412"/>
      <c r="BDS106" s="412"/>
      <c r="BDT106" s="412"/>
      <c r="BDU106" s="412"/>
      <c r="BDV106" s="412"/>
      <c r="BDW106" s="412"/>
      <c r="BDX106" s="412"/>
      <c r="BDY106" s="412"/>
      <c r="BDZ106" s="412"/>
      <c r="BEA106" s="412"/>
      <c r="BEB106" s="412"/>
      <c r="BEC106" s="412"/>
      <c r="BED106" s="412"/>
      <c r="BEE106" s="412"/>
      <c r="BEF106" s="412"/>
      <c r="BEG106" s="412"/>
      <c r="BEH106" s="412"/>
      <c r="BEI106" s="412"/>
      <c r="BEJ106" s="412"/>
      <c r="BEK106" s="412"/>
      <c r="BEL106" s="412"/>
      <c r="BEM106" s="412"/>
      <c r="BEN106" s="412"/>
      <c r="BEO106" s="412"/>
      <c r="BEP106" s="412"/>
      <c r="BEQ106" s="412"/>
      <c r="BER106" s="412"/>
      <c r="BES106" s="412"/>
      <c r="BET106" s="412"/>
      <c r="BEU106" s="412"/>
      <c r="BEV106" s="412"/>
      <c r="BEW106" s="412"/>
      <c r="BEX106" s="412"/>
      <c r="BEY106" s="412"/>
      <c r="BEZ106" s="412"/>
      <c r="BFA106" s="412"/>
      <c r="BFB106" s="412"/>
      <c r="BFC106" s="412"/>
      <c r="BFD106" s="412"/>
      <c r="BFE106" s="412"/>
      <c r="BFF106" s="412"/>
      <c r="BFG106" s="412"/>
      <c r="BFH106" s="412"/>
      <c r="BFI106" s="412"/>
      <c r="BFJ106" s="412"/>
      <c r="BFK106" s="412"/>
      <c r="BFL106" s="412"/>
      <c r="BFM106" s="412"/>
      <c r="BFN106" s="412"/>
      <c r="BFO106" s="412"/>
      <c r="BFP106" s="412"/>
      <c r="BFQ106" s="412"/>
      <c r="BFR106" s="412"/>
      <c r="BFS106" s="412"/>
      <c r="BFT106" s="412"/>
      <c r="BFU106" s="412"/>
      <c r="BFV106" s="412"/>
      <c r="BFW106" s="412"/>
      <c r="BFX106" s="412"/>
      <c r="BFY106" s="412"/>
      <c r="BFZ106" s="412"/>
      <c r="BGA106" s="412"/>
      <c r="BGB106" s="412"/>
      <c r="BGC106" s="412"/>
      <c r="BGD106" s="412"/>
      <c r="BGE106" s="412"/>
      <c r="BGF106" s="412"/>
      <c r="BGG106" s="412"/>
      <c r="BGH106" s="412"/>
      <c r="BGI106" s="412"/>
      <c r="BGJ106" s="412"/>
      <c r="BGK106" s="412"/>
      <c r="BGL106" s="412"/>
      <c r="BGM106" s="412"/>
      <c r="BGN106" s="412"/>
      <c r="BGO106" s="412"/>
      <c r="BGP106" s="412"/>
      <c r="BGQ106" s="412"/>
      <c r="BGR106" s="412"/>
      <c r="BGS106" s="412"/>
      <c r="BGT106" s="412"/>
      <c r="BGU106" s="412"/>
      <c r="BGV106" s="412"/>
      <c r="BGW106" s="412"/>
      <c r="BGX106" s="412"/>
      <c r="BGY106" s="412"/>
      <c r="BGZ106" s="412"/>
      <c r="BHA106" s="412"/>
      <c r="BHB106" s="412"/>
      <c r="BHC106" s="412"/>
      <c r="BHD106" s="412"/>
      <c r="BHE106" s="412"/>
      <c r="BHF106" s="412"/>
      <c r="BHG106" s="412"/>
      <c r="BHH106" s="412"/>
      <c r="BHI106" s="412"/>
      <c r="BHJ106" s="412"/>
      <c r="BHK106" s="412"/>
      <c r="BHL106" s="412"/>
      <c r="BHM106" s="412"/>
      <c r="BHN106" s="412"/>
      <c r="BHO106" s="412"/>
      <c r="BHP106" s="412"/>
      <c r="BHQ106" s="412"/>
      <c r="BHR106" s="412"/>
      <c r="BHS106" s="412"/>
      <c r="BHT106" s="412"/>
      <c r="BHU106" s="412"/>
      <c r="BHV106" s="412"/>
      <c r="BHW106" s="412"/>
      <c r="BHX106" s="412"/>
      <c r="BHY106" s="412"/>
      <c r="BHZ106" s="412"/>
      <c r="BIA106" s="412"/>
      <c r="BIB106" s="412"/>
      <c r="BIC106" s="412"/>
      <c r="BID106" s="412"/>
      <c r="BIE106" s="412"/>
      <c r="BIF106" s="412"/>
      <c r="BIG106" s="412"/>
      <c r="BIH106" s="412"/>
      <c r="BII106" s="412"/>
      <c r="BIJ106" s="412"/>
      <c r="BIK106" s="412"/>
      <c r="BIL106" s="412"/>
      <c r="BIM106" s="412"/>
      <c r="BIN106" s="412"/>
      <c r="BIO106" s="412"/>
      <c r="BIP106" s="412"/>
      <c r="BIQ106" s="412"/>
      <c r="BIR106" s="412"/>
      <c r="BIS106" s="412"/>
      <c r="BIT106" s="412"/>
      <c r="BIU106" s="412"/>
      <c r="BIV106" s="412"/>
      <c r="BIW106" s="412"/>
      <c r="BIX106" s="412"/>
      <c r="BIY106" s="412"/>
      <c r="BIZ106" s="412"/>
      <c r="BJA106" s="412"/>
      <c r="BJB106" s="412"/>
      <c r="BJC106" s="412"/>
      <c r="BJD106" s="412"/>
      <c r="BJE106" s="412"/>
      <c r="BJF106" s="412"/>
      <c r="BJG106" s="412"/>
      <c r="BJH106" s="412"/>
      <c r="BJI106" s="412"/>
      <c r="BJJ106" s="412"/>
      <c r="BJK106" s="412"/>
      <c r="BJL106" s="412"/>
      <c r="BJM106" s="412"/>
      <c r="BJN106" s="412"/>
      <c r="BJO106" s="412"/>
      <c r="BJP106" s="412"/>
      <c r="BJQ106" s="412"/>
      <c r="BJR106" s="412"/>
      <c r="BJS106" s="412"/>
      <c r="BJT106" s="412"/>
      <c r="BJU106" s="412"/>
      <c r="BJV106" s="412"/>
      <c r="BJW106" s="412"/>
      <c r="BJX106" s="412"/>
      <c r="BJY106" s="412"/>
      <c r="BJZ106" s="412"/>
      <c r="BKA106" s="412"/>
      <c r="BKB106" s="412"/>
      <c r="BKC106" s="412"/>
      <c r="BKD106" s="412"/>
      <c r="BKE106" s="412"/>
      <c r="BKF106" s="412"/>
      <c r="BKG106" s="412"/>
      <c r="BKH106" s="412"/>
      <c r="BKI106" s="412"/>
      <c r="BKJ106" s="412"/>
      <c r="BKK106" s="412"/>
      <c r="BKL106" s="412"/>
      <c r="BKM106" s="412"/>
      <c r="BKN106" s="412"/>
      <c r="BKO106" s="412"/>
      <c r="BKP106" s="412"/>
      <c r="BKQ106" s="412"/>
      <c r="BKR106" s="412"/>
      <c r="BKS106" s="412"/>
      <c r="BKT106" s="412"/>
      <c r="BKU106" s="412"/>
      <c r="BKV106" s="412"/>
      <c r="BKW106" s="412"/>
      <c r="BKX106" s="412"/>
      <c r="BKY106" s="412"/>
      <c r="BKZ106" s="412"/>
      <c r="BLA106" s="412"/>
      <c r="BLB106" s="412"/>
      <c r="BLC106" s="412"/>
      <c r="BLD106" s="412"/>
      <c r="BLE106" s="412"/>
      <c r="BLF106" s="412"/>
      <c r="BLG106" s="412"/>
      <c r="BLH106" s="412"/>
      <c r="BLI106" s="412"/>
      <c r="BLJ106" s="412"/>
      <c r="BLK106" s="412"/>
      <c r="BLL106" s="412"/>
      <c r="BLM106" s="412"/>
      <c r="BLN106" s="412"/>
      <c r="BLO106" s="412"/>
      <c r="BLP106" s="412"/>
      <c r="BLQ106" s="412"/>
      <c r="BLR106" s="412"/>
      <c r="BLS106" s="412"/>
      <c r="BLT106" s="412"/>
      <c r="BLU106" s="412"/>
      <c r="BLV106" s="412"/>
      <c r="BLW106" s="412"/>
      <c r="BLX106" s="412"/>
      <c r="BLY106" s="412"/>
      <c r="BLZ106" s="412"/>
      <c r="BMA106" s="412"/>
      <c r="BMB106" s="412"/>
      <c r="BMC106" s="412"/>
      <c r="BMD106" s="412"/>
      <c r="BME106" s="412"/>
      <c r="BMF106" s="412"/>
      <c r="BMG106" s="412"/>
      <c r="BMH106" s="412"/>
      <c r="BMI106" s="412"/>
      <c r="BMJ106" s="412"/>
      <c r="BMK106" s="412"/>
      <c r="BML106" s="412"/>
      <c r="BMM106" s="412"/>
      <c r="BMN106" s="412"/>
      <c r="BMO106" s="412"/>
      <c r="BMP106" s="412"/>
      <c r="BMQ106" s="412"/>
      <c r="BMR106" s="412"/>
      <c r="BMS106" s="412"/>
      <c r="BMT106" s="412"/>
      <c r="BMU106" s="412"/>
      <c r="BMV106" s="412"/>
      <c r="BMW106" s="412"/>
      <c r="BMX106" s="412"/>
      <c r="BMY106" s="412"/>
      <c r="BMZ106" s="412"/>
      <c r="BNA106" s="412"/>
      <c r="BNB106" s="412"/>
      <c r="BNC106" s="412"/>
      <c r="BND106" s="412"/>
      <c r="BNE106" s="412"/>
      <c r="BNF106" s="412"/>
      <c r="BNG106" s="412"/>
      <c r="BNH106" s="412"/>
      <c r="BNI106" s="412"/>
      <c r="BNJ106" s="412"/>
      <c r="BNK106" s="412"/>
      <c r="BNL106" s="412"/>
      <c r="BNM106" s="412"/>
      <c r="BNN106" s="412"/>
      <c r="BNO106" s="412"/>
      <c r="BNP106" s="412"/>
      <c r="BNQ106" s="412"/>
      <c r="BNR106" s="412"/>
      <c r="BNS106" s="412"/>
      <c r="BNT106" s="412"/>
      <c r="BNU106" s="412"/>
      <c r="BNV106" s="412"/>
      <c r="BNW106" s="412"/>
      <c r="BNX106" s="412"/>
      <c r="BNY106" s="412"/>
      <c r="BNZ106" s="412"/>
      <c r="BOA106" s="412"/>
      <c r="BOB106" s="412"/>
      <c r="BOC106" s="412"/>
      <c r="BOD106" s="412"/>
      <c r="BOE106" s="412"/>
      <c r="BOF106" s="412"/>
      <c r="BOG106" s="412"/>
      <c r="BOH106" s="412"/>
      <c r="BOI106" s="412"/>
      <c r="BOJ106" s="412"/>
      <c r="BOK106" s="412"/>
      <c r="BOL106" s="412"/>
      <c r="BOM106" s="412"/>
      <c r="BON106" s="412"/>
      <c r="BOO106" s="412"/>
      <c r="BOP106" s="412"/>
      <c r="BOQ106" s="412"/>
      <c r="BOR106" s="412"/>
      <c r="BOS106" s="412"/>
      <c r="BOT106" s="412"/>
      <c r="BOU106" s="412"/>
      <c r="BOV106" s="412"/>
      <c r="BOW106" s="412"/>
      <c r="BOX106" s="412"/>
      <c r="BOY106" s="412"/>
      <c r="BOZ106" s="412"/>
      <c r="BPA106" s="412"/>
      <c r="BPB106" s="412"/>
      <c r="BPC106" s="412"/>
      <c r="BPD106" s="412"/>
      <c r="BPE106" s="412"/>
      <c r="BPF106" s="412"/>
      <c r="BPG106" s="412"/>
      <c r="BPH106" s="412"/>
      <c r="BPI106" s="412"/>
      <c r="BPJ106" s="412"/>
      <c r="BPK106" s="412"/>
      <c r="BPL106" s="412"/>
      <c r="BPM106" s="412"/>
      <c r="BPN106" s="412"/>
      <c r="BPO106" s="412"/>
      <c r="BPP106" s="412"/>
      <c r="BPQ106" s="412"/>
      <c r="BPR106" s="412"/>
      <c r="BPS106" s="412"/>
      <c r="BPT106" s="412"/>
      <c r="BPU106" s="412"/>
      <c r="BPV106" s="412"/>
      <c r="BPW106" s="412"/>
      <c r="BPX106" s="412"/>
      <c r="BPY106" s="412"/>
      <c r="BPZ106" s="412"/>
      <c r="BQA106" s="412"/>
      <c r="BQB106" s="412"/>
      <c r="BQC106" s="412"/>
      <c r="BQD106" s="412"/>
      <c r="BQE106" s="412"/>
      <c r="BQF106" s="412"/>
      <c r="BQG106" s="412"/>
      <c r="BQH106" s="412"/>
      <c r="BQI106" s="412"/>
      <c r="BQJ106" s="412"/>
      <c r="BQK106" s="412"/>
      <c r="BQL106" s="412"/>
      <c r="BQM106" s="412"/>
      <c r="BQN106" s="412"/>
      <c r="BQO106" s="412"/>
      <c r="BQP106" s="412"/>
      <c r="BQQ106" s="412"/>
      <c r="BQR106" s="412"/>
      <c r="BQS106" s="412"/>
      <c r="BQT106" s="412"/>
      <c r="BQU106" s="412"/>
      <c r="BQV106" s="412"/>
      <c r="BQW106" s="412"/>
      <c r="BQX106" s="412"/>
      <c r="BQY106" s="412"/>
      <c r="BQZ106" s="412"/>
      <c r="BRA106" s="412"/>
      <c r="BRB106" s="412"/>
      <c r="BRC106" s="412"/>
      <c r="BRD106" s="412"/>
      <c r="BRE106" s="412"/>
      <c r="BRF106" s="412"/>
      <c r="BRG106" s="412"/>
      <c r="BRH106" s="412"/>
      <c r="BRI106" s="412"/>
      <c r="BRJ106" s="412"/>
      <c r="BRK106" s="412"/>
      <c r="BRL106" s="412"/>
      <c r="BRM106" s="412"/>
      <c r="BRN106" s="412"/>
      <c r="BRO106" s="412"/>
      <c r="BRP106" s="412"/>
      <c r="BRQ106" s="412"/>
      <c r="BRR106" s="412"/>
      <c r="BRS106" s="412"/>
      <c r="BRT106" s="412"/>
      <c r="BRU106" s="412"/>
      <c r="BRV106" s="412"/>
      <c r="BRW106" s="412"/>
      <c r="BRX106" s="412"/>
      <c r="BRY106" s="412"/>
      <c r="BRZ106" s="412"/>
      <c r="BSA106" s="412"/>
      <c r="BSB106" s="412"/>
      <c r="BSC106" s="412"/>
      <c r="BSD106" s="412"/>
      <c r="BSE106" s="412"/>
      <c r="BSF106" s="412"/>
      <c r="BSG106" s="412"/>
      <c r="BSH106" s="412"/>
      <c r="BSI106" s="412"/>
      <c r="BSJ106" s="412"/>
      <c r="BSK106" s="412"/>
      <c r="BSL106" s="412"/>
      <c r="BSM106" s="412"/>
      <c r="BSN106" s="412"/>
      <c r="BSO106" s="412"/>
      <c r="BSP106" s="412"/>
      <c r="BSQ106" s="412"/>
      <c r="BSR106" s="412"/>
      <c r="BSS106" s="412"/>
      <c r="BST106" s="412"/>
      <c r="BSU106" s="412"/>
      <c r="BSV106" s="412"/>
      <c r="BSW106" s="412"/>
      <c r="BSX106" s="412"/>
      <c r="BSY106" s="412"/>
      <c r="BSZ106" s="412"/>
      <c r="BTA106" s="412"/>
      <c r="BTB106" s="412"/>
      <c r="BTC106" s="412"/>
      <c r="BTD106" s="412"/>
      <c r="BTE106" s="412"/>
      <c r="BTF106" s="412"/>
      <c r="BTG106" s="412"/>
      <c r="BTH106" s="412"/>
      <c r="BTI106" s="412"/>
    </row>
    <row r="107" spans="1:1881" s="393" customFormat="1" ht="62.25" customHeight="1" x14ac:dyDescent="0.25">
      <c r="A107" s="423">
        <v>580</v>
      </c>
      <c r="B107" s="419" t="s">
        <v>654</v>
      </c>
      <c r="C107" s="422" t="s">
        <v>185</v>
      </c>
      <c r="D107" s="431" t="s">
        <v>659</v>
      </c>
      <c r="E107" s="416" t="e">
        <f>HLOOKUP($D$2,'2019 Data(H)'!$C$1:$CG$300,230,FALSE)</f>
        <v>#N/A</v>
      </c>
      <c r="F107" s="647"/>
      <c r="G107" s="413"/>
      <c r="H107" s="414"/>
      <c r="I107" s="415"/>
      <c r="J107" s="412"/>
      <c r="K107" s="412"/>
      <c r="L107" s="412"/>
      <c r="M107" s="412"/>
      <c r="N107"/>
      <c r="O107" s="412"/>
      <c r="P107" s="412"/>
      <c r="Q107" s="412"/>
      <c r="R107" s="412"/>
      <c r="S107" s="412"/>
      <c r="T107" s="412"/>
      <c r="U107" s="412"/>
      <c r="V107" s="412"/>
      <c r="W107" s="412"/>
      <c r="X107" s="412"/>
      <c r="Y107" s="412"/>
      <c r="Z107" s="412"/>
      <c r="AA107" s="412"/>
      <c r="AB107" s="412"/>
      <c r="AC107" s="412"/>
      <c r="AD107" s="412"/>
      <c r="AE107" s="412"/>
      <c r="AF107" s="412"/>
      <c r="AG107" s="412"/>
      <c r="AH107" s="412"/>
      <c r="AI107" s="412"/>
      <c r="AJ107" s="412"/>
      <c r="AK107" s="412"/>
      <c r="AL107" s="412"/>
      <c r="AM107" s="412"/>
      <c r="AN107" s="412"/>
      <c r="AO107" s="412"/>
      <c r="AP107" s="412"/>
      <c r="AQ107" s="412"/>
      <c r="AR107" s="412"/>
      <c r="AS107" s="412"/>
      <c r="AT107" s="412"/>
      <c r="AU107" s="412"/>
      <c r="AV107" s="412"/>
      <c r="AW107" s="412"/>
      <c r="AX107" s="412"/>
      <c r="AY107" s="412"/>
      <c r="AZ107" s="412"/>
      <c r="BA107" s="412"/>
      <c r="BB107" s="412"/>
      <c r="BC107" s="412"/>
      <c r="BD107" s="412"/>
      <c r="BE107" s="412"/>
      <c r="BF107" s="412"/>
      <c r="BG107" s="412"/>
      <c r="BH107" s="412"/>
      <c r="BI107" s="412"/>
      <c r="BJ107" s="412"/>
      <c r="BK107" s="412"/>
      <c r="BL107" s="412"/>
      <c r="BM107" s="412"/>
      <c r="BN107" s="412"/>
      <c r="BO107" s="412"/>
      <c r="BP107" s="412"/>
      <c r="BQ107" s="412"/>
      <c r="BR107" s="412"/>
      <c r="BS107" s="412"/>
      <c r="BT107" s="412"/>
      <c r="BU107" s="412"/>
      <c r="BV107" s="412"/>
      <c r="BW107" s="412"/>
      <c r="BX107" s="412"/>
      <c r="BY107" s="412"/>
      <c r="BZ107" s="412"/>
      <c r="CA107" s="412"/>
      <c r="CB107" s="412"/>
      <c r="CC107" s="412"/>
      <c r="CD107" s="412"/>
      <c r="CE107" s="412"/>
      <c r="CF107" s="412"/>
      <c r="CG107" s="412"/>
      <c r="CH107" s="412"/>
      <c r="CI107" s="412"/>
      <c r="CJ107" s="412"/>
      <c r="CK107" s="412"/>
      <c r="CL107" s="412"/>
      <c r="CM107" s="412"/>
      <c r="CN107" s="412"/>
      <c r="CO107" s="412"/>
      <c r="CP107" s="412"/>
      <c r="CQ107" s="412"/>
      <c r="CR107" s="412"/>
      <c r="CS107" s="412"/>
      <c r="CT107" s="412"/>
      <c r="CU107" s="412"/>
      <c r="CV107" s="412"/>
      <c r="CW107" s="412"/>
      <c r="CX107" s="412"/>
      <c r="CY107" s="412"/>
      <c r="CZ107" s="412"/>
      <c r="DA107" s="412"/>
      <c r="DB107" s="412"/>
      <c r="DC107" s="412"/>
      <c r="DD107" s="412"/>
      <c r="DE107" s="412"/>
      <c r="DF107" s="412"/>
      <c r="DG107" s="412"/>
      <c r="DH107" s="412"/>
      <c r="DI107" s="412"/>
      <c r="DJ107" s="412"/>
      <c r="DK107" s="412"/>
      <c r="DL107" s="412"/>
      <c r="DM107" s="412"/>
      <c r="DN107" s="412"/>
      <c r="DO107" s="412"/>
      <c r="DP107" s="412"/>
      <c r="DQ107" s="412"/>
      <c r="DR107" s="412"/>
      <c r="DS107" s="412"/>
      <c r="DT107" s="412"/>
      <c r="DU107" s="412"/>
      <c r="DV107" s="412"/>
      <c r="DW107" s="412"/>
      <c r="DX107" s="412"/>
      <c r="DY107" s="412"/>
      <c r="DZ107" s="412"/>
      <c r="EA107" s="412"/>
      <c r="EB107" s="412"/>
      <c r="EC107" s="412"/>
      <c r="ED107" s="412"/>
      <c r="EE107" s="412"/>
      <c r="EF107" s="412"/>
      <c r="EG107" s="412"/>
      <c r="EH107" s="412"/>
      <c r="EI107" s="412"/>
      <c r="EJ107" s="412"/>
      <c r="EK107" s="412"/>
      <c r="EL107" s="412"/>
      <c r="EM107" s="412"/>
      <c r="EN107" s="412"/>
      <c r="EO107" s="412"/>
      <c r="EP107" s="412"/>
      <c r="EQ107" s="412"/>
      <c r="ER107" s="412"/>
      <c r="ES107" s="412"/>
      <c r="ET107" s="412"/>
      <c r="EU107" s="412"/>
      <c r="EV107" s="412"/>
      <c r="EW107" s="412"/>
      <c r="EX107" s="412"/>
      <c r="EY107" s="412"/>
      <c r="EZ107" s="412"/>
      <c r="FA107" s="412"/>
      <c r="FB107" s="412"/>
      <c r="FC107" s="412"/>
      <c r="FD107" s="412"/>
      <c r="FE107" s="412"/>
      <c r="FF107" s="412"/>
      <c r="FG107" s="412"/>
      <c r="FH107" s="412"/>
      <c r="FI107" s="412"/>
      <c r="FJ107" s="412"/>
      <c r="FK107" s="412"/>
      <c r="FL107" s="412"/>
      <c r="FM107" s="412"/>
      <c r="FN107" s="412"/>
      <c r="FO107" s="412"/>
      <c r="FP107" s="412"/>
      <c r="FQ107" s="412"/>
      <c r="FR107" s="412"/>
      <c r="FS107" s="412"/>
      <c r="FT107" s="412"/>
      <c r="FU107" s="412"/>
      <c r="FV107" s="412"/>
      <c r="FW107" s="412"/>
      <c r="FX107" s="412"/>
      <c r="FY107" s="412"/>
      <c r="FZ107" s="412"/>
      <c r="GA107" s="412"/>
      <c r="GB107" s="412"/>
      <c r="GC107" s="412"/>
      <c r="GD107" s="412"/>
      <c r="GE107" s="412"/>
      <c r="GF107" s="412"/>
      <c r="GG107" s="412"/>
      <c r="GH107" s="412"/>
      <c r="GI107" s="412"/>
      <c r="GJ107" s="412"/>
      <c r="GK107" s="412"/>
      <c r="GL107" s="412"/>
      <c r="GM107" s="412"/>
      <c r="GN107" s="412"/>
      <c r="GO107" s="412"/>
      <c r="GP107" s="412"/>
      <c r="GQ107" s="412"/>
      <c r="GR107" s="412"/>
      <c r="GS107" s="412"/>
      <c r="GT107" s="412"/>
      <c r="GU107" s="412"/>
      <c r="GV107" s="412"/>
      <c r="GW107" s="412"/>
      <c r="GX107" s="412"/>
      <c r="GY107" s="412"/>
      <c r="GZ107" s="412"/>
      <c r="HA107" s="412"/>
      <c r="HB107" s="412"/>
      <c r="HC107" s="412"/>
      <c r="HD107" s="412"/>
      <c r="HE107" s="412"/>
      <c r="HF107" s="412"/>
      <c r="HG107" s="412"/>
      <c r="HH107" s="412"/>
      <c r="HI107" s="412"/>
      <c r="HJ107" s="412"/>
      <c r="HK107" s="412"/>
      <c r="HL107" s="412"/>
      <c r="HM107" s="412"/>
      <c r="HN107" s="412"/>
      <c r="HO107" s="412"/>
      <c r="HP107" s="412"/>
      <c r="HQ107" s="412"/>
      <c r="HR107" s="412"/>
      <c r="HS107" s="412"/>
      <c r="HT107" s="412"/>
      <c r="HU107" s="412"/>
      <c r="HV107" s="412"/>
      <c r="HW107" s="412"/>
      <c r="HX107" s="412"/>
      <c r="HY107" s="412"/>
      <c r="HZ107" s="412"/>
      <c r="IA107" s="412"/>
      <c r="IB107" s="412"/>
      <c r="IC107" s="412"/>
      <c r="ID107" s="412"/>
      <c r="IE107" s="412"/>
      <c r="IF107" s="412"/>
      <c r="IG107" s="412"/>
      <c r="IH107" s="412"/>
      <c r="II107" s="412"/>
      <c r="IJ107" s="412"/>
      <c r="IK107" s="412"/>
      <c r="IL107" s="412"/>
      <c r="IM107" s="412"/>
      <c r="IN107" s="412"/>
      <c r="IO107" s="412"/>
      <c r="IP107" s="412"/>
      <c r="IQ107" s="412"/>
      <c r="IR107" s="412"/>
      <c r="IS107" s="412"/>
      <c r="IT107" s="412"/>
      <c r="IU107" s="412"/>
      <c r="IV107" s="412"/>
      <c r="IW107" s="412"/>
      <c r="IX107" s="412"/>
      <c r="IY107" s="412"/>
      <c r="IZ107" s="412"/>
      <c r="JA107" s="412"/>
      <c r="JB107" s="412"/>
      <c r="JC107" s="412"/>
      <c r="JD107" s="412"/>
      <c r="JE107" s="412"/>
      <c r="JF107" s="412"/>
      <c r="JG107" s="412"/>
      <c r="JH107" s="412"/>
      <c r="JI107" s="412"/>
      <c r="JJ107" s="412"/>
      <c r="JK107" s="412"/>
      <c r="JL107" s="412"/>
      <c r="JM107" s="412"/>
      <c r="JN107" s="412"/>
      <c r="JO107" s="412"/>
      <c r="JP107" s="412"/>
      <c r="JQ107" s="412"/>
      <c r="JR107" s="412"/>
      <c r="JS107" s="412"/>
      <c r="JT107" s="412"/>
      <c r="JU107" s="412"/>
      <c r="JV107" s="412"/>
      <c r="JW107" s="412"/>
      <c r="JX107" s="412"/>
      <c r="JY107" s="412"/>
      <c r="JZ107" s="412"/>
      <c r="KA107" s="412"/>
      <c r="KB107" s="412"/>
      <c r="KC107" s="412"/>
      <c r="KD107" s="412"/>
      <c r="KE107" s="412"/>
      <c r="KF107" s="412"/>
      <c r="KG107" s="412"/>
      <c r="KH107" s="412"/>
      <c r="KI107" s="412"/>
      <c r="KJ107" s="412"/>
      <c r="KK107" s="412"/>
      <c r="KL107" s="412"/>
      <c r="KM107" s="412"/>
      <c r="KN107" s="412"/>
      <c r="KO107" s="412"/>
      <c r="KP107" s="412"/>
      <c r="KQ107" s="412"/>
      <c r="KR107" s="412"/>
      <c r="KS107" s="412"/>
      <c r="KT107" s="412"/>
      <c r="KU107" s="412"/>
      <c r="KV107" s="412"/>
      <c r="KW107" s="412"/>
      <c r="KX107" s="412"/>
      <c r="KY107" s="412"/>
      <c r="KZ107" s="412"/>
      <c r="LA107" s="412"/>
      <c r="LB107" s="412"/>
      <c r="LC107" s="412"/>
      <c r="LD107" s="412"/>
      <c r="LE107" s="412"/>
      <c r="LF107" s="412"/>
      <c r="LG107" s="412"/>
      <c r="LH107" s="412"/>
      <c r="LI107" s="412"/>
      <c r="LJ107" s="412"/>
      <c r="LK107" s="412"/>
      <c r="LL107" s="412"/>
      <c r="LM107" s="412"/>
      <c r="LN107" s="412"/>
      <c r="LO107" s="412"/>
      <c r="LP107" s="412"/>
      <c r="LQ107" s="412"/>
      <c r="LR107" s="412"/>
      <c r="LS107" s="412"/>
      <c r="LT107" s="412"/>
      <c r="LU107" s="412"/>
      <c r="LV107" s="412"/>
      <c r="LW107" s="412"/>
      <c r="LX107" s="412"/>
      <c r="LY107" s="412"/>
      <c r="LZ107" s="412"/>
      <c r="MA107" s="412"/>
      <c r="MB107" s="412"/>
      <c r="MC107" s="412"/>
      <c r="MD107" s="412"/>
      <c r="ME107" s="412"/>
      <c r="MF107" s="412"/>
      <c r="MG107" s="412"/>
      <c r="MH107" s="412"/>
      <c r="MI107" s="412"/>
      <c r="MJ107" s="412"/>
      <c r="MK107" s="412"/>
      <c r="ML107" s="412"/>
      <c r="MM107" s="412"/>
      <c r="MN107" s="412"/>
      <c r="MO107" s="412"/>
      <c r="MP107" s="412"/>
      <c r="MQ107" s="412"/>
      <c r="MR107" s="412"/>
      <c r="MS107" s="412"/>
      <c r="MT107" s="412"/>
      <c r="MU107" s="412"/>
      <c r="MV107" s="412"/>
      <c r="MW107" s="412"/>
      <c r="MX107" s="412"/>
      <c r="MY107" s="412"/>
      <c r="MZ107" s="412"/>
      <c r="NA107" s="412"/>
      <c r="NB107" s="412"/>
      <c r="NC107" s="412"/>
      <c r="ND107" s="412"/>
      <c r="NE107" s="412"/>
      <c r="NF107" s="412"/>
      <c r="NG107" s="412"/>
      <c r="NH107" s="412"/>
      <c r="NI107" s="412"/>
      <c r="NJ107" s="412"/>
      <c r="NK107" s="412"/>
      <c r="NL107" s="412"/>
      <c r="NM107" s="412"/>
      <c r="NN107" s="412"/>
      <c r="NO107" s="412"/>
      <c r="NP107" s="412"/>
      <c r="NQ107" s="412"/>
      <c r="NR107" s="412"/>
      <c r="NS107" s="412"/>
      <c r="NT107" s="412"/>
      <c r="NU107" s="412"/>
      <c r="NV107" s="412"/>
      <c r="NW107" s="412"/>
      <c r="NX107" s="412"/>
      <c r="NY107" s="412"/>
      <c r="NZ107" s="412"/>
      <c r="OA107" s="412"/>
      <c r="OB107" s="412"/>
      <c r="OC107" s="412"/>
      <c r="OD107" s="412"/>
      <c r="OE107" s="412"/>
      <c r="OF107" s="412"/>
      <c r="OG107" s="412"/>
      <c r="OH107" s="412"/>
      <c r="OI107" s="412"/>
      <c r="OJ107" s="412"/>
      <c r="OK107" s="412"/>
      <c r="OL107" s="412"/>
      <c r="OM107" s="412"/>
      <c r="ON107" s="412"/>
      <c r="OO107" s="412"/>
      <c r="OP107" s="412"/>
      <c r="OQ107" s="412"/>
      <c r="OR107" s="412"/>
      <c r="OS107" s="412"/>
      <c r="OT107" s="412"/>
      <c r="OU107" s="412"/>
      <c r="OV107" s="412"/>
      <c r="OW107" s="412"/>
      <c r="OX107" s="412"/>
      <c r="OY107" s="412"/>
      <c r="OZ107" s="412"/>
      <c r="PA107" s="412"/>
      <c r="PB107" s="412"/>
      <c r="PC107" s="412"/>
      <c r="PD107" s="412"/>
      <c r="PE107" s="412"/>
      <c r="PF107" s="412"/>
      <c r="PG107" s="412"/>
      <c r="PH107" s="412"/>
      <c r="PI107" s="412"/>
      <c r="PJ107" s="412"/>
      <c r="PK107" s="412"/>
      <c r="PL107" s="412"/>
      <c r="PM107" s="412"/>
      <c r="PN107" s="412"/>
      <c r="PO107" s="412"/>
      <c r="PP107" s="412"/>
      <c r="PQ107" s="412"/>
      <c r="PR107" s="412"/>
      <c r="PS107" s="412"/>
      <c r="PT107" s="412"/>
      <c r="PU107" s="412"/>
      <c r="PV107" s="412"/>
      <c r="PW107" s="412"/>
      <c r="PX107" s="412"/>
      <c r="PY107" s="412"/>
      <c r="PZ107" s="412"/>
      <c r="QA107" s="412"/>
      <c r="QB107" s="412"/>
      <c r="QC107" s="412"/>
      <c r="QD107" s="412"/>
      <c r="QE107" s="412"/>
      <c r="QF107" s="412"/>
      <c r="QG107" s="412"/>
      <c r="QH107" s="412"/>
      <c r="QI107" s="412"/>
      <c r="QJ107" s="412"/>
      <c r="QK107" s="412"/>
      <c r="QL107" s="412"/>
      <c r="QM107" s="412"/>
      <c r="QN107" s="412"/>
      <c r="QO107" s="412"/>
      <c r="QP107" s="412"/>
      <c r="QQ107" s="412"/>
      <c r="QR107" s="412"/>
      <c r="QS107" s="412"/>
      <c r="QT107" s="412"/>
      <c r="QU107" s="412"/>
      <c r="QV107" s="412"/>
      <c r="QW107" s="412"/>
      <c r="QX107" s="412"/>
      <c r="QY107" s="412"/>
      <c r="QZ107" s="412"/>
      <c r="RA107" s="412"/>
      <c r="RB107" s="412"/>
      <c r="RC107" s="412"/>
      <c r="RD107" s="412"/>
      <c r="RE107" s="412"/>
      <c r="RF107" s="412"/>
      <c r="RG107" s="412"/>
      <c r="RH107" s="412"/>
      <c r="RI107" s="412"/>
      <c r="RJ107" s="412"/>
      <c r="RK107" s="412"/>
      <c r="RL107" s="412"/>
      <c r="RM107" s="412"/>
      <c r="RN107" s="412"/>
      <c r="RO107" s="412"/>
      <c r="RP107" s="412"/>
      <c r="RQ107" s="412"/>
      <c r="RR107" s="412"/>
      <c r="RS107" s="412"/>
      <c r="RT107" s="412"/>
      <c r="RU107" s="412"/>
      <c r="RV107" s="412"/>
      <c r="RW107" s="412"/>
      <c r="RX107" s="412"/>
      <c r="RY107" s="412"/>
      <c r="RZ107" s="412"/>
      <c r="SA107" s="412"/>
      <c r="SB107" s="412"/>
      <c r="SC107" s="412"/>
      <c r="SD107" s="412"/>
      <c r="SE107" s="412"/>
      <c r="SF107" s="412"/>
      <c r="SG107" s="412"/>
      <c r="SH107" s="412"/>
      <c r="SI107" s="412"/>
      <c r="SJ107" s="412"/>
      <c r="SK107" s="412"/>
      <c r="SL107" s="412"/>
      <c r="SM107" s="412"/>
      <c r="SN107" s="412"/>
      <c r="SO107" s="412"/>
      <c r="SP107" s="412"/>
      <c r="SQ107" s="412"/>
      <c r="SR107" s="412"/>
      <c r="SS107" s="412"/>
      <c r="ST107" s="412"/>
      <c r="SU107" s="412"/>
      <c r="SV107" s="412"/>
      <c r="SW107" s="412"/>
      <c r="SX107" s="412"/>
      <c r="SY107" s="412"/>
      <c r="SZ107" s="412"/>
      <c r="TA107" s="412"/>
      <c r="TB107" s="412"/>
      <c r="TC107" s="412"/>
      <c r="TD107" s="412"/>
      <c r="TE107" s="412"/>
      <c r="TF107" s="412"/>
      <c r="TG107" s="412"/>
      <c r="TH107" s="412"/>
      <c r="TI107" s="412"/>
      <c r="TJ107" s="412"/>
      <c r="TK107" s="412"/>
      <c r="TL107" s="412"/>
      <c r="TM107" s="412"/>
      <c r="TN107" s="412"/>
      <c r="TO107" s="412"/>
      <c r="TP107" s="412"/>
      <c r="TQ107" s="412"/>
      <c r="TR107" s="412"/>
      <c r="TS107" s="412"/>
      <c r="TT107" s="412"/>
      <c r="TU107" s="412"/>
      <c r="TV107" s="412"/>
      <c r="TW107" s="412"/>
      <c r="TX107" s="412"/>
      <c r="TY107" s="412"/>
      <c r="TZ107" s="412"/>
      <c r="UA107" s="412"/>
      <c r="UB107" s="412"/>
      <c r="UC107" s="412"/>
      <c r="UD107" s="412"/>
      <c r="UE107" s="412"/>
      <c r="UF107" s="412"/>
      <c r="UG107" s="412"/>
      <c r="UH107" s="412"/>
      <c r="UI107" s="412"/>
      <c r="UJ107" s="412"/>
      <c r="UK107" s="412"/>
      <c r="UL107" s="412"/>
      <c r="UM107" s="412"/>
      <c r="UN107" s="412"/>
      <c r="UO107" s="412"/>
      <c r="UP107" s="412"/>
      <c r="UQ107" s="412"/>
      <c r="UR107" s="412"/>
      <c r="US107" s="412"/>
      <c r="UT107" s="412"/>
      <c r="UU107" s="412"/>
      <c r="UV107" s="412"/>
      <c r="UW107" s="412"/>
      <c r="UX107" s="412"/>
      <c r="UY107" s="412"/>
      <c r="UZ107" s="412"/>
      <c r="VA107" s="412"/>
      <c r="VB107" s="412"/>
      <c r="VC107" s="412"/>
      <c r="VD107" s="412"/>
      <c r="VE107" s="412"/>
      <c r="VF107" s="412"/>
      <c r="VG107" s="412"/>
      <c r="VH107" s="412"/>
      <c r="VI107" s="412"/>
      <c r="VJ107" s="412"/>
      <c r="VK107" s="412"/>
      <c r="VL107" s="412"/>
      <c r="VM107" s="412"/>
      <c r="VN107" s="412"/>
      <c r="VO107" s="412"/>
      <c r="VP107" s="412"/>
      <c r="VQ107" s="412"/>
      <c r="VR107" s="412"/>
      <c r="VS107" s="412"/>
      <c r="VT107" s="412"/>
      <c r="VU107" s="412"/>
      <c r="VV107" s="412"/>
      <c r="VW107" s="412"/>
      <c r="VX107" s="412"/>
      <c r="VY107" s="412"/>
      <c r="VZ107" s="412"/>
      <c r="WA107" s="412"/>
      <c r="WB107" s="412"/>
      <c r="WC107" s="412"/>
      <c r="WD107" s="412"/>
      <c r="WE107" s="412"/>
      <c r="WF107" s="412"/>
      <c r="WG107" s="412"/>
      <c r="WH107" s="412"/>
      <c r="WI107" s="412"/>
      <c r="WJ107" s="412"/>
      <c r="WK107" s="412"/>
      <c r="WL107" s="412"/>
      <c r="WM107" s="412"/>
      <c r="WN107" s="412"/>
      <c r="WO107" s="412"/>
      <c r="WP107" s="412"/>
      <c r="WQ107" s="412"/>
      <c r="WR107" s="412"/>
      <c r="WS107" s="412"/>
      <c r="WT107" s="412"/>
      <c r="WU107" s="412"/>
      <c r="WV107" s="412"/>
      <c r="WW107" s="412"/>
      <c r="WX107" s="412"/>
      <c r="WY107" s="412"/>
      <c r="WZ107" s="412"/>
      <c r="XA107" s="412"/>
      <c r="XB107" s="412"/>
      <c r="XC107" s="412"/>
      <c r="XD107" s="412"/>
      <c r="XE107" s="412"/>
      <c r="XF107" s="412"/>
      <c r="XG107" s="412"/>
      <c r="XH107" s="412"/>
      <c r="XI107" s="412"/>
      <c r="XJ107" s="412"/>
      <c r="XK107" s="412"/>
      <c r="XL107" s="412"/>
      <c r="XM107" s="412"/>
      <c r="XN107" s="412"/>
      <c r="XO107" s="412"/>
      <c r="XP107" s="412"/>
      <c r="XQ107" s="412"/>
      <c r="XR107" s="412"/>
      <c r="XS107" s="412"/>
      <c r="XT107" s="412"/>
      <c r="XU107" s="412"/>
      <c r="XV107" s="412"/>
      <c r="XW107" s="412"/>
      <c r="XX107" s="412"/>
      <c r="XY107" s="412"/>
      <c r="XZ107" s="412"/>
      <c r="YA107" s="412"/>
      <c r="YB107" s="412"/>
      <c r="YC107" s="412"/>
      <c r="YD107" s="412"/>
      <c r="YE107" s="412"/>
      <c r="YF107" s="412"/>
      <c r="YG107" s="412"/>
      <c r="YH107" s="412"/>
      <c r="YI107" s="412"/>
      <c r="YJ107" s="412"/>
      <c r="YK107" s="412"/>
      <c r="YL107" s="412"/>
      <c r="YM107" s="412"/>
      <c r="YN107" s="412"/>
      <c r="YO107" s="412"/>
      <c r="YP107" s="412"/>
      <c r="YQ107" s="412"/>
      <c r="YR107" s="412"/>
      <c r="YS107" s="412"/>
      <c r="YT107" s="412"/>
      <c r="YU107" s="412"/>
      <c r="YV107" s="412"/>
      <c r="YW107" s="412"/>
      <c r="YX107" s="412"/>
      <c r="YY107" s="412"/>
      <c r="YZ107" s="412"/>
      <c r="ZA107" s="412"/>
      <c r="ZB107" s="412"/>
      <c r="ZC107" s="412"/>
      <c r="ZD107" s="412"/>
      <c r="ZE107" s="412"/>
      <c r="ZF107" s="412"/>
      <c r="ZG107" s="412"/>
      <c r="ZH107" s="412"/>
      <c r="ZI107" s="412"/>
      <c r="ZJ107" s="412"/>
      <c r="ZK107" s="412"/>
      <c r="ZL107" s="412"/>
      <c r="ZM107" s="412"/>
      <c r="ZN107" s="412"/>
      <c r="ZO107" s="412"/>
      <c r="ZP107" s="412"/>
      <c r="ZQ107" s="412"/>
      <c r="ZR107" s="412"/>
      <c r="ZS107" s="412"/>
      <c r="ZT107" s="412"/>
      <c r="ZU107" s="412"/>
      <c r="ZV107" s="412"/>
      <c r="ZW107" s="412"/>
      <c r="ZX107" s="412"/>
      <c r="ZY107" s="412"/>
      <c r="ZZ107" s="412"/>
      <c r="AAA107" s="412"/>
      <c r="AAB107" s="412"/>
      <c r="AAC107" s="412"/>
      <c r="AAD107" s="412"/>
      <c r="AAE107" s="412"/>
      <c r="AAF107" s="412"/>
      <c r="AAG107" s="412"/>
      <c r="AAH107" s="412"/>
      <c r="AAI107" s="412"/>
      <c r="AAJ107" s="412"/>
      <c r="AAK107" s="412"/>
      <c r="AAL107" s="412"/>
      <c r="AAM107" s="412"/>
      <c r="AAN107" s="412"/>
      <c r="AAO107" s="412"/>
      <c r="AAP107" s="412"/>
      <c r="AAQ107" s="412"/>
      <c r="AAR107" s="412"/>
      <c r="AAS107" s="412"/>
      <c r="AAT107" s="412"/>
      <c r="AAU107" s="412"/>
      <c r="AAV107" s="412"/>
      <c r="AAW107" s="412"/>
      <c r="AAX107" s="412"/>
      <c r="AAY107" s="412"/>
      <c r="AAZ107" s="412"/>
      <c r="ABA107" s="412"/>
      <c r="ABB107" s="412"/>
      <c r="ABC107" s="412"/>
      <c r="ABD107" s="412"/>
      <c r="ABE107" s="412"/>
      <c r="ABF107" s="412"/>
      <c r="ABG107" s="412"/>
      <c r="ABH107" s="412"/>
      <c r="ABI107" s="412"/>
      <c r="ABJ107" s="412"/>
      <c r="ABK107" s="412"/>
      <c r="ABL107" s="412"/>
      <c r="ABM107" s="412"/>
      <c r="ABN107" s="412"/>
      <c r="ABO107" s="412"/>
      <c r="ABP107" s="412"/>
      <c r="ABQ107" s="412"/>
      <c r="ABR107" s="412"/>
      <c r="ABS107" s="412"/>
      <c r="ABT107" s="412"/>
      <c r="ABU107" s="412"/>
      <c r="ABV107" s="412"/>
      <c r="ABW107" s="412"/>
      <c r="ABX107" s="412"/>
      <c r="ABY107" s="412"/>
      <c r="ABZ107" s="412"/>
      <c r="ACA107" s="412"/>
      <c r="ACB107" s="412"/>
      <c r="ACC107" s="412"/>
      <c r="ACD107" s="412"/>
      <c r="ACE107" s="412"/>
      <c r="ACF107" s="412"/>
      <c r="ACG107" s="412"/>
      <c r="ACH107" s="412"/>
      <c r="ACI107" s="412"/>
      <c r="ACJ107" s="412"/>
      <c r="ACK107" s="412"/>
      <c r="ACL107" s="412"/>
      <c r="ACM107" s="412"/>
      <c r="ACN107" s="412"/>
      <c r="ACO107" s="412"/>
      <c r="ACP107" s="412"/>
      <c r="ACQ107" s="412"/>
      <c r="ACR107" s="412"/>
      <c r="ACS107" s="412"/>
      <c r="ACT107" s="412"/>
      <c r="ACU107" s="412"/>
      <c r="ACV107" s="412"/>
      <c r="ACW107" s="412"/>
      <c r="ACX107" s="412"/>
      <c r="ACY107" s="412"/>
      <c r="ACZ107" s="412"/>
      <c r="ADA107" s="412"/>
      <c r="ADB107" s="412"/>
      <c r="ADC107" s="412"/>
      <c r="ADD107" s="412"/>
      <c r="ADE107" s="412"/>
      <c r="ADF107" s="412"/>
      <c r="ADG107" s="412"/>
      <c r="ADH107" s="412"/>
      <c r="ADI107" s="412"/>
      <c r="ADJ107" s="412"/>
      <c r="ADK107" s="412"/>
      <c r="ADL107" s="412"/>
      <c r="ADM107" s="412"/>
      <c r="ADN107" s="412"/>
      <c r="ADO107" s="412"/>
      <c r="ADP107" s="412"/>
      <c r="ADQ107" s="412"/>
      <c r="ADR107" s="412"/>
      <c r="ADS107" s="412"/>
      <c r="ADT107" s="412"/>
      <c r="ADU107" s="412"/>
      <c r="ADV107" s="412"/>
      <c r="ADW107" s="412"/>
      <c r="ADX107" s="412"/>
      <c r="ADY107" s="412"/>
      <c r="ADZ107" s="412"/>
      <c r="AEA107" s="412"/>
      <c r="AEB107" s="412"/>
      <c r="AEC107" s="412"/>
      <c r="AED107" s="412"/>
      <c r="AEE107" s="412"/>
      <c r="AEF107" s="412"/>
      <c r="AEG107" s="412"/>
      <c r="AEH107" s="412"/>
      <c r="AEI107" s="412"/>
      <c r="AEJ107" s="412"/>
      <c r="AEK107" s="412"/>
      <c r="AEL107" s="412"/>
      <c r="AEM107" s="412"/>
      <c r="AEN107" s="412"/>
      <c r="AEO107" s="412"/>
      <c r="AEP107" s="412"/>
      <c r="AEQ107" s="412"/>
      <c r="AER107" s="412"/>
      <c r="AES107" s="412"/>
      <c r="AET107" s="412"/>
      <c r="AEU107" s="412"/>
      <c r="AEV107" s="412"/>
      <c r="AEW107" s="412"/>
      <c r="AEX107" s="412"/>
      <c r="AEY107" s="412"/>
      <c r="AEZ107" s="412"/>
      <c r="AFA107" s="412"/>
      <c r="AFB107" s="412"/>
      <c r="AFC107" s="412"/>
      <c r="AFD107" s="412"/>
      <c r="AFE107" s="412"/>
      <c r="AFF107" s="412"/>
      <c r="AFG107" s="412"/>
      <c r="AFH107" s="412"/>
      <c r="AFI107" s="412"/>
      <c r="AFJ107" s="412"/>
      <c r="AFK107" s="412"/>
      <c r="AFL107" s="412"/>
      <c r="AFM107" s="412"/>
      <c r="AFN107" s="412"/>
      <c r="AFO107" s="412"/>
      <c r="AFP107" s="412"/>
      <c r="AFQ107" s="412"/>
      <c r="AFR107" s="412"/>
      <c r="AFS107" s="412"/>
      <c r="AFT107" s="412"/>
      <c r="AFU107" s="412"/>
      <c r="AFV107" s="412"/>
      <c r="AFW107" s="412"/>
      <c r="AFX107" s="412"/>
      <c r="AFY107" s="412"/>
      <c r="AFZ107" s="412"/>
      <c r="AGA107" s="412"/>
      <c r="AGB107" s="412"/>
      <c r="AGC107" s="412"/>
      <c r="AGD107" s="412"/>
      <c r="AGE107" s="412"/>
      <c r="AGF107" s="412"/>
      <c r="AGG107" s="412"/>
      <c r="AGH107" s="412"/>
      <c r="AGI107" s="412"/>
      <c r="AGJ107" s="412"/>
      <c r="AGK107" s="412"/>
      <c r="AGL107" s="412"/>
      <c r="AGM107" s="412"/>
      <c r="AGN107" s="412"/>
      <c r="AGO107" s="412"/>
      <c r="AGP107" s="412"/>
      <c r="AGQ107" s="412"/>
      <c r="AGR107" s="412"/>
      <c r="AGS107" s="412"/>
      <c r="AGT107" s="412"/>
      <c r="AGU107" s="412"/>
      <c r="AGV107" s="412"/>
      <c r="AGW107" s="412"/>
      <c r="AGX107" s="412"/>
      <c r="AGY107" s="412"/>
      <c r="AGZ107" s="412"/>
      <c r="AHA107" s="412"/>
      <c r="AHB107" s="412"/>
      <c r="AHC107" s="412"/>
      <c r="AHD107" s="412"/>
      <c r="AHE107" s="412"/>
      <c r="AHF107" s="412"/>
      <c r="AHG107" s="412"/>
      <c r="AHH107" s="412"/>
      <c r="AHI107" s="412"/>
      <c r="AHJ107" s="412"/>
      <c r="AHK107" s="412"/>
      <c r="AHL107" s="412"/>
      <c r="AHM107" s="412"/>
      <c r="AHN107" s="412"/>
      <c r="AHO107" s="412"/>
      <c r="AHP107" s="412"/>
      <c r="AHQ107" s="412"/>
      <c r="AHR107" s="412"/>
      <c r="AHS107" s="412"/>
      <c r="AHT107" s="412"/>
      <c r="AHU107" s="412"/>
      <c r="AHV107" s="412"/>
      <c r="AHW107" s="412"/>
      <c r="AHX107" s="412"/>
      <c r="AHY107" s="412"/>
      <c r="AHZ107" s="412"/>
      <c r="AIA107" s="412"/>
      <c r="AIB107" s="412"/>
      <c r="AIC107" s="412"/>
      <c r="AID107" s="412"/>
      <c r="AIE107" s="412"/>
      <c r="AIF107" s="412"/>
      <c r="AIG107" s="412"/>
      <c r="AIH107" s="412"/>
      <c r="AII107" s="412"/>
      <c r="AIJ107" s="412"/>
      <c r="AIK107" s="412"/>
      <c r="AIL107" s="412"/>
      <c r="AIM107" s="412"/>
      <c r="AIN107" s="412"/>
      <c r="AIO107" s="412"/>
      <c r="AIP107" s="412"/>
      <c r="AIQ107" s="412"/>
      <c r="AIR107" s="412"/>
      <c r="AIS107" s="412"/>
      <c r="AIT107" s="412"/>
      <c r="AIU107" s="412"/>
      <c r="AIV107" s="412"/>
      <c r="AIW107" s="412"/>
      <c r="AIX107" s="412"/>
      <c r="AIY107" s="412"/>
      <c r="AIZ107" s="412"/>
      <c r="AJA107" s="412"/>
      <c r="AJB107" s="412"/>
      <c r="AJC107" s="412"/>
      <c r="AJD107" s="412"/>
      <c r="AJE107" s="412"/>
      <c r="AJF107" s="412"/>
      <c r="AJG107" s="412"/>
      <c r="AJH107" s="412"/>
      <c r="AJI107" s="412"/>
      <c r="AJJ107" s="412"/>
      <c r="AJK107" s="412"/>
      <c r="AJL107" s="412"/>
      <c r="AJM107" s="412"/>
      <c r="AJN107" s="412"/>
      <c r="AJO107" s="412"/>
      <c r="AJP107" s="412"/>
      <c r="AJQ107" s="412"/>
      <c r="AJR107" s="412"/>
      <c r="AJS107" s="412"/>
      <c r="AJT107" s="412"/>
      <c r="AJU107" s="412"/>
      <c r="AJV107" s="412"/>
      <c r="AJW107" s="412"/>
      <c r="AJX107" s="412"/>
      <c r="AJY107" s="412"/>
      <c r="AJZ107" s="412"/>
      <c r="AKA107" s="412"/>
      <c r="AKB107" s="412"/>
      <c r="AKC107" s="412"/>
      <c r="AKD107" s="412"/>
      <c r="AKE107" s="412"/>
      <c r="AKF107" s="412"/>
      <c r="AKG107" s="412"/>
      <c r="AKH107" s="412"/>
      <c r="AKI107" s="412"/>
      <c r="AKJ107" s="412"/>
      <c r="AKK107" s="412"/>
      <c r="AKL107" s="412"/>
      <c r="AKM107" s="412"/>
      <c r="AKN107" s="412"/>
      <c r="AKO107" s="412"/>
      <c r="AKP107" s="412"/>
      <c r="AKQ107" s="412"/>
      <c r="AKR107" s="412"/>
      <c r="AKS107" s="412"/>
      <c r="AKT107" s="412"/>
      <c r="AKU107" s="412"/>
      <c r="AKV107" s="412"/>
      <c r="AKW107" s="412"/>
      <c r="AKX107" s="412"/>
      <c r="AKY107" s="412"/>
      <c r="AKZ107" s="412"/>
      <c r="ALA107" s="412"/>
      <c r="ALB107" s="412"/>
      <c r="ALC107" s="412"/>
      <c r="ALD107" s="412"/>
      <c r="ALE107" s="412"/>
      <c r="ALF107" s="412"/>
      <c r="ALG107" s="412"/>
      <c r="ALH107" s="412"/>
      <c r="ALI107" s="412"/>
      <c r="ALJ107" s="412"/>
      <c r="ALK107" s="412"/>
      <c r="ALL107" s="412"/>
      <c r="ALM107" s="412"/>
      <c r="ALN107" s="412"/>
      <c r="ALO107" s="412"/>
      <c r="ALP107" s="412"/>
      <c r="ALQ107" s="412"/>
      <c r="ALR107" s="412"/>
      <c r="ALS107" s="412"/>
      <c r="ALT107" s="412"/>
      <c r="ALU107" s="412"/>
      <c r="ALV107" s="412"/>
      <c r="ALW107" s="412"/>
      <c r="ALX107" s="412"/>
      <c r="ALY107" s="412"/>
      <c r="ALZ107" s="412"/>
      <c r="AMA107" s="412"/>
      <c r="AMB107" s="412"/>
      <c r="AMC107" s="412"/>
      <c r="AMD107" s="412"/>
      <c r="AME107" s="412"/>
      <c r="AMF107" s="412"/>
      <c r="AMG107" s="412"/>
      <c r="AMH107" s="412"/>
      <c r="AMI107" s="412"/>
      <c r="AMJ107" s="412"/>
      <c r="AMK107" s="412"/>
      <c r="AML107" s="412"/>
      <c r="AMM107" s="412"/>
      <c r="AMN107" s="412"/>
      <c r="AMO107" s="412"/>
      <c r="AMP107" s="412"/>
      <c r="AMQ107" s="412"/>
      <c r="AMR107" s="412"/>
      <c r="AMS107" s="412"/>
      <c r="AMT107" s="412"/>
      <c r="AMU107" s="412"/>
      <c r="AMV107" s="412"/>
      <c r="AMW107" s="412"/>
      <c r="AMX107" s="412"/>
      <c r="AMY107" s="412"/>
      <c r="AMZ107" s="412"/>
      <c r="ANA107" s="412"/>
      <c r="ANB107" s="412"/>
      <c r="ANC107" s="412"/>
      <c r="AND107" s="412"/>
      <c r="ANE107" s="412"/>
      <c r="ANF107" s="412"/>
      <c r="ANG107" s="412"/>
      <c r="ANH107" s="412"/>
      <c r="ANI107" s="412"/>
      <c r="ANJ107" s="412"/>
      <c r="ANK107" s="412"/>
      <c r="ANL107" s="412"/>
      <c r="ANM107" s="412"/>
      <c r="ANN107" s="412"/>
      <c r="ANO107" s="412"/>
      <c r="ANP107" s="412"/>
      <c r="ANQ107" s="412"/>
      <c r="ANR107" s="412"/>
      <c r="ANS107" s="412"/>
      <c r="ANT107" s="412"/>
      <c r="ANU107" s="412"/>
      <c r="ANV107" s="412"/>
      <c r="ANW107" s="412"/>
      <c r="ANX107" s="412"/>
      <c r="ANY107" s="412"/>
      <c r="ANZ107" s="412"/>
      <c r="AOA107" s="412"/>
      <c r="AOB107" s="412"/>
      <c r="AOC107" s="412"/>
      <c r="AOD107" s="412"/>
      <c r="AOE107" s="412"/>
      <c r="AOF107" s="412"/>
      <c r="AOG107" s="412"/>
      <c r="AOH107" s="412"/>
      <c r="AOI107" s="412"/>
      <c r="AOJ107" s="412"/>
      <c r="AOK107" s="412"/>
      <c r="AOL107" s="412"/>
      <c r="AOM107" s="412"/>
      <c r="AON107" s="412"/>
      <c r="AOO107" s="412"/>
      <c r="AOP107" s="412"/>
      <c r="AOQ107" s="412"/>
      <c r="AOR107" s="412"/>
      <c r="AOS107" s="412"/>
      <c r="AOT107" s="412"/>
      <c r="AOU107" s="412"/>
      <c r="AOV107" s="412"/>
      <c r="AOW107" s="412"/>
      <c r="AOX107" s="412"/>
      <c r="AOY107" s="412"/>
      <c r="AOZ107" s="412"/>
      <c r="APA107" s="412"/>
      <c r="APB107" s="412"/>
      <c r="APC107" s="412"/>
      <c r="APD107" s="412"/>
      <c r="APE107" s="412"/>
      <c r="APF107" s="412"/>
      <c r="APG107" s="412"/>
      <c r="APH107" s="412"/>
      <c r="API107" s="412"/>
      <c r="APJ107" s="412"/>
      <c r="APK107" s="412"/>
      <c r="APL107" s="412"/>
      <c r="APM107" s="412"/>
      <c r="APN107" s="412"/>
      <c r="APO107" s="412"/>
      <c r="APP107" s="412"/>
      <c r="APQ107" s="412"/>
      <c r="APR107" s="412"/>
      <c r="APS107" s="412"/>
      <c r="APT107" s="412"/>
      <c r="APU107" s="412"/>
      <c r="APV107" s="412"/>
      <c r="APW107" s="412"/>
      <c r="APX107" s="412"/>
      <c r="APY107" s="412"/>
      <c r="APZ107" s="412"/>
      <c r="AQA107" s="412"/>
      <c r="AQB107" s="412"/>
      <c r="AQC107" s="412"/>
      <c r="AQD107" s="412"/>
      <c r="AQE107" s="412"/>
      <c r="AQF107" s="412"/>
      <c r="AQG107" s="412"/>
      <c r="AQH107" s="412"/>
      <c r="AQI107" s="412"/>
      <c r="AQJ107" s="412"/>
      <c r="AQK107" s="412"/>
      <c r="AQL107" s="412"/>
      <c r="AQM107" s="412"/>
      <c r="AQN107" s="412"/>
      <c r="AQO107" s="412"/>
      <c r="AQP107" s="412"/>
      <c r="AQQ107" s="412"/>
      <c r="AQR107" s="412"/>
      <c r="AQS107" s="412"/>
      <c r="AQT107" s="412"/>
      <c r="AQU107" s="412"/>
      <c r="AQV107" s="412"/>
      <c r="AQW107" s="412"/>
      <c r="AQX107" s="412"/>
      <c r="AQY107" s="412"/>
      <c r="AQZ107" s="412"/>
      <c r="ARA107" s="412"/>
      <c r="ARB107" s="412"/>
      <c r="ARC107" s="412"/>
      <c r="ARD107" s="412"/>
      <c r="ARE107" s="412"/>
      <c r="ARF107" s="412"/>
      <c r="ARG107" s="412"/>
      <c r="ARH107" s="412"/>
      <c r="ARI107" s="412"/>
      <c r="ARJ107" s="412"/>
      <c r="ARK107" s="412"/>
      <c r="ARL107" s="412"/>
      <c r="ARM107" s="412"/>
      <c r="ARN107" s="412"/>
      <c r="ARO107" s="412"/>
      <c r="ARP107" s="412"/>
      <c r="ARQ107" s="412"/>
      <c r="ARR107" s="412"/>
      <c r="ARS107" s="412"/>
      <c r="ART107" s="412"/>
      <c r="ARU107" s="412"/>
      <c r="ARV107" s="412"/>
      <c r="ARW107" s="412"/>
      <c r="ARX107" s="412"/>
      <c r="ARY107" s="412"/>
      <c r="ARZ107" s="412"/>
      <c r="ASA107" s="412"/>
      <c r="ASB107" s="412"/>
      <c r="ASC107" s="412"/>
      <c r="ASD107" s="412"/>
      <c r="ASE107" s="412"/>
      <c r="ASF107" s="412"/>
      <c r="ASG107" s="412"/>
      <c r="ASH107" s="412"/>
      <c r="ASI107" s="412"/>
      <c r="ASJ107" s="412"/>
      <c r="ASK107" s="412"/>
      <c r="ASL107" s="412"/>
      <c r="ASM107" s="412"/>
      <c r="ASN107" s="412"/>
      <c r="ASO107" s="412"/>
      <c r="ASP107" s="412"/>
      <c r="ASQ107" s="412"/>
      <c r="ASR107" s="412"/>
      <c r="ASS107" s="412"/>
      <c r="AST107" s="412"/>
      <c r="ASU107" s="412"/>
      <c r="ASV107" s="412"/>
      <c r="ASW107" s="412"/>
      <c r="ASX107" s="412"/>
      <c r="ASY107" s="412"/>
      <c r="ASZ107" s="412"/>
      <c r="ATA107" s="412"/>
      <c r="ATB107" s="412"/>
      <c r="ATC107" s="412"/>
      <c r="ATD107" s="412"/>
      <c r="ATE107" s="412"/>
      <c r="ATF107" s="412"/>
      <c r="ATG107" s="412"/>
      <c r="ATH107" s="412"/>
      <c r="ATI107" s="412"/>
      <c r="ATJ107" s="412"/>
      <c r="ATK107" s="412"/>
      <c r="ATL107" s="412"/>
      <c r="ATM107" s="412"/>
      <c r="ATN107" s="412"/>
      <c r="ATO107" s="412"/>
      <c r="ATP107" s="412"/>
      <c r="ATQ107" s="412"/>
      <c r="ATR107" s="412"/>
      <c r="ATS107" s="412"/>
      <c r="ATT107" s="412"/>
      <c r="ATU107" s="412"/>
      <c r="ATV107" s="412"/>
      <c r="ATW107" s="412"/>
      <c r="ATX107" s="412"/>
      <c r="ATY107" s="412"/>
      <c r="ATZ107" s="412"/>
      <c r="AUA107" s="412"/>
      <c r="AUB107" s="412"/>
      <c r="AUC107" s="412"/>
      <c r="AUD107" s="412"/>
      <c r="AUE107" s="412"/>
      <c r="AUF107" s="412"/>
      <c r="AUG107" s="412"/>
      <c r="AUH107" s="412"/>
      <c r="AUI107" s="412"/>
      <c r="AUJ107" s="412"/>
      <c r="AUK107" s="412"/>
      <c r="AUL107" s="412"/>
      <c r="AUM107" s="412"/>
      <c r="AUN107" s="412"/>
      <c r="AUO107" s="412"/>
      <c r="AUP107" s="412"/>
      <c r="AUQ107" s="412"/>
      <c r="AUR107" s="412"/>
      <c r="AUS107" s="412"/>
      <c r="AUT107" s="412"/>
      <c r="AUU107" s="412"/>
      <c r="AUV107" s="412"/>
      <c r="AUW107" s="412"/>
      <c r="AUX107" s="412"/>
      <c r="AUY107" s="412"/>
      <c r="AUZ107" s="412"/>
      <c r="AVA107" s="412"/>
      <c r="AVB107" s="412"/>
      <c r="AVC107" s="412"/>
      <c r="AVD107" s="412"/>
      <c r="AVE107" s="412"/>
      <c r="AVF107" s="412"/>
      <c r="AVG107" s="412"/>
      <c r="AVH107" s="412"/>
      <c r="AVI107" s="412"/>
      <c r="AVJ107" s="412"/>
      <c r="AVK107" s="412"/>
      <c r="AVL107" s="412"/>
      <c r="AVM107" s="412"/>
      <c r="AVN107" s="412"/>
      <c r="AVO107" s="412"/>
      <c r="AVP107" s="412"/>
      <c r="AVQ107" s="412"/>
      <c r="AVR107" s="412"/>
      <c r="AVS107" s="412"/>
      <c r="AVT107" s="412"/>
      <c r="AVU107" s="412"/>
      <c r="AVV107" s="412"/>
      <c r="AVW107" s="412"/>
      <c r="AVX107" s="412"/>
      <c r="AVY107" s="412"/>
      <c r="AVZ107" s="412"/>
      <c r="AWA107" s="412"/>
      <c r="AWB107" s="412"/>
      <c r="AWC107" s="412"/>
      <c r="AWD107" s="412"/>
      <c r="AWE107" s="412"/>
      <c r="AWF107" s="412"/>
      <c r="AWG107" s="412"/>
      <c r="AWH107" s="412"/>
      <c r="AWI107" s="412"/>
      <c r="AWJ107" s="412"/>
      <c r="AWK107" s="412"/>
      <c r="AWL107" s="412"/>
      <c r="AWM107" s="412"/>
      <c r="AWN107" s="412"/>
      <c r="AWO107" s="412"/>
      <c r="AWP107" s="412"/>
      <c r="AWQ107" s="412"/>
      <c r="AWR107" s="412"/>
      <c r="AWS107" s="412"/>
      <c r="AWT107" s="412"/>
      <c r="AWU107" s="412"/>
      <c r="AWV107" s="412"/>
      <c r="AWW107" s="412"/>
      <c r="AWX107" s="412"/>
      <c r="AWY107" s="412"/>
      <c r="AWZ107" s="412"/>
      <c r="AXA107" s="412"/>
      <c r="AXB107" s="412"/>
      <c r="AXC107" s="412"/>
      <c r="AXD107" s="412"/>
      <c r="AXE107" s="412"/>
      <c r="AXF107" s="412"/>
      <c r="AXG107" s="412"/>
      <c r="AXH107" s="412"/>
      <c r="AXI107" s="412"/>
      <c r="AXJ107" s="412"/>
      <c r="AXK107" s="412"/>
      <c r="AXL107" s="412"/>
      <c r="AXM107" s="412"/>
      <c r="AXN107" s="412"/>
      <c r="AXO107" s="412"/>
      <c r="AXP107" s="412"/>
      <c r="AXQ107" s="412"/>
      <c r="AXR107" s="412"/>
      <c r="AXS107" s="412"/>
      <c r="AXT107" s="412"/>
      <c r="AXU107" s="412"/>
      <c r="AXV107" s="412"/>
      <c r="AXW107" s="412"/>
      <c r="AXX107" s="412"/>
      <c r="AXY107" s="412"/>
      <c r="AXZ107" s="412"/>
      <c r="AYA107" s="412"/>
      <c r="AYB107" s="412"/>
      <c r="AYC107" s="412"/>
      <c r="AYD107" s="412"/>
      <c r="AYE107" s="412"/>
      <c r="AYF107" s="412"/>
      <c r="AYG107" s="412"/>
      <c r="AYH107" s="412"/>
      <c r="AYI107" s="412"/>
      <c r="AYJ107" s="412"/>
      <c r="AYK107" s="412"/>
      <c r="AYL107" s="412"/>
      <c r="AYM107" s="412"/>
      <c r="AYN107" s="412"/>
      <c r="AYO107" s="412"/>
      <c r="AYP107" s="412"/>
      <c r="AYQ107" s="412"/>
      <c r="AYR107" s="412"/>
      <c r="AYS107" s="412"/>
      <c r="AYT107" s="412"/>
      <c r="AYU107" s="412"/>
      <c r="AYV107" s="412"/>
      <c r="AYW107" s="412"/>
      <c r="AYX107" s="412"/>
      <c r="AYY107" s="412"/>
      <c r="AYZ107" s="412"/>
      <c r="AZA107" s="412"/>
      <c r="AZB107" s="412"/>
      <c r="AZC107" s="412"/>
      <c r="AZD107" s="412"/>
      <c r="AZE107" s="412"/>
      <c r="AZF107" s="412"/>
      <c r="AZG107" s="412"/>
      <c r="AZH107" s="412"/>
      <c r="AZI107" s="412"/>
      <c r="AZJ107" s="412"/>
      <c r="AZK107" s="412"/>
      <c r="AZL107" s="412"/>
      <c r="AZM107" s="412"/>
      <c r="AZN107" s="412"/>
      <c r="AZO107" s="412"/>
      <c r="AZP107" s="412"/>
      <c r="AZQ107" s="412"/>
      <c r="AZR107" s="412"/>
      <c r="AZS107" s="412"/>
      <c r="AZT107" s="412"/>
      <c r="AZU107" s="412"/>
      <c r="AZV107" s="412"/>
      <c r="AZW107" s="412"/>
      <c r="AZX107" s="412"/>
      <c r="AZY107" s="412"/>
      <c r="AZZ107" s="412"/>
      <c r="BAA107" s="412"/>
      <c r="BAB107" s="412"/>
      <c r="BAC107" s="412"/>
      <c r="BAD107" s="412"/>
      <c r="BAE107" s="412"/>
      <c r="BAF107" s="412"/>
      <c r="BAG107" s="412"/>
      <c r="BAH107" s="412"/>
      <c r="BAI107" s="412"/>
      <c r="BAJ107" s="412"/>
      <c r="BAK107" s="412"/>
      <c r="BAL107" s="412"/>
      <c r="BAM107" s="412"/>
      <c r="BAN107" s="412"/>
      <c r="BAO107" s="412"/>
      <c r="BAP107" s="412"/>
      <c r="BAQ107" s="412"/>
      <c r="BAR107" s="412"/>
      <c r="BAS107" s="412"/>
      <c r="BAT107" s="412"/>
      <c r="BAU107" s="412"/>
      <c r="BAV107" s="412"/>
      <c r="BAW107" s="412"/>
      <c r="BAX107" s="412"/>
      <c r="BAY107" s="412"/>
      <c r="BAZ107" s="412"/>
      <c r="BBA107" s="412"/>
      <c r="BBB107" s="412"/>
      <c r="BBC107" s="412"/>
      <c r="BBD107" s="412"/>
      <c r="BBE107" s="412"/>
      <c r="BBF107" s="412"/>
      <c r="BBG107" s="412"/>
      <c r="BBH107" s="412"/>
      <c r="BBI107" s="412"/>
      <c r="BBJ107" s="412"/>
      <c r="BBK107" s="412"/>
      <c r="BBL107" s="412"/>
      <c r="BBM107" s="412"/>
      <c r="BBN107" s="412"/>
      <c r="BBO107" s="412"/>
      <c r="BBP107" s="412"/>
      <c r="BBQ107" s="412"/>
      <c r="BBR107" s="412"/>
      <c r="BBS107" s="412"/>
      <c r="BBT107" s="412"/>
      <c r="BBU107" s="412"/>
      <c r="BBV107" s="412"/>
      <c r="BBW107" s="412"/>
      <c r="BBX107" s="412"/>
      <c r="BBY107" s="412"/>
      <c r="BBZ107" s="412"/>
      <c r="BCA107" s="412"/>
      <c r="BCB107" s="412"/>
      <c r="BCC107" s="412"/>
      <c r="BCD107" s="412"/>
      <c r="BCE107" s="412"/>
      <c r="BCF107" s="412"/>
      <c r="BCG107" s="412"/>
      <c r="BCH107" s="412"/>
      <c r="BCI107" s="412"/>
      <c r="BCJ107" s="412"/>
      <c r="BCK107" s="412"/>
      <c r="BCL107" s="412"/>
      <c r="BCM107" s="412"/>
      <c r="BCN107" s="412"/>
      <c r="BCO107" s="412"/>
      <c r="BCP107" s="412"/>
      <c r="BCQ107" s="412"/>
      <c r="BCR107" s="412"/>
      <c r="BCS107" s="412"/>
      <c r="BCT107" s="412"/>
      <c r="BCU107" s="412"/>
      <c r="BCV107" s="412"/>
      <c r="BCW107" s="412"/>
      <c r="BCX107" s="412"/>
      <c r="BCY107" s="412"/>
      <c r="BCZ107" s="412"/>
      <c r="BDA107" s="412"/>
      <c r="BDB107" s="412"/>
      <c r="BDC107" s="412"/>
      <c r="BDD107" s="412"/>
      <c r="BDE107" s="412"/>
      <c r="BDF107" s="412"/>
      <c r="BDG107" s="412"/>
      <c r="BDH107" s="412"/>
      <c r="BDI107" s="412"/>
      <c r="BDJ107" s="412"/>
      <c r="BDK107" s="412"/>
      <c r="BDL107" s="412"/>
      <c r="BDM107" s="412"/>
      <c r="BDN107" s="412"/>
      <c r="BDO107" s="412"/>
      <c r="BDP107" s="412"/>
      <c r="BDQ107" s="412"/>
      <c r="BDR107" s="412"/>
      <c r="BDS107" s="412"/>
      <c r="BDT107" s="412"/>
      <c r="BDU107" s="412"/>
      <c r="BDV107" s="412"/>
      <c r="BDW107" s="412"/>
      <c r="BDX107" s="412"/>
      <c r="BDY107" s="412"/>
      <c r="BDZ107" s="412"/>
      <c r="BEA107" s="412"/>
      <c r="BEB107" s="412"/>
      <c r="BEC107" s="412"/>
      <c r="BED107" s="412"/>
      <c r="BEE107" s="412"/>
      <c r="BEF107" s="412"/>
      <c r="BEG107" s="412"/>
      <c r="BEH107" s="412"/>
      <c r="BEI107" s="412"/>
      <c r="BEJ107" s="412"/>
      <c r="BEK107" s="412"/>
      <c r="BEL107" s="412"/>
      <c r="BEM107" s="412"/>
      <c r="BEN107" s="412"/>
      <c r="BEO107" s="412"/>
      <c r="BEP107" s="412"/>
      <c r="BEQ107" s="412"/>
      <c r="BER107" s="412"/>
      <c r="BES107" s="412"/>
      <c r="BET107" s="412"/>
      <c r="BEU107" s="412"/>
      <c r="BEV107" s="412"/>
      <c r="BEW107" s="412"/>
      <c r="BEX107" s="412"/>
      <c r="BEY107" s="412"/>
      <c r="BEZ107" s="412"/>
      <c r="BFA107" s="412"/>
      <c r="BFB107" s="412"/>
      <c r="BFC107" s="412"/>
      <c r="BFD107" s="412"/>
      <c r="BFE107" s="412"/>
      <c r="BFF107" s="412"/>
      <c r="BFG107" s="412"/>
      <c r="BFH107" s="412"/>
      <c r="BFI107" s="412"/>
      <c r="BFJ107" s="412"/>
      <c r="BFK107" s="412"/>
      <c r="BFL107" s="412"/>
      <c r="BFM107" s="412"/>
      <c r="BFN107" s="412"/>
      <c r="BFO107" s="412"/>
      <c r="BFP107" s="412"/>
      <c r="BFQ107" s="412"/>
      <c r="BFR107" s="412"/>
      <c r="BFS107" s="412"/>
      <c r="BFT107" s="412"/>
      <c r="BFU107" s="412"/>
      <c r="BFV107" s="412"/>
      <c r="BFW107" s="412"/>
      <c r="BFX107" s="412"/>
      <c r="BFY107" s="412"/>
      <c r="BFZ107" s="412"/>
      <c r="BGA107" s="412"/>
      <c r="BGB107" s="412"/>
      <c r="BGC107" s="412"/>
      <c r="BGD107" s="412"/>
      <c r="BGE107" s="412"/>
      <c r="BGF107" s="412"/>
      <c r="BGG107" s="412"/>
      <c r="BGH107" s="412"/>
      <c r="BGI107" s="412"/>
      <c r="BGJ107" s="412"/>
      <c r="BGK107" s="412"/>
      <c r="BGL107" s="412"/>
      <c r="BGM107" s="412"/>
      <c r="BGN107" s="412"/>
      <c r="BGO107" s="412"/>
      <c r="BGP107" s="412"/>
      <c r="BGQ107" s="412"/>
      <c r="BGR107" s="412"/>
      <c r="BGS107" s="412"/>
      <c r="BGT107" s="412"/>
      <c r="BGU107" s="412"/>
      <c r="BGV107" s="412"/>
      <c r="BGW107" s="412"/>
      <c r="BGX107" s="412"/>
      <c r="BGY107" s="412"/>
      <c r="BGZ107" s="412"/>
      <c r="BHA107" s="412"/>
      <c r="BHB107" s="412"/>
      <c r="BHC107" s="412"/>
      <c r="BHD107" s="412"/>
      <c r="BHE107" s="412"/>
      <c r="BHF107" s="412"/>
      <c r="BHG107" s="412"/>
      <c r="BHH107" s="412"/>
      <c r="BHI107" s="412"/>
      <c r="BHJ107" s="412"/>
      <c r="BHK107" s="412"/>
      <c r="BHL107" s="412"/>
      <c r="BHM107" s="412"/>
      <c r="BHN107" s="412"/>
      <c r="BHO107" s="412"/>
      <c r="BHP107" s="412"/>
      <c r="BHQ107" s="412"/>
      <c r="BHR107" s="412"/>
      <c r="BHS107" s="412"/>
      <c r="BHT107" s="412"/>
      <c r="BHU107" s="412"/>
      <c r="BHV107" s="412"/>
      <c r="BHW107" s="412"/>
      <c r="BHX107" s="412"/>
      <c r="BHY107" s="412"/>
      <c r="BHZ107" s="412"/>
      <c r="BIA107" s="412"/>
      <c r="BIB107" s="412"/>
      <c r="BIC107" s="412"/>
      <c r="BID107" s="412"/>
      <c r="BIE107" s="412"/>
      <c r="BIF107" s="412"/>
      <c r="BIG107" s="412"/>
      <c r="BIH107" s="412"/>
      <c r="BII107" s="412"/>
      <c r="BIJ107" s="412"/>
      <c r="BIK107" s="412"/>
      <c r="BIL107" s="412"/>
      <c r="BIM107" s="412"/>
      <c r="BIN107" s="412"/>
      <c r="BIO107" s="412"/>
      <c r="BIP107" s="412"/>
      <c r="BIQ107" s="412"/>
      <c r="BIR107" s="412"/>
      <c r="BIS107" s="412"/>
      <c r="BIT107" s="412"/>
      <c r="BIU107" s="412"/>
      <c r="BIV107" s="412"/>
      <c r="BIW107" s="412"/>
      <c r="BIX107" s="412"/>
      <c r="BIY107" s="412"/>
      <c r="BIZ107" s="412"/>
      <c r="BJA107" s="412"/>
      <c r="BJB107" s="412"/>
      <c r="BJC107" s="412"/>
      <c r="BJD107" s="412"/>
      <c r="BJE107" s="412"/>
      <c r="BJF107" s="412"/>
      <c r="BJG107" s="412"/>
      <c r="BJH107" s="412"/>
      <c r="BJI107" s="412"/>
      <c r="BJJ107" s="412"/>
      <c r="BJK107" s="412"/>
      <c r="BJL107" s="412"/>
      <c r="BJM107" s="412"/>
      <c r="BJN107" s="412"/>
      <c r="BJO107" s="412"/>
      <c r="BJP107" s="412"/>
      <c r="BJQ107" s="412"/>
      <c r="BJR107" s="412"/>
      <c r="BJS107" s="412"/>
      <c r="BJT107" s="412"/>
      <c r="BJU107" s="412"/>
      <c r="BJV107" s="412"/>
      <c r="BJW107" s="412"/>
      <c r="BJX107" s="412"/>
      <c r="BJY107" s="412"/>
      <c r="BJZ107" s="412"/>
      <c r="BKA107" s="412"/>
      <c r="BKB107" s="412"/>
      <c r="BKC107" s="412"/>
      <c r="BKD107" s="412"/>
      <c r="BKE107" s="412"/>
      <c r="BKF107" s="412"/>
      <c r="BKG107" s="412"/>
      <c r="BKH107" s="412"/>
      <c r="BKI107" s="412"/>
      <c r="BKJ107" s="412"/>
      <c r="BKK107" s="412"/>
      <c r="BKL107" s="412"/>
      <c r="BKM107" s="412"/>
      <c r="BKN107" s="412"/>
      <c r="BKO107" s="412"/>
      <c r="BKP107" s="412"/>
      <c r="BKQ107" s="412"/>
      <c r="BKR107" s="412"/>
      <c r="BKS107" s="412"/>
      <c r="BKT107" s="412"/>
      <c r="BKU107" s="412"/>
      <c r="BKV107" s="412"/>
      <c r="BKW107" s="412"/>
      <c r="BKX107" s="412"/>
      <c r="BKY107" s="412"/>
      <c r="BKZ107" s="412"/>
      <c r="BLA107" s="412"/>
      <c r="BLB107" s="412"/>
      <c r="BLC107" s="412"/>
      <c r="BLD107" s="412"/>
      <c r="BLE107" s="412"/>
      <c r="BLF107" s="412"/>
      <c r="BLG107" s="412"/>
      <c r="BLH107" s="412"/>
      <c r="BLI107" s="412"/>
      <c r="BLJ107" s="412"/>
      <c r="BLK107" s="412"/>
      <c r="BLL107" s="412"/>
      <c r="BLM107" s="412"/>
      <c r="BLN107" s="412"/>
      <c r="BLO107" s="412"/>
      <c r="BLP107" s="412"/>
      <c r="BLQ107" s="412"/>
      <c r="BLR107" s="412"/>
      <c r="BLS107" s="412"/>
      <c r="BLT107" s="412"/>
      <c r="BLU107" s="412"/>
      <c r="BLV107" s="412"/>
      <c r="BLW107" s="412"/>
      <c r="BLX107" s="412"/>
      <c r="BLY107" s="412"/>
      <c r="BLZ107" s="412"/>
      <c r="BMA107" s="412"/>
      <c r="BMB107" s="412"/>
      <c r="BMC107" s="412"/>
      <c r="BMD107" s="412"/>
      <c r="BME107" s="412"/>
      <c r="BMF107" s="412"/>
      <c r="BMG107" s="412"/>
      <c r="BMH107" s="412"/>
      <c r="BMI107" s="412"/>
      <c r="BMJ107" s="412"/>
      <c r="BMK107" s="412"/>
      <c r="BML107" s="412"/>
      <c r="BMM107" s="412"/>
      <c r="BMN107" s="412"/>
      <c r="BMO107" s="412"/>
      <c r="BMP107" s="412"/>
      <c r="BMQ107" s="412"/>
      <c r="BMR107" s="412"/>
      <c r="BMS107" s="412"/>
      <c r="BMT107" s="412"/>
      <c r="BMU107" s="412"/>
      <c r="BMV107" s="412"/>
      <c r="BMW107" s="412"/>
      <c r="BMX107" s="412"/>
      <c r="BMY107" s="412"/>
      <c r="BMZ107" s="412"/>
      <c r="BNA107" s="412"/>
      <c r="BNB107" s="412"/>
      <c r="BNC107" s="412"/>
      <c r="BND107" s="412"/>
      <c r="BNE107" s="412"/>
      <c r="BNF107" s="412"/>
      <c r="BNG107" s="412"/>
      <c r="BNH107" s="412"/>
      <c r="BNI107" s="412"/>
      <c r="BNJ107" s="412"/>
      <c r="BNK107" s="412"/>
      <c r="BNL107" s="412"/>
      <c r="BNM107" s="412"/>
      <c r="BNN107" s="412"/>
      <c r="BNO107" s="412"/>
      <c r="BNP107" s="412"/>
      <c r="BNQ107" s="412"/>
      <c r="BNR107" s="412"/>
      <c r="BNS107" s="412"/>
      <c r="BNT107" s="412"/>
      <c r="BNU107" s="412"/>
      <c r="BNV107" s="412"/>
      <c r="BNW107" s="412"/>
      <c r="BNX107" s="412"/>
      <c r="BNY107" s="412"/>
      <c r="BNZ107" s="412"/>
      <c r="BOA107" s="412"/>
      <c r="BOB107" s="412"/>
      <c r="BOC107" s="412"/>
      <c r="BOD107" s="412"/>
      <c r="BOE107" s="412"/>
      <c r="BOF107" s="412"/>
      <c r="BOG107" s="412"/>
      <c r="BOH107" s="412"/>
      <c r="BOI107" s="412"/>
      <c r="BOJ107" s="412"/>
      <c r="BOK107" s="412"/>
      <c r="BOL107" s="412"/>
      <c r="BOM107" s="412"/>
      <c r="BON107" s="412"/>
      <c r="BOO107" s="412"/>
      <c r="BOP107" s="412"/>
      <c r="BOQ107" s="412"/>
      <c r="BOR107" s="412"/>
      <c r="BOS107" s="412"/>
      <c r="BOT107" s="412"/>
      <c r="BOU107" s="412"/>
      <c r="BOV107" s="412"/>
      <c r="BOW107" s="412"/>
      <c r="BOX107" s="412"/>
      <c r="BOY107" s="412"/>
      <c r="BOZ107" s="412"/>
      <c r="BPA107" s="412"/>
      <c r="BPB107" s="412"/>
      <c r="BPC107" s="412"/>
      <c r="BPD107" s="412"/>
      <c r="BPE107" s="412"/>
      <c r="BPF107" s="412"/>
      <c r="BPG107" s="412"/>
      <c r="BPH107" s="412"/>
      <c r="BPI107" s="412"/>
      <c r="BPJ107" s="412"/>
      <c r="BPK107" s="412"/>
      <c r="BPL107" s="412"/>
      <c r="BPM107" s="412"/>
      <c r="BPN107" s="412"/>
      <c r="BPO107" s="412"/>
      <c r="BPP107" s="412"/>
      <c r="BPQ107" s="412"/>
      <c r="BPR107" s="412"/>
      <c r="BPS107" s="412"/>
      <c r="BPT107" s="412"/>
      <c r="BPU107" s="412"/>
      <c r="BPV107" s="412"/>
      <c r="BPW107" s="412"/>
      <c r="BPX107" s="412"/>
      <c r="BPY107" s="412"/>
      <c r="BPZ107" s="412"/>
      <c r="BQA107" s="412"/>
      <c r="BQB107" s="412"/>
      <c r="BQC107" s="412"/>
      <c r="BQD107" s="412"/>
      <c r="BQE107" s="412"/>
      <c r="BQF107" s="412"/>
      <c r="BQG107" s="412"/>
      <c r="BQH107" s="412"/>
      <c r="BQI107" s="412"/>
      <c r="BQJ107" s="412"/>
      <c r="BQK107" s="412"/>
      <c r="BQL107" s="412"/>
      <c r="BQM107" s="412"/>
      <c r="BQN107" s="412"/>
      <c r="BQO107" s="412"/>
      <c r="BQP107" s="412"/>
      <c r="BQQ107" s="412"/>
      <c r="BQR107" s="412"/>
      <c r="BQS107" s="412"/>
      <c r="BQT107" s="412"/>
      <c r="BQU107" s="412"/>
      <c r="BQV107" s="412"/>
      <c r="BQW107" s="412"/>
      <c r="BQX107" s="412"/>
      <c r="BQY107" s="412"/>
      <c r="BQZ107" s="412"/>
      <c r="BRA107" s="412"/>
      <c r="BRB107" s="412"/>
      <c r="BRC107" s="412"/>
      <c r="BRD107" s="412"/>
      <c r="BRE107" s="412"/>
      <c r="BRF107" s="412"/>
      <c r="BRG107" s="412"/>
      <c r="BRH107" s="412"/>
      <c r="BRI107" s="412"/>
      <c r="BRJ107" s="412"/>
      <c r="BRK107" s="412"/>
      <c r="BRL107" s="412"/>
      <c r="BRM107" s="412"/>
      <c r="BRN107" s="412"/>
      <c r="BRO107" s="412"/>
      <c r="BRP107" s="412"/>
      <c r="BRQ107" s="412"/>
      <c r="BRR107" s="412"/>
      <c r="BRS107" s="412"/>
      <c r="BRT107" s="412"/>
      <c r="BRU107" s="412"/>
      <c r="BRV107" s="412"/>
      <c r="BRW107" s="412"/>
      <c r="BRX107" s="412"/>
      <c r="BRY107" s="412"/>
      <c r="BRZ107" s="412"/>
      <c r="BSA107" s="412"/>
      <c r="BSB107" s="412"/>
      <c r="BSC107" s="412"/>
      <c r="BSD107" s="412"/>
      <c r="BSE107" s="412"/>
      <c r="BSF107" s="412"/>
      <c r="BSG107" s="412"/>
      <c r="BSH107" s="412"/>
      <c r="BSI107" s="412"/>
      <c r="BSJ107" s="412"/>
      <c r="BSK107" s="412"/>
      <c r="BSL107" s="412"/>
      <c r="BSM107" s="412"/>
      <c r="BSN107" s="412"/>
      <c r="BSO107" s="412"/>
      <c r="BSP107" s="412"/>
      <c r="BSQ107" s="412"/>
      <c r="BSR107" s="412"/>
      <c r="BSS107" s="412"/>
      <c r="BST107" s="412"/>
      <c r="BSU107" s="412"/>
      <c r="BSV107" s="412"/>
      <c r="BSW107" s="412"/>
      <c r="BSX107" s="412"/>
      <c r="BSY107" s="412"/>
      <c r="BSZ107" s="412"/>
      <c r="BTA107" s="412"/>
      <c r="BTB107" s="412"/>
      <c r="BTC107" s="412"/>
      <c r="BTD107" s="412"/>
      <c r="BTE107" s="412"/>
      <c r="BTF107" s="412"/>
      <c r="BTG107" s="412"/>
      <c r="BTH107" s="412"/>
      <c r="BTI107" s="412"/>
    </row>
    <row r="108" spans="1:1881" ht="91.5" customHeight="1" x14ac:dyDescent="0.25">
      <c r="A108" s="468">
        <v>639</v>
      </c>
      <c r="B108" s="469" t="s">
        <v>1204</v>
      </c>
      <c r="C108" s="470" t="s">
        <v>185</v>
      </c>
      <c r="D108" s="471" t="s">
        <v>1224</v>
      </c>
      <c r="E108" s="472" t="s">
        <v>837</v>
      </c>
      <c r="F108" s="647"/>
      <c r="G108" s="455">
        <f>IF(F108&lt;0,"Error: Enter as positive.",)</f>
        <v>0</v>
      </c>
      <c r="H108" s="456"/>
      <c r="I108" s="457"/>
    </row>
    <row r="109" spans="1:1881" ht="84" customHeight="1" x14ac:dyDescent="0.25">
      <c r="A109" s="473">
        <v>640</v>
      </c>
      <c r="B109" s="474" t="s">
        <v>835</v>
      </c>
      <c r="C109" s="470" t="s">
        <v>185</v>
      </c>
      <c r="D109" s="471" t="s">
        <v>1077</v>
      </c>
      <c r="E109" s="472" t="s">
        <v>837</v>
      </c>
      <c r="F109" s="647"/>
      <c r="G109" s="871">
        <f>IF(F109&gt;F108,"Error: Please review components of current liabilities above. Account numbers 640&gt;639",)</f>
        <v>0</v>
      </c>
      <c r="H109" s="456"/>
      <c r="I109" s="518"/>
    </row>
    <row r="110" spans="1:1881" ht="91.5" customHeight="1" x14ac:dyDescent="0.25">
      <c r="A110" s="473">
        <v>641</v>
      </c>
      <c r="B110" s="474" t="s">
        <v>835</v>
      </c>
      <c r="C110" s="470" t="s">
        <v>185</v>
      </c>
      <c r="D110" s="471" t="s">
        <v>1078</v>
      </c>
      <c r="E110" s="472" t="s">
        <v>837</v>
      </c>
      <c r="F110" s="647"/>
      <c r="G110" s="871">
        <f>IF(F110&gt;F108,"Error: Please review components of current liabilities above. Account numbers 641&gt;639",)</f>
        <v>0</v>
      </c>
      <c r="H110" s="456"/>
      <c r="I110" s="457"/>
    </row>
    <row r="111" spans="1:1881" ht="84" customHeight="1" x14ac:dyDescent="0.25">
      <c r="A111" s="473">
        <v>642</v>
      </c>
      <c r="B111" s="474" t="s">
        <v>835</v>
      </c>
      <c r="C111" s="470" t="s">
        <v>185</v>
      </c>
      <c r="D111" s="471" t="s">
        <v>1079</v>
      </c>
      <c r="E111" s="472" t="s">
        <v>837</v>
      </c>
      <c r="F111" s="647"/>
      <c r="G111" s="871">
        <f>IF(F111&gt;F108,"Error: Please review components of current liabilities above. Account numbers  642&gt;639",)</f>
        <v>0</v>
      </c>
      <c r="H111" s="456"/>
      <c r="I111" s="457"/>
    </row>
    <row r="112" spans="1:1881" ht="81.75" customHeight="1" x14ac:dyDescent="0.25">
      <c r="A112" s="473">
        <v>643</v>
      </c>
      <c r="B112" s="474" t="s">
        <v>835</v>
      </c>
      <c r="C112" s="470" t="s">
        <v>185</v>
      </c>
      <c r="D112" s="471" t="s">
        <v>1080</v>
      </c>
      <c r="E112" s="472" t="s">
        <v>837</v>
      </c>
      <c r="F112" s="647"/>
      <c r="G112" s="871">
        <f>IF(F112&gt;F108,"Error: Please review components of current liabilities above. Account numbers 643&gt;639",)</f>
        <v>0</v>
      </c>
      <c r="H112" s="456"/>
      <c r="I112" s="457"/>
    </row>
    <row r="113" spans="1:1881" ht="77.25" customHeight="1" x14ac:dyDescent="0.25">
      <c r="A113" s="473">
        <v>644</v>
      </c>
      <c r="B113" s="474" t="s">
        <v>835</v>
      </c>
      <c r="C113" s="470" t="s">
        <v>185</v>
      </c>
      <c r="D113" s="471" t="s">
        <v>1081</v>
      </c>
      <c r="E113" s="472" t="s">
        <v>837</v>
      </c>
      <c r="F113" s="647"/>
      <c r="G113" s="871">
        <f>IF(F113&gt;F108,"Error: Please review components of current liabilities above. Account number 644&gt;639",)</f>
        <v>0</v>
      </c>
      <c r="H113" s="456"/>
      <c r="I113" s="457"/>
    </row>
    <row r="114" spans="1:1881" ht="73.5" customHeight="1" x14ac:dyDescent="0.25">
      <c r="A114" s="189">
        <v>384</v>
      </c>
      <c r="B114" s="64" t="s">
        <v>70</v>
      </c>
      <c r="C114" s="160" t="s">
        <v>185</v>
      </c>
      <c r="D114" s="176" t="s">
        <v>1082</v>
      </c>
      <c r="E114" s="32" t="e">
        <f>HLOOKUP($D$2,'2019 Data(H)'!$C$1:$CG$300,143,FALSE)</f>
        <v>#N/A</v>
      </c>
      <c r="F114" s="606"/>
      <c r="G114" s="873">
        <f>IF(F114&gt;F108,"Error: Please review components of current liabilities above. Account number 384&gt;639",)</f>
        <v>0</v>
      </c>
      <c r="I114" s="31"/>
    </row>
    <row r="115" spans="1:1881" ht="92.25" customHeight="1" x14ac:dyDescent="0.25">
      <c r="A115" s="189">
        <v>361</v>
      </c>
      <c r="B115" s="64" t="s">
        <v>63</v>
      </c>
      <c r="C115" s="160" t="s">
        <v>185</v>
      </c>
      <c r="D115" s="142" t="s">
        <v>182</v>
      </c>
      <c r="E115" s="32" t="e">
        <f>HLOOKUP($D$2,'2019 Data(H)'!$C$1:$CG$300,122,FALSE)</f>
        <v>#N/A</v>
      </c>
      <c r="F115" s="647"/>
      <c r="G115" s="319"/>
      <c r="H115" s="13"/>
      <c r="I115" s="31"/>
    </row>
    <row r="116" spans="1:1881" ht="54" customHeight="1" x14ac:dyDescent="0.25">
      <c r="A116" s="189">
        <v>362</v>
      </c>
      <c r="B116" s="64" t="s">
        <v>63</v>
      </c>
      <c r="C116" s="160" t="s">
        <v>185</v>
      </c>
      <c r="D116" s="175" t="s">
        <v>183</v>
      </c>
      <c r="E116" s="32" t="e">
        <f>HLOOKUP($D$2,'2019 Data(H)'!$C$1:$CG$300,123,FALSE)</f>
        <v>#N/A</v>
      </c>
      <c r="F116" s="647"/>
      <c r="G116" s="413">
        <f>IF(H116=0,,"Error: Total assets less total liabilities do not equal total net position. Account numbers 382-360-362=0  The amount of the formula is in the cell to the right")</f>
        <v>0</v>
      </c>
      <c r="H116" s="193">
        <f>F105-F106-F116</f>
        <v>0</v>
      </c>
      <c r="I116" s="31"/>
    </row>
    <row r="117" spans="1:1881" ht="26.25" customHeight="1" x14ac:dyDescent="0.25">
      <c r="A117" s="190"/>
      <c r="B117" s="126" t="s">
        <v>249</v>
      </c>
      <c r="C117" s="126"/>
      <c r="D117" s="133"/>
      <c r="E117" s="144"/>
      <c r="F117" s="749"/>
      <c r="G117" s="573"/>
      <c r="H117" s="13"/>
      <c r="I117" s="31"/>
    </row>
    <row r="118" spans="1:1881" s="4" customFormat="1" ht="78.75" customHeight="1" x14ac:dyDescent="0.3">
      <c r="A118" s="190"/>
      <c r="B118" s="960" t="s">
        <v>869</v>
      </c>
      <c r="C118" s="960"/>
      <c r="D118" s="960"/>
      <c r="E118" s="156"/>
      <c r="F118" s="751"/>
      <c r="G118" s="575"/>
      <c r="H118" s="13"/>
      <c r="I118" s="31"/>
      <c r="J118" s="412"/>
      <c r="K118" s="412"/>
      <c r="L118" s="412"/>
      <c r="M118" s="412"/>
      <c r="N118"/>
      <c r="O118" s="412"/>
      <c r="P118" s="412"/>
      <c r="Q118" s="412"/>
      <c r="R118" s="412"/>
      <c r="S118" s="412"/>
      <c r="T118" s="412"/>
      <c r="U118" s="412"/>
      <c r="V118" s="412"/>
      <c r="W118" s="412"/>
      <c r="X118" s="412"/>
      <c r="Y118" s="412"/>
      <c r="Z118" s="412"/>
      <c r="AA118" s="412"/>
      <c r="AB118" s="412"/>
      <c r="AC118" s="412"/>
      <c r="AD118" s="412"/>
      <c r="AE118" s="412"/>
      <c r="AF118" s="412"/>
      <c r="AG118" s="412"/>
      <c r="AH118" s="412"/>
      <c r="AI118" s="412"/>
      <c r="AJ118" s="412"/>
      <c r="AK118" s="412"/>
      <c r="AL118" s="412"/>
      <c r="AM118" s="412"/>
      <c r="AN118" s="412"/>
      <c r="AO118" s="412"/>
      <c r="AP118" s="412"/>
      <c r="AQ118" s="412"/>
      <c r="AR118" s="412"/>
      <c r="AS118" s="412"/>
      <c r="AT118" s="412"/>
      <c r="AU118" s="412"/>
      <c r="AV118" s="412"/>
      <c r="AW118" s="412"/>
      <c r="AX118" s="412"/>
      <c r="AY118" s="412"/>
      <c r="AZ118" s="412"/>
      <c r="BA118" s="412"/>
      <c r="BB118" s="412"/>
      <c r="BC118" s="412"/>
      <c r="BD118" s="412"/>
      <c r="BE118" s="412"/>
      <c r="BF118" s="412"/>
      <c r="BG118" s="412"/>
      <c r="BH118" s="412"/>
      <c r="BI118" s="412"/>
      <c r="BJ118" s="412"/>
      <c r="BK118" s="412"/>
      <c r="BL118" s="412"/>
      <c r="BM118" s="412"/>
      <c r="BN118" s="412"/>
      <c r="BO118" s="412"/>
      <c r="BP118" s="412"/>
      <c r="BQ118" s="412"/>
      <c r="BR118" s="412"/>
      <c r="BS118" s="412"/>
      <c r="BT118" s="412"/>
      <c r="BU118" s="412"/>
      <c r="BV118" s="412"/>
      <c r="BW118" s="412"/>
      <c r="BX118" s="412"/>
      <c r="BY118" s="412"/>
      <c r="BZ118" s="412"/>
      <c r="CA118" s="412"/>
      <c r="CB118" s="412"/>
      <c r="CC118" s="412"/>
      <c r="CD118" s="412"/>
      <c r="CE118" s="412"/>
      <c r="CF118" s="412"/>
      <c r="CG118" s="412"/>
      <c r="CH118" s="412"/>
      <c r="CI118" s="412"/>
      <c r="CJ118" s="412"/>
      <c r="CK118" s="412"/>
      <c r="CL118" s="412"/>
      <c r="CM118" s="412"/>
      <c r="CN118" s="412"/>
      <c r="CO118" s="412"/>
      <c r="CP118" s="412"/>
      <c r="CQ118" s="412"/>
      <c r="CR118" s="412"/>
      <c r="CS118" s="412"/>
      <c r="CT118" s="412"/>
      <c r="CU118" s="412"/>
      <c r="CV118" s="412"/>
      <c r="CW118" s="412"/>
      <c r="CX118" s="412"/>
      <c r="CY118" s="412"/>
      <c r="CZ118" s="412"/>
      <c r="DA118" s="412"/>
      <c r="DB118" s="412"/>
      <c r="DC118" s="412"/>
      <c r="DD118" s="412"/>
      <c r="DE118" s="412"/>
      <c r="DF118" s="412"/>
      <c r="DG118" s="412"/>
      <c r="DH118" s="412"/>
      <c r="DI118" s="412"/>
      <c r="DJ118" s="412"/>
      <c r="DK118" s="412"/>
      <c r="DL118" s="412"/>
      <c r="DM118" s="412"/>
      <c r="DN118" s="412"/>
      <c r="DO118" s="412"/>
      <c r="DP118" s="412"/>
      <c r="DQ118" s="412"/>
      <c r="DR118" s="412"/>
      <c r="DS118" s="412"/>
      <c r="DT118" s="412"/>
      <c r="DU118" s="412"/>
      <c r="DV118" s="412"/>
      <c r="DW118" s="412"/>
      <c r="DX118" s="412"/>
      <c r="DY118" s="412"/>
      <c r="DZ118" s="412"/>
      <c r="EA118" s="412"/>
      <c r="EB118" s="412"/>
      <c r="EC118" s="412"/>
      <c r="ED118" s="412"/>
      <c r="EE118" s="412"/>
      <c r="EF118" s="412"/>
      <c r="EG118" s="412"/>
      <c r="EH118" s="412"/>
      <c r="EI118" s="412"/>
      <c r="EJ118" s="412"/>
      <c r="EK118" s="412"/>
      <c r="EL118" s="412"/>
      <c r="EM118" s="412"/>
      <c r="EN118" s="412"/>
      <c r="EO118" s="412"/>
      <c r="EP118" s="412"/>
      <c r="EQ118" s="412"/>
      <c r="ER118" s="412"/>
      <c r="ES118" s="412"/>
      <c r="ET118" s="412"/>
      <c r="EU118" s="412"/>
      <c r="EV118" s="412"/>
      <c r="EW118" s="412"/>
      <c r="EX118" s="412"/>
      <c r="EY118" s="412"/>
      <c r="EZ118" s="412"/>
      <c r="FA118" s="412"/>
      <c r="FB118" s="412"/>
      <c r="FC118" s="412"/>
      <c r="FD118" s="412"/>
      <c r="FE118" s="412"/>
      <c r="FF118" s="412"/>
      <c r="FG118" s="412"/>
      <c r="FH118" s="412"/>
      <c r="FI118" s="412"/>
      <c r="FJ118" s="412"/>
      <c r="FK118" s="412"/>
      <c r="FL118" s="412"/>
      <c r="FM118" s="412"/>
      <c r="FN118" s="412"/>
      <c r="FO118" s="412"/>
      <c r="FP118" s="412"/>
      <c r="FQ118" s="412"/>
      <c r="FR118" s="412"/>
      <c r="FS118" s="412"/>
      <c r="FT118" s="412"/>
      <c r="FU118" s="412"/>
      <c r="FV118" s="412"/>
      <c r="FW118" s="412"/>
      <c r="FX118" s="412"/>
      <c r="FY118" s="412"/>
      <c r="FZ118" s="412"/>
      <c r="GA118" s="412"/>
      <c r="GB118" s="412"/>
      <c r="GC118" s="412"/>
      <c r="GD118" s="412"/>
      <c r="GE118" s="412"/>
      <c r="GF118" s="412"/>
      <c r="GG118" s="412"/>
      <c r="GH118" s="412"/>
      <c r="GI118" s="412"/>
      <c r="GJ118" s="412"/>
      <c r="GK118" s="412"/>
      <c r="GL118" s="412"/>
      <c r="GM118" s="412"/>
      <c r="GN118" s="412"/>
      <c r="GO118" s="412"/>
      <c r="GP118" s="412"/>
      <c r="GQ118" s="412"/>
      <c r="GR118" s="412"/>
      <c r="GS118" s="412"/>
      <c r="GT118" s="412"/>
      <c r="GU118" s="412"/>
      <c r="GV118" s="412"/>
      <c r="GW118" s="412"/>
      <c r="GX118" s="412"/>
      <c r="GY118" s="412"/>
      <c r="GZ118" s="412"/>
      <c r="HA118" s="412"/>
      <c r="HB118" s="412"/>
      <c r="HC118" s="412"/>
      <c r="HD118" s="412"/>
      <c r="HE118" s="412"/>
      <c r="HF118" s="412"/>
      <c r="HG118" s="412"/>
      <c r="HH118" s="412"/>
      <c r="HI118" s="412"/>
      <c r="HJ118" s="412"/>
      <c r="HK118" s="412"/>
      <c r="HL118" s="412"/>
      <c r="HM118" s="412"/>
      <c r="HN118" s="412"/>
      <c r="HO118" s="412"/>
      <c r="HP118" s="412"/>
      <c r="HQ118" s="412"/>
      <c r="HR118" s="412"/>
      <c r="HS118" s="412"/>
      <c r="HT118" s="412"/>
      <c r="HU118" s="412"/>
      <c r="HV118" s="412"/>
      <c r="HW118" s="412"/>
      <c r="HX118" s="412"/>
      <c r="HY118" s="412"/>
      <c r="HZ118" s="412"/>
      <c r="IA118" s="412"/>
      <c r="IB118" s="412"/>
      <c r="IC118" s="412"/>
      <c r="ID118" s="412"/>
      <c r="IE118" s="412"/>
      <c r="IF118" s="412"/>
      <c r="IG118" s="412"/>
      <c r="IH118" s="412"/>
      <c r="II118" s="412"/>
      <c r="IJ118" s="412"/>
      <c r="IK118" s="412"/>
      <c r="IL118" s="412"/>
      <c r="IM118" s="412"/>
      <c r="IN118" s="412"/>
      <c r="IO118" s="412"/>
      <c r="IP118" s="412"/>
      <c r="IQ118" s="412"/>
      <c r="IR118" s="412"/>
      <c r="IS118" s="412"/>
      <c r="IT118" s="412"/>
      <c r="IU118" s="412"/>
      <c r="IV118" s="412"/>
      <c r="IW118" s="412"/>
      <c r="IX118" s="412"/>
      <c r="IY118" s="412"/>
      <c r="IZ118" s="412"/>
      <c r="JA118" s="412"/>
      <c r="JB118" s="412"/>
      <c r="JC118" s="412"/>
      <c r="JD118" s="412"/>
      <c r="JE118" s="412"/>
      <c r="JF118" s="412"/>
      <c r="JG118" s="412"/>
      <c r="JH118" s="412"/>
      <c r="JI118" s="412"/>
      <c r="JJ118" s="412"/>
      <c r="JK118" s="412"/>
      <c r="JL118" s="412"/>
      <c r="JM118" s="412"/>
      <c r="JN118" s="412"/>
      <c r="JO118" s="412"/>
      <c r="JP118" s="412"/>
      <c r="JQ118" s="412"/>
      <c r="JR118" s="412"/>
      <c r="JS118" s="412"/>
      <c r="JT118" s="412"/>
      <c r="JU118" s="412"/>
      <c r="JV118" s="412"/>
      <c r="JW118" s="412"/>
      <c r="JX118" s="412"/>
      <c r="JY118" s="412"/>
      <c r="JZ118" s="412"/>
      <c r="KA118" s="412"/>
      <c r="KB118" s="412"/>
      <c r="KC118" s="412"/>
      <c r="KD118" s="412"/>
      <c r="KE118" s="412"/>
      <c r="KF118" s="412"/>
      <c r="KG118" s="412"/>
      <c r="KH118" s="412"/>
      <c r="KI118" s="412"/>
      <c r="KJ118" s="412"/>
      <c r="KK118" s="412"/>
      <c r="KL118" s="412"/>
      <c r="KM118" s="412"/>
      <c r="KN118" s="412"/>
      <c r="KO118" s="412"/>
      <c r="KP118" s="412"/>
      <c r="KQ118" s="412"/>
      <c r="KR118" s="412"/>
      <c r="KS118" s="412"/>
      <c r="KT118" s="412"/>
      <c r="KU118" s="412"/>
      <c r="KV118" s="412"/>
      <c r="KW118" s="412"/>
      <c r="KX118" s="412"/>
      <c r="KY118" s="412"/>
      <c r="KZ118" s="412"/>
      <c r="LA118" s="412"/>
      <c r="LB118" s="412"/>
      <c r="LC118" s="412"/>
      <c r="LD118" s="412"/>
      <c r="LE118" s="412"/>
      <c r="LF118" s="412"/>
      <c r="LG118" s="412"/>
      <c r="LH118" s="412"/>
      <c r="LI118" s="412"/>
      <c r="LJ118" s="412"/>
      <c r="LK118" s="412"/>
      <c r="LL118" s="412"/>
      <c r="LM118" s="412"/>
      <c r="LN118" s="412"/>
      <c r="LO118" s="412"/>
      <c r="LP118" s="412"/>
      <c r="LQ118" s="412"/>
      <c r="LR118" s="412"/>
      <c r="LS118" s="412"/>
      <c r="LT118" s="412"/>
      <c r="LU118" s="412"/>
      <c r="LV118" s="412"/>
      <c r="LW118" s="412"/>
      <c r="LX118" s="412"/>
      <c r="LY118" s="412"/>
      <c r="LZ118" s="412"/>
      <c r="MA118" s="412"/>
      <c r="MB118" s="412"/>
      <c r="MC118" s="412"/>
      <c r="MD118" s="412"/>
      <c r="ME118" s="412"/>
      <c r="MF118" s="412"/>
      <c r="MG118" s="412"/>
      <c r="MH118" s="412"/>
      <c r="MI118" s="412"/>
      <c r="MJ118" s="412"/>
      <c r="MK118" s="412"/>
      <c r="ML118" s="412"/>
      <c r="MM118" s="412"/>
      <c r="MN118" s="412"/>
      <c r="MO118" s="412"/>
      <c r="MP118" s="412"/>
      <c r="MQ118" s="412"/>
      <c r="MR118" s="412"/>
      <c r="MS118" s="412"/>
      <c r="MT118" s="412"/>
      <c r="MU118" s="412"/>
      <c r="MV118" s="412"/>
      <c r="MW118" s="412"/>
      <c r="MX118" s="412"/>
      <c r="MY118" s="412"/>
      <c r="MZ118" s="412"/>
      <c r="NA118" s="412"/>
      <c r="NB118" s="412"/>
      <c r="NC118" s="412"/>
      <c r="ND118" s="412"/>
      <c r="NE118" s="412"/>
      <c r="NF118" s="412"/>
      <c r="NG118" s="412"/>
      <c r="NH118" s="412"/>
      <c r="NI118" s="412"/>
      <c r="NJ118" s="412"/>
      <c r="NK118" s="412"/>
      <c r="NL118" s="412"/>
      <c r="NM118" s="412"/>
      <c r="NN118" s="412"/>
      <c r="NO118" s="412"/>
      <c r="NP118" s="412"/>
      <c r="NQ118" s="412"/>
      <c r="NR118" s="412"/>
      <c r="NS118" s="412"/>
      <c r="NT118" s="412"/>
      <c r="NU118" s="412"/>
      <c r="NV118" s="412"/>
      <c r="NW118" s="412"/>
      <c r="NX118" s="412"/>
      <c r="NY118" s="412"/>
      <c r="NZ118" s="412"/>
      <c r="OA118" s="412"/>
      <c r="OB118" s="412"/>
      <c r="OC118" s="412"/>
      <c r="OD118" s="412"/>
      <c r="OE118" s="412"/>
      <c r="OF118" s="412"/>
      <c r="OG118" s="412"/>
      <c r="OH118" s="412"/>
      <c r="OI118" s="412"/>
      <c r="OJ118" s="412"/>
      <c r="OK118" s="412"/>
      <c r="OL118" s="412"/>
      <c r="OM118" s="412"/>
      <c r="ON118" s="412"/>
      <c r="OO118" s="412"/>
      <c r="OP118" s="412"/>
      <c r="OQ118" s="412"/>
      <c r="OR118" s="412"/>
      <c r="OS118" s="412"/>
      <c r="OT118" s="412"/>
      <c r="OU118" s="412"/>
      <c r="OV118" s="412"/>
      <c r="OW118" s="412"/>
      <c r="OX118" s="412"/>
      <c r="OY118" s="412"/>
      <c r="OZ118" s="412"/>
      <c r="PA118" s="412"/>
      <c r="PB118" s="412"/>
      <c r="PC118" s="412"/>
      <c r="PD118" s="412"/>
      <c r="PE118" s="412"/>
      <c r="PF118" s="412"/>
      <c r="PG118" s="412"/>
      <c r="PH118" s="412"/>
      <c r="PI118" s="412"/>
      <c r="PJ118" s="412"/>
      <c r="PK118" s="412"/>
      <c r="PL118" s="412"/>
      <c r="PM118" s="412"/>
      <c r="PN118" s="412"/>
      <c r="PO118" s="412"/>
      <c r="PP118" s="412"/>
      <c r="PQ118" s="412"/>
      <c r="PR118" s="412"/>
      <c r="PS118" s="412"/>
      <c r="PT118" s="412"/>
      <c r="PU118" s="412"/>
      <c r="PV118" s="412"/>
      <c r="PW118" s="412"/>
      <c r="PX118" s="412"/>
      <c r="PY118" s="412"/>
      <c r="PZ118" s="412"/>
      <c r="QA118" s="412"/>
      <c r="QB118" s="412"/>
      <c r="QC118" s="412"/>
      <c r="QD118" s="412"/>
      <c r="QE118" s="412"/>
      <c r="QF118" s="412"/>
      <c r="QG118" s="412"/>
      <c r="QH118" s="412"/>
      <c r="QI118" s="412"/>
      <c r="QJ118" s="412"/>
      <c r="QK118" s="412"/>
      <c r="QL118" s="412"/>
      <c r="QM118" s="412"/>
      <c r="QN118" s="412"/>
      <c r="QO118" s="412"/>
      <c r="QP118" s="412"/>
      <c r="QQ118" s="412"/>
      <c r="QR118" s="412"/>
      <c r="QS118" s="412"/>
      <c r="QT118" s="412"/>
      <c r="QU118" s="412"/>
      <c r="QV118" s="412"/>
      <c r="QW118" s="412"/>
      <c r="QX118" s="412"/>
      <c r="QY118" s="412"/>
      <c r="QZ118" s="412"/>
      <c r="RA118" s="412"/>
      <c r="RB118" s="412"/>
      <c r="RC118" s="412"/>
      <c r="RD118" s="412"/>
      <c r="RE118" s="412"/>
      <c r="RF118" s="412"/>
      <c r="RG118" s="412"/>
      <c r="RH118" s="412"/>
      <c r="RI118" s="412"/>
      <c r="RJ118" s="412"/>
      <c r="RK118" s="412"/>
      <c r="RL118" s="412"/>
      <c r="RM118" s="412"/>
      <c r="RN118" s="412"/>
      <c r="RO118" s="412"/>
      <c r="RP118" s="412"/>
      <c r="RQ118" s="412"/>
      <c r="RR118" s="412"/>
      <c r="RS118" s="412"/>
      <c r="RT118" s="412"/>
      <c r="RU118" s="412"/>
      <c r="RV118" s="412"/>
      <c r="RW118" s="412"/>
      <c r="RX118" s="412"/>
      <c r="RY118" s="412"/>
      <c r="RZ118" s="412"/>
      <c r="SA118" s="412"/>
      <c r="SB118" s="412"/>
      <c r="SC118" s="412"/>
      <c r="SD118" s="412"/>
      <c r="SE118" s="412"/>
      <c r="SF118" s="412"/>
      <c r="SG118" s="412"/>
      <c r="SH118" s="412"/>
      <c r="SI118" s="412"/>
      <c r="SJ118" s="412"/>
      <c r="SK118" s="412"/>
      <c r="SL118" s="412"/>
      <c r="SM118" s="412"/>
      <c r="SN118" s="412"/>
      <c r="SO118" s="412"/>
      <c r="SP118" s="412"/>
      <c r="SQ118" s="412"/>
      <c r="SR118" s="412"/>
      <c r="SS118" s="412"/>
      <c r="ST118" s="412"/>
      <c r="SU118" s="412"/>
      <c r="SV118" s="412"/>
      <c r="SW118" s="412"/>
      <c r="SX118" s="412"/>
      <c r="SY118" s="412"/>
      <c r="SZ118" s="412"/>
      <c r="TA118" s="412"/>
      <c r="TB118" s="412"/>
      <c r="TC118" s="412"/>
      <c r="TD118" s="412"/>
      <c r="TE118" s="412"/>
      <c r="TF118" s="412"/>
      <c r="TG118" s="412"/>
      <c r="TH118" s="412"/>
      <c r="TI118" s="412"/>
      <c r="TJ118" s="412"/>
      <c r="TK118" s="412"/>
      <c r="TL118" s="412"/>
      <c r="TM118" s="412"/>
      <c r="TN118" s="412"/>
      <c r="TO118" s="412"/>
      <c r="TP118" s="412"/>
      <c r="TQ118" s="412"/>
      <c r="TR118" s="412"/>
      <c r="TS118" s="412"/>
      <c r="TT118" s="412"/>
      <c r="TU118" s="412"/>
      <c r="TV118" s="412"/>
      <c r="TW118" s="412"/>
      <c r="TX118" s="412"/>
      <c r="TY118" s="412"/>
      <c r="TZ118" s="412"/>
      <c r="UA118" s="412"/>
      <c r="UB118" s="412"/>
      <c r="UC118" s="412"/>
      <c r="UD118" s="412"/>
      <c r="UE118" s="412"/>
      <c r="UF118" s="412"/>
      <c r="UG118" s="412"/>
      <c r="UH118" s="412"/>
      <c r="UI118" s="412"/>
      <c r="UJ118" s="412"/>
      <c r="UK118" s="412"/>
      <c r="UL118" s="412"/>
      <c r="UM118" s="412"/>
      <c r="UN118" s="412"/>
      <c r="UO118" s="412"/>
      <c r="UP118" s="412"/>
      <c r="UQ118" s="412"/>
      <c r="UR118" s="412"/>
      <c r="US118" s="412"/>
      <c r="UT118" s="412"/>
      <c r="UU118" s="412"/>
      <c r="UV118" s="412"/>
      <c r="UW118" s="412"/>
      <c r="UX118" s="412"/>
      <c r="UY118" s="412"/>
      <c r="UZ118" s="412"/>
      <c r="VA118" s="412"/>
      <c r="VB118" s="412"/>
      <c r="VC118" s="412"/>
      <c r="VD118" s="412"/>
      <c r="VE118" s="412"/>
      <c r="VF118" s="412"/>
      <c r="VG118" s="412"/>
      <c r="VH118" s="412"/>
      <c r="VI118" s="412"/>
      <c r="VJ118" s="412"/>
      <c r="VK118" s="412"/>
      <c r="VL118" s="412"/>
      <c r="VM118" s="412"/>
      <c r="VN118" s="412"/>
      <c r="VO118" s="412"/>
      <c r="VP118" s="412"/>
      <c r="VQ118" s="412"/>
      <c r="VR118" s="412"/>
      <c r="VS118" s="412"/>
      <c r="VT118" s="412"/>
      <c r="VU118" s="412"/>
      <c r="VV118" s="412"/>
      <c r="VW118" s="412"/>
      <c r="VX118" s="412"/>
      <c r="VY118" s="412"/>
      <c r="VZ118" s="412"/>
      <c r="WA118" s="412"/>
      <c r="WB118" s="412"/>
      <c r="WC118" s="412"/>
      <c r="WD118" s="412"/>
      <c r="WE118" s="412"/>
      <c r="WF118" s="412"/>
      <c r="WG118" s="412"/>
      <c r="WH118" s="412"/>
      <c r="WI118" s="412"/>
      <c r="WJ118" s="412"/>
      <c r="WK118" s="412"/>
      <c r="WL118" s="412"/>
      <c r="WM118" s="412"/>
      <c r="WN118" s="412"/>
      <c r="WO118" s="412"/>
      <c r="WP118" s="412"/>
      <c r="WQ118" s="412"/>
      <c r="WR118" s="412"/>
      <c r="WS118" s="412"/>
      <c r="WT118" s="412"/>
      <c r="WU118" s="412"/>
      <c r="WV118" s="412"/>
      <c r="WW118" s="412"/>
      <c r="WX118" s="412"/>
      <c r="WY118" s="412"/>
      <c r="WZ118" s="412"/>
      <c r="XA118" s="412"/>
      <c r="XB118" s="412"/>
      <c r="XC118" s="412"/>
      <c r="XD118" s="412"/>
      <c r="XE118" s="412"/>
      <c r="XF118" s="412"/>
      <c r="XG118" s="412"/>
      <c r="XH118" s="412"/>
      <c r="XI118" s="412"/>
      <c r="XJ118" s="412"/>
      <c r="XK118" s="412"/>
      <c r="XL118" s="412"/>
      <c r="XM118" s="412"/>
      <c r="XN118" s="412"/>
      <c r="XO118" s="412"/>
      <c r="XP118" s="412"/>
      <c r="XQ118" s="412"/>
      <c r="XR118" s="412"/>
      <c r="XS118" s="412"/>
      <c r="XT118" s="412"/>
      <c r="XU118" s="412"/>
      <c r="XV118" s="412"/>
      <c r="XW118" s="412"/>
      <c r="XX118" s="412"/>
      <c r="XY118" s="412"/>
      <c r="XZ118" s="412"/>
      <c r="YA118" s="412"/>
      <c r="YB118" s="412"/>
      <c r="YC118" s="412"/>
      <c r="YD118" s="412"/>
      <c r="YE118" s="412"/>
      <c r="YF118" s="412"/>
      <c r="YG118" s="412"/>
      <c r="YH118" s="412"/>
      <c r="YI118" s="412"/>
      <c r="YJ118" s="412"/>
      <c r="YK118" s="412"/>
      <c r="YL118" s="412"/>
      <c r="YM118" s="412"/>
      <c r="YN118" s="412"/>
      <c r="YO118" s="412"/>
      <c r="YP118" s="412"/>
      <c r="YQ118" s="412"/>
      <c r="YR118" s="412"/>
      <c r="YS118" s="412"/>
      <c r="YT118" s="412"/>
      <c r="YU118" s="412"/>
      <c r="YV118" s="412"/>
      <c r="YW118" s="412"/>
      <c r="YX118" s="412"/>
      <c r="YY118" s="412"/>
      <c r="YZ118" s="412"/>
      <c r="ZA118" s="412"/>
      <c r="ZB118" s="412"/>
      <c r="ZC118" s="412"/>
      <c r="ZD118" s="412"/>
      <c r="ZE118" s="412"/>
      <c r="ZF118" s="412"/>
      <c r="ZG118" s="412"/>
      <c r="ZH118" s="412"/>
      <c r="ZI118" s="412"/>
      <c r="ZJ118" s="412"/>
      <c r="ZK118" s="412"/>
      <c r="ZL118" s="412"/>
      <c r="ZM118" s="412"/>
      <c r="ZN118" s="412"/>
      <c r="ZO118" s="412"/>
      <c r="ZP118" s="412"/>
      <c r="ZQ118" s="412"/>
      <c r="ZR118" s="412"/>
      <c r="ZS118" s="412"/>
      <c r="ZT118" s="412"/>
      <c r="ZU118" s="412"/>
      <c r="ZV118" s="412"/>
      <c r="ZW118" s="412"/>
      <c r="ZX118" s="412"/>
      <c r="ZY118" s="412"/>
      <c r="ZZ118" s="412"/>
      <c r="AAA118" s="412"/>
      <c r="AAB118" s="412"/>
      <c r="AAC118" s="412"/>
      <c r="AAD118" s="412"/>
      <c r="AAE118" s="412"/>
      <c r="AAF118" s="412"/>
      <c r="AAG118" s="412"/>
      <c r="AAH118" s="412"/>
      <c r="AAI118" s="412"/>
      <c r="AAJ118" s="412"/>
      <c r="AAK118" s="412"/>
      <c r="AAL118" s="412"/>
      <c r="AAM118" s="412"/>
      <c r="AAN118" s="412"/>
      <c r="AAO118" s="412"/>
      <c r="AAP118" s="412"/>
      <c r="AAQ118" s="412"/>
      <c r="AAR118" s="412"/>
      <c r="AAS118" s="412"/>
      <c r="AAT118" s="412"/>
      <c r="AAU118" s="412"/>
      <c r="AAV118" s="412"/>
      <c r="AAW118" s="412"/>
      <c r="AAX118" s="412"/>
      <c r="AAY118" s="412"/>
      <c r="AAZ118" s="412"/>
      <c r="ABA118" s="412"/>
      <c r="ABB118" s="412"/>
      <c r="ABC118" s="412"/>
      <c r="ABD118" s="412"/>
      <c r="ABE118" s="412"/>
      <c r="ABF118" s="412"/>
      <c r="ABG118" s="412"/>
      <c r="ABH118" s="412"/>
      <c r="ABI118" s="412"/>
      <c r="ABJ118" s="412"/>
      <c r="ABK118" s="412"/>
      <c r="ABL118" s="412"/>
      <c r="ABM118" s="412"/>
      <c r="ABN118" s="412"/>
      <c r="ABO118" s="412"/>
      <c r="ABP118" s="412"/>
      <c r="ABQ118" s="412"/>
      <c r="ABR118" s="412"/>
      <c r="ABS118" s="412"/>
      <c r="ABT118" s="412"/>
      <c r="ABU118" s="412"/>
      <c r="ABV118" s="412"/>
      <c r="ABW118" s="412"/>
      <c r="ABX118" s="412"/>
      <c r="ABY118" s="412"/>
      <c r="ABZ118" s="412"/>
      <c r="ACA118" s="412"/>
      <c r="ACB118" s="412"/>
      <c r="ACC118" s="412"/>
      <c r="ACD118" s="412"/>
      <c r="ACE118" s="412"/>
      <c r="ACF118" s="412"/>
      <c r="ACG118" s="412"/>
      <c r="ACH118" s="412"/>
      <c r="ACI118" s="412"/>
      <c r="ACJ118" s="412"/>
      <c r="ACK118" s="412"/>
      <c r="ACL118" s="412"/>
      <c r="ACM118" s="412"/>
      <c r="ACN118" s="412"/>
      <c r="ACO118" s="412"/>
      <c r="ACP118" s="412"/>
      <c r="ACQ118" s="412"/>
      <c r="ACR118" s="412"/>
      <c r="ACS118" s="412"/>
      <c r="ACT118" s="412"/>
      <c r="ACU118" s="412"/>
      <c r="ACV118" s="412"/>
      <c r="ACW118" s="412"/>
      <c r="ACX118" s="412"/>
      <c r="ACY118" s="412"/>
      <c r="ACZ118" s="412"/>
      <c r="ADA118" s="412"/>
      <c r="ADB118" s="412"/>
      <c r="ADC118" s="412"/>
      <c r="ADD118" s="412"/>
      <c r="ADE118" s="412"/>
      <c r="ADF118" s="412"/>
      <c r="ADG118" s="412"/>
      <c r="ADH118" s="412"/>
      <c r="ADI118" s="412"/>
      <c r="ADJ118" s="412"/>
      <c r="ADK118" s="412"/>
      <c r="ADL118" s="412"/>
      <c r="ADM118" s="412"/>
      <c r="ADN118" s="412"/>
      <c r="ADO118" s="412"/>
      <c r="ADP118" s="412"/>
      <c r="ADQ118" s="412"/>
      <c r="ADR118" s="412"/>
      <c r="ADS118" s="412"/>
      <c r="ADT118" s="412"/>
      <c r="ADU118" s="412"/>
      <c r="ADV118" s="412"/>
      <c r="ADW118" s="412"/>
      <c r="ADX118" s="412"/>
      <c r="ADY118" s="412"/>
      <c r="ADZ118" s="412"/>
      <c r="AEA118" s="412"/>
      <c r="AEB118" s="412"/>
      <c r="AEC118" s="412"/>
      <c r="AED118" s="412"/>
      <c r="AEE118" s="412"/>
      <c r="AEF118" s="412"/>
      <c r="AEG118" s="412"/>
      <c r="AEH118" s="412"/>
      <c r="AEI118" s="412"/>
      <c r="AEJ118" s="412"/>
      <c r="AEK118" s="412"/>
      <c r="AEL118" s="412"/>
      <c r="AEM118" s="412"/>
      <c r="AEN118" s="412"/>
      <c r="AEO118" s="412"/>
      <c r="AEP118" s="412"/>
      <c r="AEQ118" s="412"/>
      <c r="AER118" s="412"/>
      <c r="AES118" s="412"/>
      <c r="AET118" s="412"/>
      <c r="AEU118" s="412"/>
      <c r="AEV118" s="412"/>
      <c r="AEW118" s="412"/>
      <c r="AEX118" s="412"/>
      <c r="AEY118" s="412"/>
      <c r="AEZ118" s="412"/>
      <c r="AFA118" s="412"/>
      <c r="AFB118" s="412"/>
      <c r="AFC118" s="412"/>
      <c r="AFD118" s="412"/>
      <c r="AFE118" s="412"/>
      <c r="AFF118" s="412"/>
      <c r="AFG118" s="412"/>
      <c r="AFH118" s="412"/>
      <c r="AFI118" s="412"/>
      <c r="AFJ118" s="412"/>
      <c r="AFK118" s="412"/>
      <c r="AFL118" s="412"/>
      <c r="AFM118" s="412"/>
      <c r="AFN118" s="412"/>
      <c r="AFO118" s="412"/>
      <c r="AFP118" s="412"/>
      <c r="AFQ118" s="412"/>
      <c r="AFR118" s="412"/>
      <c r="AFS118" s="412"/>
      <c r="AFT118" s="412"/>
      <c r="AFU118" s="412"/>
      <c r="AFV118" s="412"/>
      <c r="AFW118" s="412"/>
      <c r="AFX118" s="412"/>
      <c r="AFY118" s="412"/>
      <c r="AFZ118" s="412"/>
      <c r="AGA118" s="412"/>
      <c r="AGB118" s="412"/>
      <c r="AGC118" s="412"/>
      <c r="AGD118" s="412"/>
      <c r="AGE118" s="412"/>
      <c r="AGF118" s="412"/>
      <c r="AGG118" s="412"/>
      <c r="AGH118" s="412"/>
      <c r="AGI118" s="412"/>
      <c r="AGJ118" s="412"/>
      <c r="AGK118" s="412"/>
      <c r="AGL118" s="412"/>
      <c r="AGM118" s="412"/>
      <c r="AGN118" s="412"/>
      <c r="AGO118" s="412"/>
      <c r="AGP118" s="412"/>
      <c r="AGQ118" s="412"/>
      <c r="AGR118" s="412"/>
      <c r="AGS118" s="412"/>
      <c r="AGT118" s="412"/>
      <c r="AGU118" s="412"/>
      <c r="AGV118" s="412"/>
      <c r="AGW118" s="412"/>
      <c r="AGX118" s="412"/>
      <c r="AGY118" s="412"/>
      <c r="AGZ118" s="412"/>
      <c r="AHA118" s="412"/>
      <c r="AHB118" s="412"/>
      <c r="AHC118" s="412"/>
      <c r="AHD118" s="412"/>
      <c r="AHE118" s="412"/>
      <c r="AHF118" s="412"/>
      <c r="AHG118" s="412"/>
      <c r="AHH118" s="412"/>
      <c r="AHI118" s="412"/>
      <c r="AHJ118" s="412"/>
      <c r="AHK118" s="412"/>
      <c r="AHL118" s="412"/>
      <c r="AHM118" s="412"/>
      <c r="AHN118" s="412"/>
      <c r="AHO118" s="412"/>
      <c r="AHP118" s="412"/>
      <c r="AHQ118" s="412"/>
      <c r="AHR118" s="412"/>
      <c r="AHS118" s="412"/>
      <c r="AHT118" s="412"/>
      <c r="AHU118" s="412"/>
      <c r="AHV118" s="412"/>
      <c r="AHW118" s="412"/>
      <c r="AHX118" s="412"/>
      <c r="AHY118" s="412"/>
      <c r="AHZ118" s="412"/>
      <c r="AIA118" s="412"/>
      <c r="AIB118" s="412"/>
      <c r="AIC118" s="412"/>
      <c r="AID118" s="412"/>
      <c r="AIE118" s="412"/>
      <c r="AIF118" s="412"/>
      <c r="AIG118" s="412"/>
      <c r="AIH118" s="412"/>
      <c r="AII118" s="412"/>
      <c r="AIJ118" s="412"/>
      <c r="AIK118" s="412"/>
      <c r="AIL118" s="412"/>
      <c r="AIM118" s="412"/>
      <c r="AIN118" s="412"/>
      <c r="AIO118" s="412"/>
      <c r="AIP118" s="412"/>
      <c r="AIQ118" s="412"/>
      <c r="AIR118" s="412"/>
      <c r="AIS118" s="412"/>
      <c r="AIT118" s="412"/>
      <c r="AIU118" s="412"/>
      <c r="AIV118" s="412"/>
      <c r="AIW118" s="412"/>
      <c r="AIX118" s="412"/>
      <c r="AIY118" s="412"/>
      <c r="AIZ118" s="412"/>
      <c r="AJA118" s="412"/>
      <c r="AJB118" s="412"/>
      <c r="AJC118" s="412"/>
      <c r="AJD118" s="412"/>
      <c r="AJE118" s="412"/>
      <c r="AJF118" s="412"/>
      <c r="AJG118" s="412"/>
      <c r="AJH118" s="412"/>
      <c r="AJI118" s="412"/>
      <c r="AJJ118" s="412"/>
      <c r="AJK118" s="412"/>
      <c r="AJL118" s="412"/>
      <c r="AJM118" s="412"/>
      <c r="AJN118" s="412"/>
      <c r="AJO118" s="412"/>
      <c r="AJP118" s="412"/>
      <c r="AJQ118" s="412"/>
      <c r="AJR118" s="412"/>
      <c r="AJS118" s="412"/>
      <c r="AJT118" s="412"/>
      <c r="AJU118" s="412"/>
      <c r="AJV118" s="412"/>
      <c r="AJW118" s="412"/>
      <c r="AJX118" s="412"/>
      <c r="AJY118" s="412"/>
      <c r="AJZ118" s="412"/>
      <c r="AKA118" s="412"/>
      <c r="AKB118" s="412"/>
      <c r="AKC118" s="412"/>
      <c r="AKD118" s="412"/>
      <c r="AKE118" s="412"/>
      <c r="AKF118" s="412"/>
      <c r="AKG118" s="412"/>
      <c r="AKH118" s="412"/>
      <c r="AKI118" s="412"/>
      <c r="AKJ118" s="412"/>
      <c r="AKK118" s="412"/>
      <c r="AKL118" s="412"/>
      <c r="AKM118" s="412"/>
      <c r="AKN118" s="412"/>
      <c r="AKO118" s="412"/>
      <c r="AKP118" s="412"/>
      <c r="AKQ118" s="412"/>
      <c r="AKR118" s="412"/>
      <c r="AKS118" s="412"/>
      <c r="AKT118" s="412"/>
      <c r="AKU118" s="412"/>
      <c r="AKV118" s="412"/>
      <c r="AKW118" s="412"/>
      <c r="AKX118" s="412"/>
      <c r="AKY118" s="412"/>
      <c r="AKZ118" s="412"/>
      <c r="ALA118" s="412"/>
      <c r="ALB118" s="412"/>
      <c r="ALC118" s="412"/>
      <c r="ALD118" s="412"/>
      <c r="ALE118" s="412"/>
      <c r="ALF118" s="412"/>
      <c r="ALG118" s="412"/>
      <c r="ALH118" s="412"/>
      <c r="ALI118" s="412"/>
      <c r="ALJ118" s="412"/>
      <c r="ALK118" s="412"/>
      <c r="ALL118" s="412"/>
      <c r="ALM118" s="412"/>
      <c r="ALN118" s="412"/>
      <c r="ALO118" s="412"/>
      <c r="ALP118" s="412"/>
      <c r="ALQ118" s="412"/>
      <c r="ALR118" s="412"/>
      <c r="ALS118" s="412"/>
      <c r="ALT118" s="412"/>
      <c r="ALU118" s="412"/>
      <c r="ALV118" s="412"/>
      <c r="ALW118" s="412"/>
      <c r="ALX118" s="412"/>
      <c r="ALY118" s="412"/>
      <c r="ALZ118" s="412"/>
      <c r="AMA118" s="412"/>
      <c r="AMB118" s="412"/>
      <c r="AMC118" s="412"/>
      <c r="AMD118" s="412"/>
      <c r="AME118" s="412"/>
      <c r="AMF118" s="412"/>
      <c r="AMG118" s="412"/>
      <c r="AMH118" s="412"/>
      <c r="AMI118" s="412"/>
      <c r="AMJ118" s="412"/>
      <c r="AMK118" s="412"/>
      <c r="AML118" s="412"/>
      <c r="AMM118" s="412"/>
      <c r="AMN118" s="412"/>
      <c r="AMO118" s="412"/>
      <c r="AMP118" s="412"/>
      <c r="AMQ118" s="412"/>
      <c r="AMR118" s="412"/>
      <c r="AMS118" s="412"/>
      <c r="AMT118" s="412"/>
      <c r="AMU118" s="412"/>
      <c r="AMV118" s="412"/>
      <c r="AMW118" s="412"/>
      <c r="AMX118" s="412"/>
      <c r="AMY118" s="412"/>
      <c r="AMZ118" s="412"/>
      <c r="ANA118" s="412"/>
      <c r="ANB118" s="412"/>
      <c r="ANC118" s="412"/>
      <c r="AND118" s="412"/>
      <c r="ANE118" s="412"/>
      <c r="ANF118" s="412"/>
      <c r="ANG118" s="412"/>
      <c r="ANH118" s="412"/>
      <c r="ANI118" s="412"/>
      <c r="ANJ118" s="412"/>
      <c r="ANK118" s="412"/>
      <c r="ANL118" s="412"/>
      <c r="ANM118" s="412"/>
      <c r="ANN118" s="412"/>
      <c r="ANO118" s="412"/>
      <c r="ANP118" s="412"/>
      <c r="ANQ118" s="412"/>
      <c r="ANR118" s="412"/>
      <c r="ANS118" s="412"/>
      <c r="ANT118" s="412"/>
      <c r="ANU118" s="412"/>
      <c r="ANV118" s="412"/>
      <c r="ANW118" s="412"/>
      <c r="ANX118" s="412"/>
      <c r="ANY118" s="412"/>
      <c r="ANZ118" s="412"/>
      <c r="AOA118" s="412"/>
      <c r="AOB118" s="412"/>
      <c r="AOC118" s="412"/>
      <c r="AOD118" s="412"/>
      <c r="AOE118" s="412"/>
      <c r="AOF118" s="412"/>
      <c r="AOG118" s="412"/>
      <c r="AOH118" s="412"/>
      <c r="AOI118" s="412"/>
      <c r="AOJ118" s="412"/>
      <c r="AOK118" s="412"/>
      <c r="AOL118" s="412"/>
      <c r="AOM118" s="412"/>
      <c r="AON118" s="412"/>
      <c r="AOO118" s="412"/>
      <c r="AOP118" s="412"/>
      <c r="AOQ118" s="412"/>
      <c r="AOR118" s="412"/>
      <c r="AOS118" s="412"/>
      <c r="AOT118" s="412"/>
      <c r="AOU118" s="412"/>
      <c r="AOV118" s="412"/>
      <c r="AOW118" s="412"/>
      <c r="AOX118" s="412"/>
      <c r="AOY118" s="412"/>
      <c r="AOZ118" s="412"/>
      <c r="APA118" s="412"/>
      <c r="APB118" s="412"/>
      <c r="APC118" s="412"/>
      <c r="APD118" s="412"/>
      <c r="APE118" s="412"/>
      <c r="APF118" s="412"/>
      <c r="APG118" s="412"/>
      <c r="APH118" s="412"/>
      <c r="API118" s="412"/>
      <c r="APJ118" s="412"/>
      <c r="APK118" s="412"/>
      <c r="APL118" s="412"/>
      <c r="APM118" s="412"/>
      <c r="APN118" s="412"/>
      <c r="APO118" s="412"/>
      <c r="APP118" s="412"/>
      <c r="APQ118" s="412"/>
      <c r="APR118" s="412"/>
      <c r="APS118" s="412"/>
      <c r="APT118" s="412"/>
      <c r="APU118" s="412"/>
      <c r="APV118" s="412"/>
      <c r="APW118" s="412"/>
      <c r="APX118" s="412"/>
      <c r="APY118" s="412"/>
      <c r="APZ118" s="412"/>
      <c r="AQA118" s="412"/>
      <c r="AQB118" s="412"/>
      <c r="AQC118" s="412"/>
      <c r="AQD118" s="412"/>
      <c r="AQE118" s="412"/>
      <c r="AQF118" s="412"/>
      <c r="AQG118" s="412"/>
      <c r="AQH118" s="412"/>
      <c r="AQI118" s="412"/>
      <c r="AQJ118" s="412"/>
      <c r="AQK118" s="412"/>
      <c r="AQL118" s="412"/>
      <c r="AQM118" s="412"/>
      <c r="AQN118" s="412"/>
      <c r="AQO118" s="412"/>
      <c r="AQP118" s="412"/>
      <c r="AQQ118" s="412"/>
      <c r="AQR118" s="412"/>
      <c r="AQS118" s="412"/>
      <c r="AQT118" s="412"/>
      <c r="AQU118" s="412"/>
      <c r="AQV118" s="412"/>
      <c r="AQW118" s="412"/>
      <c r="AQX118" s="412"/>
      <c r="AQY118" s="412"/>
      <c r="AQZ118" s="412"/>
      <c r="ARA118" s="412"/>
      <c r="ARB118" s="412"/>
      <c r="ARC118" s="412"/>
      <c r="ARD118" s="412"/>
      <c r="ARE118" s="412"/>
      <c r="ARF118" s="412"/>
      <c r="ARG118" s="412"/>
      <c r="ARH118" s="412"/>
      <c r="ARI118" s="412"/>
      <c r="ARJ118" s="412"/>
      <c r="ARK118" s="412"/>
      <c r="ARL118" s="412"/>
      <c r="ARM118" s="412"/>
      <c r="ARN118" s="412"/>
      <c r="ARO118" s="412"/>
      <c r="ARP118" s="412"/>
      <c r="ARQ118" s="412"/>
      <c r="ARR118" s="412"/>
      <c r="ARS118" s="412"/>
      <c r="ART118" s="412"/>
      <c r="ARU118" s="412"/>
      <c r="ARV118" s="412"/>
      <c r="ARW118" s="412"/>
      <c r="ARX118" s="412"/>
      <c r="ARY118" s="412"/>
      <c r="ARZ118" s="412"/>
      <c r="ASA118" s="412"/>
      <c r="ASB118" s="412"/>
      <c r="ASC118" s="412"/>
      <c r="ASD118" s="412"/>
      <c r="ASE118" s="412"/>
      <c r="ASF118" s="412"/>
      <c r="ASG118" s="412"/>
      <c r="ASH118" s="412"/>
      <c r="ASI118" s="412"/>
      <c r="ASJ118" s="412"/>
      <c r="ASK118" s="412"/>
      <c r="ASL118" s="412"/>
      <c r="ASM118" s="412"/>
      <c r="ASN118" s="412"/>
      <c r="ASO118" s="412"/>
      <c r="ASP118" s="412"/>
      <c r="ASQ118" s="412"/>
      <c r="ASR118" s="412"/>
      <c r="ASS118" s="412"/>
      <c r="AST118" s="412"/>
      <c r="ASU118" s="412"/>
      <c r="ASV118" s="412"/>
      <c r="ASW118" s="412"/>
      <c r="ASX118" s="412"/>
      <c r="ASY118" s="412"/>
      <c r="ASZ118" s="412"/>
      <c r="ATA118" s="412"/>
      <c r="ATB118" s="412"/>
      <c r="ATC118" s="412"/>
      <c r="ATD118" s="412"/>
      <c r="ATE118" s="412"/>
      <c r="ATF118" s="412"/>
      <c r="ATG118" s="412"/>
      <c r="ATH118" s="412"/>
      <c r="ATI118" s="412"/>
      <c r="ATJ118" s="412"/>
      <c r="ATK118" s="412"/>
      <c r="ATL118" s="412"/>
      <c r="ATM118" s="412"/>
      <c r="ATN118" s="412"/>
      <c r="ATO118" s="412"/>
      <c r="ATP118" s="412"/>
      <c r="ATQ118" s="412"/>
      <c r="ATR118" s="412"/>
      <c r="ATS118" s="412"/>
      <c r="ATT118" s="412"/>
      <c r="ATU118" s="412"/>
      <c r="ATV118" s="412"/>
      <c r="ATW118" s="412"/>
      <c r="ATX118" s="412"/>
      <c r="ATY118" s="412"/>
      <c r="ATZ118" s="412"/>
      <c r="AUA118" s="412"/>
      <c r="AUB118" s="412"/>
      <c r="AUC118" s="412"/>
      <c r="AUD118" s="412"/>
      <c r="AUE118" s="412"/>
      <c r="AUF118" s="412"/>
      <c r="AUG118" s="412"/>
      <c r="AUH118" s="412"/>
      <c r="AUI118" s="412"/>
      <c r="AUJ118" s="412"/>
      <c r="AUK118" s="412"/>
      <c r="AUL118" s="412"/>
      <c r="AUM118" s="412"/>
      <c r="AUN118" s="412"/>
      <c r="AUO118" s="412"/>
      <c r="AUP118" s="412"/>
      <c r="AUQ118" s="412"/>
      <c r="AUR118" s="412"/>
      <c r="AUS118" s="412"/>
      <c r="AUT118" s="412"/>
      <c r="AUU118" s="412"/>
      <c r="AUV118" s="412"/>
      <c r="AUW118" s="412"/>
      <c r="AUX118" s="412"/>
      <c r="AUY118" s="412"/>
      <c r="AUZ118" s="412"/>
      <c r="AVA118" s="412"/>
      <c r="AVB118" s="412"/>
      <c r="AVC118" s="412"/>
      <c r="AVD118" s="412"/>
      <c r="AVE118" s="412"/>
      <c r="AVF118" s="412"/>
      <c r="AVG118" s="412"/>
      <c r="AVH118" s="412"/>
      <c r="AVI118" s="412"/>
      <c r="AVJ118" s="412"/>
      <c r="AVK118" s="412"/>
      <c r="AVL118" s="412"/>
      <c r="AVM118" s="412"/>
      <c r="AVN118" s="412"/>
      <c r="AVO118" s="412"/>
      <c r="AVP118" s="412"/>
      <c r="AVQ118" s="412"/>
      <c r="AVR118" s="412"/>
      <c r="AVS118" s="412"/>
      <c r="AVT118" s="412"/>
      <c r="AVU118" s="412"/>
      <c r="AVV118" s="412"/>
      <c r="AVW118" s="412"/>
      <c r="AVX118" s="412"/>
      <c r="AVY118" s="412"/>
      <c r="AVZ118" s="412"/>
      <c r="AWA118" s="412"/>
      <c r="AWB118" s="412"/>
      <c r="AWC118" s="412"/>
      <c r="AWD118" s="412"/>
      <c r="AWE118" s="412"/>
      <c r="AWF118" s="412"/>
      <c r="AWG118" s="412"/>
      <c r="AWH118" s="412"/>
      <c r="AWI118" s="412"/>
      <c r="AWJ118" s="412"/>
      <c r="AWK118" s="412"/>
      <c r="AWL118" s="412"/>
      <c r="AWM118" s="412"/>
      <c r="AWN118" s="412"/>
      <c r="AWO118" s="412"/>
      <c r="AWP118" s="412"/>
      <c r="AWQ118" s="412"/>
      <c r="AWR118" s="412"/>
      <c r="AWS118" s="412"/>
      <c r="AWT118" s="412"/>
      <c r="AWU118" s="412"/>
      <c r="AWV118" s="412"/>
      <c r="AWW118" s="412"/>
      <c r="AWX118" s="412"/>
      <c r="AWY118" s="412"/>
      <c r="AWZ118" s="412"/>
      <c r="AXA118" s="412"/>
      <c r="AXB118" s="412"/>
      <c r="AXC118" s="412"/>
      <c r="AXD118" s="412"/>
      <c r="AXE118" s="412"/>
      <c r="AXF118" s="412"/>
      <c r="AXG118" s="412"/>
      <c r="AXH118" s="412"/>
      <c r="AXI118" s="412"/>
      <c r="AXJ118" s="412"/>
      <c r="AXK118" s="412"/>
      <c r="AXL118" s="412"/>
      <c r="AXM118" s="412"/>
      <c r="AXN118" s="412"/>
      <c r="AXO118" s="412"/>
      <c r="AXP118" s="412"/>
      <c r="AXQ118" s="412"/>
      <c r="AXR118" s="412"/>
      <c r="AXS118" s="412"/>
      <c r="AXT118" s="412"/>
      <c r="AXU118" s="412"/>
      <c r="AXV118" s="412"/>
      <c r="AXW118" s="412"/>
      <c r="AXX118" s="412"/>
      <c r="AXY118" s="412"/>
      <c r="AXZ118" s="412"/>
      <c r="AYA118" s="412"/>
      <c r="AYB118" s="412"/>
      <c r="AYC118" s="412"/>
      <c r="AYD118" s="412"/>
      <c r="AYE118" s="412"/>
      <c r="AYF118" s="412"/>
      <c r="AYG118" s="412"/>
      <c r="AYH118" s="412"/>
      <c r="AYI118" s="412"/>
      <c r="AYJ118" s="412"/>
      <c r="AYK118" s="412"/>
      <c r="AYL118" s="412"/>
      <c r="AYM118" s="412"/>
      <c r="AYN118" s="412"/>
      <c r="AYO118" s="412"/>
      <c r="AYP118" s="412"/>
      <c r="AYQ118" s="412"/>
      <c r="AYR118" s="412"/>
      <c r="AYS118" s="412"/>
      <c r="AYT118" s="412"/>
      <c r="AYU118" s="412"/>
      <c r="AYV118" s="412"/>
      <c r="AYW118" s="412"/>
      <c r="AYX118" s="412"/>
      <c r="AYY118" s="412"/>
      <c r="AYZ118" s="412"/>
      <c r="AZA118" s="412"/>
      <c r="AZB118" s="412"/>
      <c r="AZC118" s="412"/>
      <c r="AZD118" s="412"/>
      <c r="AZE118" s="412"/>
      <c r="AZF118" s="412"/>
      <c r="AZG118" s="412"/>
      <c r="AZH118" s="412"/>
      <c r="AZI118" s="412"/>
      <c r="AZJ118" s="412"/>
      <c r="AZK118" s="412"/>
      <c r="AZL118" s="412"/>
      <c r="AZM118" s="412"/>
      <c r="AZN118" s="412"/>
      <c r="AZO118" s="412"/>
      <c r="AZP118" s="412"/>
      <c r="AZQ118" s="412"/>
      <c r="AZR118" s="412"/>
      <c r="AZS118" s="412"/>
      <c r="AZT118" s="412"/>
      <c r="AZU118" s="412"/>
      <c r="AZV118" s="412"/>
      <c r="AZW118" s="412"/>
      <c r="AZX118" s="412"/>
      <c r="AZY118" s="412"/>
      <c r="AZZ118" s="412"/>
      <c r="BAA118" s="412"/>
      <c r="BAB118" s="412"/>
      <c r="BAC118" s="412"/>
      <c r="BAD118" s="412"/>
      <c r="BAE118" s="412"/>
      <c r="BAF118" s="412"/>
      <c r="BAG118" s="412"/>
      <c r="BAH118" s="412"/>
      <c r="BAI118" s="412"/>
      <c r="BAJ118" s="412"/>
      <c r="BAK118" s="412"/>
      <c r="BAL118" s="412"/>
      <c r="BAM118" s="412"/>
      <c r="BAN118" s="412"/>
      <c r="BAO118" s="412"/>
      <c r="BAP118" s="412"/>
      <c r="BAQ118" s="412"/>
      <c r="BAR118" s="412"/>
      <c r="BAS118" s="412"/>
      <c r="BAT118" s="412"/>
      <c r="BAU118" s="412"/>
      <c r="BAV118" s="412"/>
      <c r="BAW118" s="412"/>
      <c r="BAX118" s="412"/>
      <c r="BAY118" s="412"/>
      <c r="BAZ118" s="412"/>
      <c r="BBA118" s="412"/>
      <c r="BBB118" s="412"/>
      <c r="BBC118" s="412"/>
      <c r="BBD118" s="412"/>
      <c r="BBE118" s="412"/>
      <c r="BBF118" s="412"/>
      <c r="BBG118" s="412"/>
      <c r="BBH118" s="412"/>
      <c r="BBI118" s="412"/>
      <c r="BBJ118" s="412"/>
      <c r="BBK118" s="412"/>
      <c r="BBL118" s="412"/>
      <c r="BBM118" s="412"/>
      <c r="BBN118" s="412"/>
      <c r="BBO118" s="412"/>
      <c r="BBP118" s="412"/>
      <c r="BBQ118" s="412"/>
      <c r="BBR118" s="412"/>
      <c r="BBS118" s="412"/>
      <c r="BBT118" s="412"/>
      <c r="BBU118" s="412"/>
      <c r="BBV118" s="412"/>
      <c r="BBW118" s="412"/>
      <c r="BBX118" s="412"/>
      <c r="BBY118" s="412"/>
      <c r="BBZ118" s="412"/>
      <c r="BCA118" s="412"/>
      <c r="BCB118" s="412"/>
      <c r="BCC118" s="412"/>
      <c r="BCD118" s="412"/>
      <c r="BCE118" s="412"/>
      <c r="BCF118" s="412"/>
      <c r="BCG118" s="412"/>
      <c r="BCH118" s="412"/>
      <c r="BCI118" s="412"/>
      <c r="BCJ118" s="412"/>
      <c r="BCK118" s="412"/>
      <c r="BCL118" s="412"/>
      <c r="BCM118" s="412"/>
      <c r="BCN118" s="412"/>
      <c r="BCO118" s="412"/>
      <c r="BCP118" s="412"/>
      <c r="BCQ118" s="412"/>
      <c r="BCR118" s="412"/>
      <c r="BCS118" s="412"/>
      <c r="BCT118" s="412"/>
      <c r="BCU118" s="412"/>
      <c r="BCV118" s="412"/>
      <c r="BCW118" s="412"/>
      <c r="BCX118" s="412"/>
      <c r="BCY118" s="412"/>
      <c r="BCZ118" s="412"/>
      <c r="BDA118" s="412"/>
      <c r="BDB118" s="412"/>
      <c r="BDC118" s="412"/>
      <c r="BDD118" s="412"/>
      <c r="BDE118" s="412"/>
      <c r="BDF118" s="412"/>
      <c r="BDG118" s="412"/>
      <c r="BDH118" s="412"/>
      <c r="BDI118" s="412"/>
      <c r="BDJ118" s="412"/>
      <c r="BDK118" s="412"/>
      <c r="BDL118" s="412"/>
      <c r="BDM118" s="412"/>
      <c r="BDN118" s="412"/>
      <c r="BDO118" s="412"/>
      <c r="BDP118" s="412"/>
      <c r="BDQ118" s="412"/>
      <c r="BDR118" s="412"/>
      <c r="BDS118" s="412"/>
      <c r="BDT118" s="412"/>
      <c r="BDU118" s="412"/>
      <c r="BDV118" s="412"/>
      <c r="BDW118" s="412"/>
      <c r="BDX118" s="412"/>
      <c r="BDY118" s="412"/>
      <c r="BDZ118" s="412"/>
      <c r="BEA118" s="412"/>
      <c r="BEB118" s="412"/>
      <c r="BEC118" s="412"/>
      <c r="BED118" s="412"/>
      <c r="BEE118" s="412"/>
      <c r="BEF118" s="412"/>
      <c r="BEG118" s="412"/>
      <c r="BEH118" s="412"/>
      <c r="BEI118" s="412"/>
      <c r="BEJ118" s="412"/>
      <c r="BEK118" s="412"/>
      <c r="BEL118" s="412"/>
      <c r="BEM118" s="412"/>
      <c r="BEN118" s="412"/>
      <c r="BEO118" s="412"/>
      <c r="BEP118" s="412"/>
      <c r="BEQ118" s="412"/>
      <c r="BER118" s="412"/>
      <c r="BES118" s="412"/>
      <c r="BET118" s="412"/>
      <c r="BEU118" s="412"/>
      <c r="BEV118" s="412"/>
      <c r="BEW118" s="412"/>
      <c r="BEX118" s="412"/>
      <c r="BEY118" s="412"/>
      <c r="BEZ118" s="412"/>
      <c r="BFA118" s="412"/>
      <c r="BFB118" s="412"/>
      <c r="BFC118" s="412"/>
      <c r="BFD118" s="412"/>
      <c r="BFE118" s="412"/>
      <c r="BFF118" s="412"/>
      <c r="BFG118" s="412"/>
      <c r="BFH118" s="412"/>
      <c r="BFI118" s="412"/>
      <c r="BFJ118" s="412"/>
      <c r="BFK118" s="412"/>
      <c r="BFL118" s="412"/>
      <c r="BFM118" s="412"/>
      <c r="BFN118" s="412"/>
      <c r="BFO118" s="412"/>
      <c r="BFP118" s="412"/>
      <c r="BFQ118" s="412"/>
      <c r="BFR118" s="412"/>
      <c r="BFS118" s="412"/>
      <c r="BFT118" s="412"/>
      <c r="BFU118" s="412"/>
      <c r="BFV118" s="412"/>
      <c r="BFW118" s="412"/>
      <c r="BFX118" s="412"/>
      <c r="BFY118" s="412"/>
      <c r="BFZ118" s="412"/>
      <c r="BGA118" s="412"/>
      <c r="BGB118" s="412"/>
      <c r="BGC118" s="412"/>
      <c r="BGD118" s="412"/>
      <c r="BGE118" s="412"/>
      <c r="BGF118" s="412"/>
      <c r="BGG118" s="412"/>
      <c r="BGH118" s="412"/>
      <c r="BGI118" s="412"/>
      <c r="BGJ118" s="412"/>
      <c r="BGK118" s="412"/>
      <c r="BGL118" s="412"/>
      <c r="BGM118" s="412"/>
      <c r="BGN118" s="412"/>
      <c r="BGO118" s="412"/>
      <c r="BGP118" s="412"/>
      <c r="BGQ118" s="412"/>
      <c r="BGR118" s="412"/>
      <c r="BGS118" s="412"/>
      <c r="BGT118" s="412"/>
      <c r="BGU118" s="412"/>
      <c r="BGV118" s="412"/>
      <c r="BGW118" s="412"/>
      <c r="BGX118" s="412"/>
      <c r="BGY118" s="412"/>
      <c r="BGZ118" s="412"/>
      <c r="BHA118" s="412"/>
      <c r="BHB118" s="412"/>
      <c r="BHC118" s="412"/>
      <c r="BHD118" s="412"/>
      <c r="BHE118" s="412"/>
      <c r="BHF118" s="412"/>
      <c r="BHG118" s="412"/>
      <c r="BHH118" s="412"/>
      <c r="BHI118" s="412"/>
      <c r="BHJ118" s="412"/>
      <c r="BHK118" s="412"/>
      <c r="BHL118" s="412"/>
      <c r="BHM118" s="412"/>
      <c r="BHN118" s="412"/>
      <c r="BHO118" s="412"/>
      <c r="BHP118" s="412"/>
      <c r="BHQ118" s="412"/>
      <c r="BHR118" s="412"/>
      <c r="BHS118" s="412"/>
      <c r="BHT118" s="412"/>
      <c r="BHU118" s="412"/>
      <c r="BHV118" s="412"/>
      <c r="BHW118" s="412"/>
      <c r="BHX118" s="412"/>
      <c r="BHY118" s="412"/>
      <c r="BHZ118" s="412"/>
      <c r="BIA118" s="412"/>
      <c r="BIB118" s="412"/>
      <c r="BIC118" s="412"/>
      <c r="BID118" s="412"/>
      <c r="BIE118" s="412"/>
      <c r="BIF118" s="412"/>
      <c r="BIG118" s="412"/>
      <c r="BIH118" s="412"/>
      <c r="BII118" s="412"/>
      <c r="BIJ118" s="412"/>
      <c r="BIK118" s="412"/>
      <c r="BIL118" s="412"/>
      <c r="BIM118" s="412"/>
      <c r="BIN118" s="412"/>
      <c r="BIO118" s="412"/>
      <c r="BIP118" s="412"/>
      <c r="BIQ118" s="412"/>
      <c r="BIR118" s="412"/>
      <c r="BIS118" s="412"/>
      <c r="BIT118" s="412"/>
      <c r="BIU118" s="412"/>
      <c r="BIV118" s="412"/>
      <c r="BIW118" s="412"/>
      <c r="BIX118" s="412"/>
      <c r="BIY118" s="412"/>
      <c r="BIZ118" s="412"/>
      <c r="BJA118" s="412"/>
      <c r="BJB118" s="412"/>
      <c r="BJC118" s="412"/>
      <c r="BJD118" s="412"/>
      <c r="BJE118" s="412"/>
      <c r="BJF118" s="412"/>
      <c r="BJG118" s="412"/>
      <c r="BJH118" s="412"/>
      <c r="BJI118" s="412"/>
      <c r="BJJ118" s="412"/>
      <c r="BJK118" s="412"/>
      <c r="BJL118" s="412"/>
      <c r="BJM118" s="412"/>
      <c r="BJN118" s="412"/>
      <c r="BJO118" s="412"/>
      <c r="BJP118" s="412"/>
      <c r="BJQ118" s="412"/>
      <c r="BJR118" s="412"/>
      <c r="BJS118" s="412"/>
      <c r="BJT118" s="412"/>
      <c r="BJU118" s="412"/>
      <c r="BJV118" s="412"/>
      <c r="BJW118" s="412"/>
      <c r="BJX118" s="412"/>
      <c r="BJY118" s="412"/>
      <c r="BJZ118" s="412"/>
      <c r="BKA118" s="412"/>
      <c r="BKB118" s="412"/>
      <c r="BKC118" s="412"/>
      <c r="BKD118" s="412"/>
      <c r="BKE118" s="412"/>
      <c r="BKF118" s="412"/>
      <c r="BKG118" s="412"/>
      <c r="BKH118" s="412"/>
      <c r="BKI118" s="412"/>
      <c r="BKJ118" s="412"/>
      <c r="BKK118" s="412"/>
      <c r="BKL118" s="412"/>
      <c r="BKM118" s="412"/>
      <c r="BKN118" s="412"/>
      <c r="BKO118" s="412"/>
      <c r="BKP118" s="412"/>
      <c r="BKQ118" s="412"/>
      <c r="BKR118" s="412"/>
      <c r="BKS118" s="412"/>
      <c r="BKT118" s="412"/>
      <c r="BKU118" s="412"/>
      <c r="BKV118" s="412"/>
      <c r="BKW118" s="412"/>
      <c r="BKX118" s="412"/>
      <c r="BKY118" s="412"/>
      <c r="BKZ118" s="412"/>
      <c r="BLA118" s="412"/>
      <c r="BLB118" s="412"/>
      <c r="BLC118" s="412"/>
      <c r="BLD118" s="412"/>
      <c r="BLE118" s="412"/>
      <c r="BLF118" s="412"/>
      <c r="BLG118" s="412"/>
      <c r="BLH118" s="412"/>
      <c r="BLI118" s="412"/>
      <c r="BLJ118" s="412"/>
      <c r="BLK118" s="412"/>
      <c r="BLL118" s="412"/>
      <c r="BLM118" s="412"/>
      <c r="BLN118" s="412"/>
      <c r="BLO118" s="412"/>
      <c r="BLP118" s="412"/>
      <c r="BLQ118" s="412"/>
      <c r="BLR118" s="412"/>
      <c r="BLS118" s="412"/>
      <c r="BLT118" s="412"/>
      <c r="BLU118" s="412"/>
      <c r="BLV118" s="412"/>
      <c r="BLW118" s="412"/>
      <c r="BLX118" s="412"/>
      <c r="BLY118" s="412"/>
      <c r="BLZ118" s="412"/>
      <c r="BMA118" s="412"/>
      <c r="BMB118" s="412"/>
      <c r="BMC118" s="412"/>
      <c r="BMD118" s="412"/>
      <c r="BME118" s="412"/>
      <c r="BMF118" s="412"/>
      <c r="BMG118" s="412"/>
      <c r="BMH118" s="412"/>
      <c r="BMI118" s="412"/>
      <c r="BMJ118" s="412"/>
      <c r="BMK118" s="412"/>
      <c r="BML118" s="412"/>
      <c r="BMM118" s="412"/>
      <c r="BMN118" s="412"/>
      <c r="BMO118" s="412"/>
      <c r="BMP118" s="412"/>
      <c r="BMQ118" s="412"/>
      <c r="BMR118" s="412"/>
      <c r="BMS118" s="412"/>
      <c r="BMT118" s="412"/>
      <c r="BMU118" s="412"/>
      <c r="BMV118" s="412"/>
      <c r="BMW118" s="412"/>
      <c r="BMX118" s="412"/>
      <c r="BMY118" s="412"/>
      <c r="BMZ118" s="412"/>
      <c r="BNA118" s="412"/>
      <c r="BNB118" s="412"/>
      <c r="BNC118" s="412"/>
      <c r="BND118" s="412"/>
      <c r="BNE118" s="412"/>
      <c r="BNF118" s="412"/>
      <c r="BNG118" s="412"/>
      <c r="BNH118" s="412"/>
      <c r="BNI118" s="412"/>
      <c r="BNJ118" s="412"/>
      <c r="BNK118" s="412"/>
      <c r="BNL118" s="412"/>
      <c r="BNM118" s="412"/>
      <c r="BNN118" s="412"/>
      <c r="BNO118" s="412"/>
      <c r="BNP118" s="412"/>
      <c r="BNQ118" s="412"/>
      <c r="BNR118" s="412"/>
      <c r="BNS118" s="412"/>
      <c r="BNT118" s="412"/>
      <c r="BNU118" s="412"/>
      <c r="BNV118" s="412"/>
      <c r="BNW118" s="412"/>
      <c r="BNX118" s="412"/>
      <c r="BNY118" s="412"/>
      <c r="BNZ118" s="412"/>
      <c r="BOA118" s="412"/>
      <c r="BOB118" s="412"/>
      <c r="BOC118" s="412"/>
      <c r="BOD118" s="412"/>
      <c r="BOE118" s="412"/>
      <c r="BOF118" s="412"/>
      <c r="BOG118" s="412"/>
      <c r="BOH118" s="412"/>
      <c r="BOI118" s="412"/>
      <c r="BOJ118" s="412"/>
      <c r="BOK118" s="412"/>
      <c r="BOL118" s="412"/>
      <c r="BOM118" s="412"/>
      <c r="BON118" s="412"/>
      <c r="BOO118" s="412"/>
      <c r="BOP118" s="412"/>
      <c r="BOQ118" s="412"/>
      <c r="BOR118" s="412"/>
      <c r="BOS118" s="412"/>
      <c r="BOT118" s="412"/>
      <c r="BOU118" s="412"/>
      <c r="BOV118" s="412"/>
      <c r="BOW118" s="412"/>
      <c r="BOX118" s="412"/>
      <c r="BOY118" s="412"/>
      <c r="BOZ118" s="412"/>
      <c r="BPA118" s="412"/>
      <c r="BPB118" s="412"/>
      <c r="BPC118" s="412"/>
      <c r="BPD118" s="412"/>
      <c r="BPE118" s="412"/>
      <c r="BPF118" s="412"/>
      <c r="BPG118" s="412"/>
      <c r="BPH118" s="412"/>
      <c r="BPI118" s="412"/>
      <c r="BPJ118" s="412"/>
      <c r="BPK118" s="412"/>
      <c r="BPL118" s="412"/>
      <c r="BPM118" s="412"/>
      <c r="BPN118" s="412"/>
      <c r="BPO118" s="412"/>
      <c r="BPP118" s="412"/>
      <c r="BPQ118" s="412"/>
      <c r="BPR118" s="412"/>
      <c r="BPS118" s="412"/>
      <c r="BPT118" s="412"/>
      <c r="BPU118" s="412"/>
      <c r="BPV118" s="412"/>
      <c r="BPW118" s="412"/>
      <c r="BPX118" s="412"/>
      <c r="BPY118" s="412"/>
      <c r="BPZ118" s="412"/>
      <c r="BQA118" s="412"/>
      <c r="BQB118" s="412"/>
      <c r="BQC118" s="412"/>
      <c r="BQD118" s="412"/>
      <c r="BQE118" s="412"/>
      <c r="BQF118" s="412"/>
      <c r="BQG118" s="412"/>
      <c r="BQH118" s="412"/>
      <c r="BQI118" s="412"/>
      <c r="BQJ118" s="412"/>
      <c r="BQK118" s="412"/>
      <c r="BQL118" s="412"/>
      <c r="BQM118" s="412"/>
      <c r="BQN118" s="412"/>
      <c r="BQO118" s="412"/>
      <c r="BQP118" s="412"/>
      <c r="BQQ118" s="412"/>
      <c r="BQR118" s="412"/>
      <c r="BQS118" s="412"/>
      <c r="BQT118" s="412"/>
      <c r="BQU118" s="412"/>
      <c r="BQV118" s="412"/>
      <c r="BQW118" s="412"/>
      <c r="BQX118" s="412"/>
      <c r="BQY118" s="412"/>
      <c r="BQZ118" s="412"/>
      <c r="BRA118" s="412"/>
      <c r="BRB118" s="412"/>
      <c r="BRC118" s="412"/>
      <c r="BRD118" s="412"/>
      <c r="BRE118" s="412"/>
      <c r="BRF118" s="412"/>
      <c r="BRG118" s="412"/>
      <c r="BRH118" s="412"/>
      <c r="BRI118" s="412"/>
      <c r="BRJ118" s="412"/>
      <c r="BRK118" s="412"/>
      <c r="BRL118" s="412"/>
      <c r="BRM118" s="412"/>
      <c r="BRN118" s="412"/>
      <c r="BRO118" s="412"/>
      <c r="BRP118" s="412"/>
      <c r="BRQ118" s="412"/>
      <c r="BRR118" s="412"/>
      <c r="BRS118" s="412"/>
      <c r="BRT118" s="412"/>
      <c r="BRU118" s="412"/>
      <c r="BRV118" s="412"/>
      <c r="BRW118" s="412"/>
      <c r="BRX118" s="412"/>
      <c r="BRY118" s="412"/>
      <c r="BRZ118" s="412"/>
      <c r="BSA118" s="412"/>
      <c r="BSB118" s="412"/>
      <c r="BSC118" s="412"/>
      <c r="BSD118" s="412"/>
      <c r="BSE118" s="412"/>
      <c r="BSF118" s="412"/>
      <c r="BSG118" s="412"/>
      <c r="BSH118" s="412"/>
      <c r="BSI118" s="412"/>
      <c r="BSJ118" s="412"/>
      <c r="BSK118" s="412"/>
      <c r="BSL118" s="412"/>
      <c r="BSM118" s="412"/>
      <c r="BSN118" s="412"/>
      <c r="BSO118" s="412"/>
      <c r="BSP118" s="412"/>
      <c r="BSQ118" s="412"/>
      <c r="BSR118" s="412"/>
      <c r="BSS118" s="412"/>
      <c r="BST118" s="412"/>
      <c r="BSU118" s="412"/>
      <c r="BSV118" s="412"/>
      <c r="BSW118" s="412"/>
      <c r="BSX118" s="412"/>
      <c r="BSY118" s="412"/>
      <c r="BSZ118" s="412"/>
      <c r="BTA118" s="412"/>
      <c r="BTB118" s="412"/>
      <c r="BTC118" s="412"/>
      <c r="BTD118" s="412"/>
      <c r="BTE118" s="412"/>
      <c r="BTF118" s="412"/>
      <c r="BTG118" s="412"/>
      <c r="BTH118" s="412"/>
      <c r="BTI118" s="412"/>
    </row>
    <row r="119" spans="1:1881" ht="73.5" customHeight="1" x14ac:dyDescent="0.25">
      <c r="A119" s="189">
        <v>88</v>
      </c>
      <c r="B119" s="64" t="s">
        <v>68</v>
      </c>
      <c r="C119" s="160" t="s">
        <v>184</v>
      </c>
      <c r="D119" s="166" t="s">
        <v>634</v>
      </c>
      <c r="E119" s="32" t="e">
        <f>HLOOKUP($D$2,'2019 Data(H)'!$C$1:$CG$300,50,FALSE)</f>
        <v>#N/A</v>
      </c>
      <c r="F119" s="647"/>
      <c r="G119" s="319"/>
      <c r="H119" s="13"/>
      <c r="I119" s="31"/>
    </row>
    <row r="120" spans="1:1881" ht="68.25" customHeight="1" x14ac:dyDescent="0.25">
      <c r="A120" s="189">
        <v>84</v>
      </c>
      <c r="B120" s="64" t="s">
        <v>68</v>
      </c>
      <c r="C120" s="160" t="s">
        <v>184</v>
      </c>
      <c r="D120" s="176" t="s">
        <v>187</v>
      </c>
      <c r="E120" s="32" t="e">
        <f>HLOOKUP($D$2,'2019 Data(H)'!$C$1:$CG$300,48,FALSE)</f>
        <v>#N/A</v>
      </c>
      <c r="F120" s="647"/>
      <c r="G120" s="413">
        <f>IF(120&gt;=119,,"Error: Charges for services exceed total operating revenues. Account numbers 84&gt;=88")</f>
        <v>0</v>
      </c>
      <c r="H120" s="13"/>
      <c r="I120" s="31"/>
    </row>
    <row r="121" spans="1:1881" ht="72" customHeight="1" x14ac:dyDescent="0.25">
      <c r="A121" s="189">
        <v>49</v>
      </c>
      <c r="B121" s="64" t="s">
        <v>64</v>
      </c>
      <c r="C121" s="160" t="s">
        <v>184</v>
      </c>
      <c r="D121" s="176" t="s">
        <v>188</v>
      </c>
      <c r="E121" s="32" t="e">
        <f>HLOOKUP($D$2,'2019 Data(H)'!$C$1:$CG$300,36,FALSE)</f>
        <v>#N/A</v>
      </c>
      <c r="F121" s="647"/>
      <c r="G121" s="413">
        <f>IF(F121&lt;0,"Error: Enter as positive.",)</f>
        <v>0</v>
      </c>
      <c r="H121" s="13"/>
      <c r="I121" s="31"/>
    </row>
    <row r="122" spans="1:1881" ht="72" customHeight="1" x14ac:dyDescent="0.25">
      <c r="A122" s="189">
        <v>85</v>
      </c>
      <c r="B122" s="64" t="s">
        <v>75</v>
      </c>
      <c r="C122" s="160" t="s">
        <v>184</v>
      </c>
      <c r="D122" s="176" t="s">
        <v>189</v>
      </c>
      <c r="E122" s="32" t="e">
        <f>HLOOKUP($D$2,'2019 Data(H)'!$C$1:$CG$300,49,FALSE)</f>
        <v>#N/A</v>
      </c>
      <c r="F122" s="647"/>
      <c r="G122" s="413">
        <f>IF(F122&lt;0,"Error: Enter as positive.",)</f>
        <v>0</v>
      </c>
      <c r="H122" s="13"/>
      <c r="I122" s="31"/>
    </row>
    <row r="123" spans="1:1881" ht="69.75" customHeight="1" x14ac:dyDescent="0.25">
      <c r="A123" s="189">
        <v>89</v>
      </c>
      <c r="B123" s="64" t="s">
        <v>63</v>
      </c>
      <c r="C123" s="160" t="s">
        <v>184</v>
      </c>
      <c r="D123" s="176" t="s">
        <v>190</v>
      </c>
      <c r="E123" s="32" t="e">
        <f>HLOOKUP($D$2,'2019 Data(H)'!$C$1:$CG$300,51,FALSE)</f>
        <v>#N/A</v>
      </c>
      <c r="F123" s="647"/>
      <c r="G123" s="413">
        <f>IF(F123&lt;0,"Error: Enter as positive.",)</f>
        <v>0</v>
      </c>
      <c r="H123" s="13"/>
      <c r="I123" s="31"/>
    </row>
    <row r="124" spans="1:1881" ht="68.25" customHeight="1" x14ac:dyDescent="0.25">
      <c r="A124" s="189">
        <v>350</v>
      </c>
      <c r="B124" s="64" t="s">
        <v>63</v>
      </c>
      <c r="C124" s="160" t="s">
        <v>184</v>
      </c>
      <c r="D124" s="166" t="s">
        <v>191</v>
      </c>
      <c r="E124" s="32" t="e">
        <f>HLOOKUP($D$2,'2019 Data(H)'!$C$1:$CG$300,114,FALSE)</f>
        <v>#N/A</v>
      </c>
      <c r="F124" s="647"/>
      <c r="G124" s="604"/>
      <c r="H124" s="13"/>
      <c r="I124" s="31"/>
    </row>
    <row r="125" spans="1:1881" ht="66" customHeight="1" x14ac:dyDescent="0.25">
      <c r="A125" s="189">
        <v>351</v>
      </c>
      <c r="B125" s="64" t="s">
        <v>63</v>
      </c>
      <c r="C125" s="160" t="s">
        <v>184</v>
      </c>
      <c r="D125" s="166" t="s">
        <v>617</v>
      </c>
      <c r="E125" s="32" t="e">
        <f>HLOOKUP($D$2,'2019 Data(H)'!$C$1:$CG$300,115,FALSE)</f>
        <v>#N/A</v>
      </c>
      <c r="F125" s="647"/>
      <c r="G125" s="413">
        <f>IF(F125&lt;0,"Error: Enter as positive.",)</f>
        <v>0</v>
      </c>
      <c r="H125" s="13"/>
      <c r="I125" s="31"/>
    </row>
    <row r="126" spans="1:1881" ht="72" customHeight="1" x14ac:dyDescent="0.25">
      <c r="A126" s="189">
        <v>191</v>
      </c>
      <c r="B126" s="64" t="s">
        <v>64</v>
      </c>
      <c r="C126" s="160" t="s">
        <v>184</v>
      </c>
      <c r="D126" s="166" t="s">
        <v>192</v>
      </c>
      <c r="E126" s="32" t="e">
        <f>HLOOKUP($D$2,'2019 Data(H)'!$C$1:$CG$300,72,FALSE)</f>
        <v>#N/A</v>
      </c>
      <c r="F126" s="647"/>
      <c r="G126" s="413">
        <f>IF(F126&lt;0,"Error: Enter as positive.",)</f>
        <v>0</v>
      </c>
      <c r="H126" s="13"/>
      <c r="I126" s="31"/>
    </row>
    <row r="127" spans="1:1881" ht="75" customHeight="1" x14ac:dyDescent="0.25">
      <c r="A127" s="189">
        <v>352</v>
      </c>
      <c r="B127" s="64" t="s">
        <v>75</v>
      </c>
      <c r="C127" s="160" t="s">
        <v>184</v>
      </c>
      <c r="D127" s="176" t="s">
        <v>152</v>
      </c>
      <c r="E127" s="32" t="e">
        <f>HLOOKUP($D$2,'2019 Data(H)'!$C$1:$CG$300,116,FALSE)</f>
        <v>#N/A</v>
      </c>
      <c r="F127" s="647"/>
      <c r="G127" s="413">
        <f>IF(F127&lt;0,"Error: Enter as positive.",)</f>
        <v>0</v>
      </c>
      <c r="H127" s="13"/>
      <c r="I127" s="31"/>
    </row>
    <row r="128" spans="1:1881" ht="69" customHeight="1" x14ac:dyDescent="0.25">
      <c r="A128" s="189">
        <v>353</v>
      </c>
      <c r="B128" s="64" t="s">
        <v>75</v>
      </c>
      <c r="C128" s="160" t="s">
        <v>184</v>
      </c>
      <c r="D128" s="176" t="s">
        <v>153</v>
      </c>
      <c r="E128" s="32" t="e">
        <f>HLOOKUP($D$2,'2019 Data(H)'!$C$1:$CG$300,117,FALSE)</f>
        <v>#N/A</v>
      </c>
      <c r="F128" s="647"/>
      <c r="G128" s="601">
        <f>IF(F128&lt;0,"Error: Enter as positive.",)</f>
        <v>0</v>
      </c>
      <c r="H128" s="13"/>
      <c r="I128" s="31"/>
    </row>
    <row r="129" spans="1:9" ht="69" customHeight="1" x14ac:dyDescent="0.25">
      <c r="A129" s="189">
        <v>50</v>
      </c>
      <c r="B129" s="64" t="s">
        <v>71</v>
      </c>
      <c r="C129" s="160" t="s">
        <v>184</v>
      </c>
      <c r="D129" s="142" t="s">
        <v>193</v>
      </c>
      <c r="E129" s="32" t="e">
        <f>HLOOKUP($D$2,'2019 Data(H)'!$C$1:$CG$300,37,FALSE)</f>
        <v>#N/A</v>
      </c>
      <c r="F129" s="746"/>
      <c r="G129" s="413">
        <f>IF(H129=0,,"Error: Total revenues less total expenses do not equal total change in net position. Account number 84-85+350-351+191+352-353-50=0  The amount of the formula is in the cell to the right")</f>
        <v>0</v>
      </c>
      <c r="H129" s="193">
        <f>F120-F122+F124-F125+F126+F127-F128-F129</f>
        <v>0</v>
      </c>
      <c r="I129" s="31"/>
    </row>
    <row r="130" spans="1:9" ht="100.5" customHeight="1" x14ac:dyDescent="0.25">
      <c r="A130" s="189">
        <v>377</v>
      </c>
      <c r="B130" s="64" t="s">
        <v>75</v>
      </c>
      <c r="C130" s="160" t="s">
        <v>184</v>
      </c>
      <c r="D130" s="142" t="s">
        <v>196</v>
      </c>
      <c r="E130" s="32" t="e">
        <f>HLOOKUP($D$2,'2019 Data(H)'!$C$1:$CG$300,136,FALSE)</f>
        <v>#N/A</v>
      </c>
      <c r="F130" s="746"/>
      <c r="G130" s="413" t="e">
        <f>IF(F97-F129-F130=E97,,"Error: Beginning Balance does not agree with our records.  Cell F97-F129-F130=E97  The amount of the formula is in the cell to the right")</f>
        <v>#N/A</v>
      </c>
      <c r="H130" s="193" t="e">
        <f>+F97-F129-F130-E97</f>
        <v>#N/A</v>
      </c>
      <c r="I130" s="31"/>
    </row>
    <row r="131" spans="1:9" ht="63.75" customHeight="1" x14ac:dyDescent="0.25">
      <c r="A131" s="189">
        <v>537</v>
      </c>
      <c r="B131" s="151" t="s">
        <v>66</v>
      </c>
      <c r="C131" s="183" t="s">
        <v>184</v>
      </c>
      <c r="D131" s="244" t="s">
        <v>194</v>
      </c>
      <c r="E131" s="249" t="e">
        <f>HLOOKUP($D$2,'2019 Data(H)'!$C$1:$CG$300,250,FALSE)</f>
        <v>#N/A</v>
      </c>
      <c r="F131" s="647"/>
      <c r="G131" s="413"/>
      <c r="H131" s="17"/>
      <c r="I131" s="298"/>
    </row>
    <row r="132" spans="1:9" ht="58.5" customHeight="1" x14ac:dyDescent="0.25">
      <c r="A132" s="189">
        <v>538</v>
      </c>
      <c r="B132" s="151" t="s">
        <v>66</v>
      </c>
      <c r="C132" s="183" t="s">
        <v>184</v>
      </c>
      <c r="D132" s="244" t="s">
        <v>195</v>
      </c>
      <c r="E132" s="32" t="e">
        <f>HLOOKUP($D$2,'2019 Data(H)'!$C$1:$CG$300,251,FALSE)</f>
        <v>#N/A</v>
      </c>
      <c r="F132" s="647"/>
      <c r="G132" s="413"/>
      <c r="H132" s="17"/>
      <c r="I132" s="298"/>
    </row>
    <row r="133" spans="1:9" ht="26.25" customHeight="1" x14ac:dyDescent="0.3">
      <c r="A133" s="190"/>
      <c r="B133" s="162" t="s">
        <v>6</v>
      </c>
      <c r="C133" s="161"/>
      <c r="D133" s="156"/>
      <c r="E133" s="156"/>
      <c r="F133" s="751"/>
      <c r="G133" s="575"/>
      <c r="H133" s="13"/>
      <c r="I133" s="31"/>
    </row>
    <row r="134" spans="1:9" ht="69" customHeight="1" x14ac:dyDescent="0.25">
      <c r="A134" s="189">
        <v>97</v>
      </c>
      <c r="B134" s="64" t="s">
        <v>75</v>
      </c>
      <c r="C134" s="160" t="s">
        <v>197</v>
      </c>
      <c r="D134" s="176" t="s">
        <v>198</v>
      </c>
      <c r="E134" s="32" t="e">
        <f>HLOOKUP($D$2,'2019 Data(H)'!$C$1:$CG$300,57,FALSE)</f>
        <v>#N/A</v>
      </c>
      <c r="F134" s="609"/>
      <c r="G134" s="319"/>
      <c r="H134" s="13"/>
      <c r="I134" s="31"/>
    </row>
    <row r="135" spans="1:9" ht="72.75" customHeight="1" x14ac:dyDescent="0.25">
      <c r="A135" s="189">
        <v>93</v>
      </c>
      <c r="B135" s="64" t="s">
        <v>73</v>
      </c>
      <c r="C135" s="160" t="s">
        <v>197</v>
      </c>
      <c r="D135" s="176" t="s">
        <v>187</v>
      </c>
      <c r="E135" s="32" t="e">
        <f>HLOOKUP($D$2,'2019 Data(H)'!$C$1:$CG$300,55,FALSE)</f>
        <v>#N/A</v>
      </c>
      <c r="F135" s="609"/>
      <c r="G135" s="413">
        <f>IF(F134&gt;F135,"Error: Charges for services exceed total operating revenues. Account number 97&gt;93",)</f>
        <v>0</v>
      </c>
      <c r="H135" s="13"/>
      <c r="I135" s="31"/>
    </row>
    <row r="136" spans="1:9" ht="82.5" customHeight="1" x14ac:dyDescent="0.25">
      <c r="A136" s="189">
        <v>99</v>
      </c>
      <c r="B136" s="64" t="s">
        <v>65</v>
      </c>
      <c r="C136" s="160" t="s">
        <v>197</v>
      </c>
      <c r="D136" s="176" t="s">
        <v>199</v>
      </c>
      <c r="E136" s="32" t="e">
        <f>HLOOKUP($D$2,'2019 Data(H)'!$C$1:$CG$300,59,FALSE)</f>
        <v>#N/A</v>
      </c>
      <c r="F136" s="609"/>
      <c r="G136" s="601">
        <f t="shared" ref="G136:G144" si="2">IF(F136&lt;0,"Error: Enter as positive.",)</f>
        <v>0</v>
      </c>
      <c r="H136" s="13"/>
      <c r="I136" s="31"/>
    </row>
    <row r="137" spans="1:9" ht="59.25" customHeight="1" x14ac:dyDescent="0.25">
      <c r="A137" s="189">
        <v>52</v>
      </c>
      <c r="B137" s="64" t="s">
        <v>65</v>
      </c>
      <c r="C137" s="160" t="s">
        <v>197</v>
      </c>
      <c r="D137" s="176" t="s">
        <v>188</v>
      </c>
      <c r="E137" s="32" t="e">
        <f>HLOOKUP($D$2,'2019 Data(H)'!$C$1:$CG$300,39,FALSE)</f>
        <v>#N/A</v>
      </c>
      <c r="F137" s="609"/>
      <c r="G137" s="601">
        <f t="shared" si="2"/>
        <v>0</v>
      </c>
      <c r="H137" s="13"/>
      <c r="I137" s="31"/>
    </row>
    <row r="138" spans="1:9" ht="67.5" customHeight="1" x14ac:dyDescent="0.25">
      <c r="A138" s="189">
        <v>94</v>
      </c>
      <c r="B138" s="64" t="s">
        <v>73</v>
      </c>
      <c r="C138" s="160" t="s">
        <v>197</v>
      </c>
      <c r="D138" s="176" t="s">
        <v>189</v>
      </c>
      <c r="E138" s="32" t="e">
        <f>HLOOKUP($D$2,'2019 Data(H)'!$C$1:$CG$300,56,FALSE)</f>
        <v>#N/A</v>
      </c>
      <c r="F138" s="609"/>
      <c r="G138" s="601">
        <f t="shared" si="2"/>
        <v>0</v>
      </c>
      <c r="H138" s="13"/>
      <c r="I138" s="31"/>
    </row>
    <row r="139" spans="1:9" ht="54" x14ac:dyDescent="0.25">
      <c r="A139" s="189">
        <v>98</v>
      </c>
      <c r="B139" s="64" t="s">
        <v>73</v>
      </c>
      <c r="C139" s="160" t="s">
        <v>197</v>
      </c>
      <c r="D139" s="176" t="s">
        <v>190</v>
      </c>
      <c r="E139" s="32" t="e">
        <f>HLOOKUP($D$2,'2019 Data(H)'!$C$1:$CG$300,58,FALSE)</f>
        <v>#N/A</v>
      </c>
      <c r="F139" s="609"/>
      <c r="G139" s="601">
        <f t="shared" si="2"/>
        <v>0</v>
      </c>
      <c r="H139" s="13"/>
      <c r="I139" s="31"/>
    </row>
    <row r="140" spans="1:9" ht="73.5" customHeight="1" x14ac:dyDescent="0.25">
      <c r="A140" s="189">
        <v>363</v>
      </c>
      <c r="B140" s="64" t="s">
        <v>63</v>
      </c>
      <c r="C140" s="160" t="s">
        <v>197</v>
      </c>
      <c r="D140" s="166" t="s">
        <v>601</v>
      </c>
      <c r="E140" s="32" t="e">
        <f>HLOOKUP($D$2,'2019 Data(H)'!$C$1:$CG$300,124,FALSE)</f>
        <v>#N/A</v>
      </c>
      <c r="F140" s="609"/>
      <c r="G140" s="601">
        <f t="shared" si="2"/>
        <v>0</v>
      </c>
      <c r="H140" s="13"/>
      <c r="I140" s="31"/>
    </row>
    <row r="141" spans="1:9" ht="69" customHeight="1" x14ac:dyDescent="0.25">
      <c r="A141" s="189">
        <v>364</v>
      </c>
      <c r="B141" s="64" t="s">
        <v>63</v>
      </c>
      <c r="C141" s="160" t="s">
        <v>197</v>
      </c>
      <c r="D141" s="166" t="s">
        <v>618</v>
      </c>
      <c r="E141" s="32" t="e">
        <f>HLOOKUP($D$2,'2019 Data(H)'!$C$1:$CG$300,125,FALSE)</f>
        <v>#N/A</v>
      </c>
      <c r="F141" s="609"/>
      <c r="G141" s="601">
        <f t="shared" si="2"/>
        <v>0</v>
      </c>
      <c r="H141" s="13"/>
      <c r="I141" s="31"/>
    </row>
    <row r="142" spans="1:9" ht="72.75" customHeight="1" x14ac:dyDescent="0.25">
      <c r="A142" s="189">
        <v>192</v>
      </c>
      <c r="B142" s="64" t="s">
        <v>65</v>
      </c>
      <c r="C142" s="160" t="s">
        <v>197</v>
      </c>
      <c r="D142" s="166" t="s">
        <v>200</v>
      </c>
      <c r="E142" s="32" t="e">
        <f>HLOOKUP($D$2,'2019 Data(H)'!$C$1:$CG$300,73,FALSE)</f>
        <v>#N/A</v>
      </c>
      <c r="F142" s="609"/>
      <c r="G142" s="601">
        <f t="shared" si="2"/>
        <v>0</v>
      </c>
      <c r="H142" s="13"/>
      <c r="I142" s="31"/>
    </row>
    <row r="143" spans="1:9" ht="66.75" customHeight="1" x14ac:dyDescent="0.25">
      <c r="A143" s="189">
        <v>365</v>
      </c>
      <c r="B143" s="64" t="s">
        <v>73</v>
      </c>
      <c r="C143" s="160" t="s">
        <v>197</v>
      </c>
      <c r="D143" s="166" t="s">
        <v>202</v>
      </c>
      <c r="E143" s="32" t="e">
        <f>HLOOKUP($D$2,'2019 Data(H)'!$C$1:$CG$300,126,FALSE)</f>
        <v>#N/A</v>
      </c>
      <c r="F143" s="609"/>
      <c r="G143" s="601">
        <f t="shared" si="2"/>
        <v>0</v>
      </c>
      <c r="H143" s="13"/>
      <c r="I143" s="31"/>
    </row>
    <row r="144" spans="1:9" ht="63" customHeight="1" x14ac:dyDescent="0.25">
      <c r="A144" s="189">
        <v>366</v>
      </c>
      <c r="B144" s="64" t="s">
        <v>73</v>
      </c>
      <c r="C144" s="160" t="s">
        <v>197</v>
      </c>
      <c r="D144" s="166" t="s">
        <v>203</v>
      </c>
      <c r="E144" s="32" t="e">
        <f>HLOOKUP($D$2,'2019 Data(H)'!$C$1:$CG$300,127,FALSE)</f>
        <v>#N/A</v>
      </c>
      <c r="F144" s="609"/>
      <c r="G144" s="601">
        <f t="shared" si="2"/>
        <v>0</v>
      </c>
      <c r="H144" s="13"/>
      <c r="I144" s="31"/>
    </row>
    <row r="145" spans="1:1881" s="4" customFormat="1" ht="63" customHeight="1" x14ac:dyDescent="0.25">
      <c r="A145" s="189">
        <v>53</v>
      </c>
      <c r="B145" s="151" t="s">
        <v>73</v>
      </c>
      <c r="C145" s="183" t="s">
        <v>197</v>
      </c>
      <c r="D145" s="142" t="s">
        <v>201</v>
      </c>
      <c r="E145" s="32" t="e">
        <f>HLOOKUP($D$2,'2019 Data(H)'!$C$1:$CG$300,40,FALSE)</f>
        <v>#N/A</v>
      </c>
      <c r="F145" s="609"/>
      <c r="G145" s="413">
        <f>IF(H145=0,,"Error: Total revenues less total expenses do not equal total change in net position. Account number 93-94+363-364+192+365-366-53=0  The amount of the formula is in the cell to the right")</f>
        <v>0</v>
      </c>
      <c r="H145" s="193">
        <f>+F135-F138+F140-F141+F142+F143-F144-F145</f>
        <v>0</v>
      </c>
      <c r="I145" s="31"/>
      <c r="J145" s="412"/>
      <c r="K145" s="412"/>
      <c r="L145" s="412"/>
      <c r="M145" s="412"/>
      <c r="N145"/>
      <c r="O145" s="412"/>
      <c r="P145" s="412"/>
      <c r="Q145" s="412"/>
      <c r="R145" s="412"/>
      <c r="S145" s="412"/>
      <c r="T145" s="412"/>
      <c r="U145" s="412"/>
      <c r="V145" s="412"/>
      <c r="W145" s="412"/>
      <c r="X145" s="412"/>
      <c r="Y145" s="412"/>
      <c r="Z145" s="412"/>
      <c r="AA145" s="412"/>
      <c r="AB145" s="412"/>
      <c r="AC145" s="412"/>
      <c r="AD145" s="412"/>
      <c r="AE145" s="412"/>
      <c r="AF145" s="412"/>
      <c r="AG145" s="412"/>
      <c r="AH145" s="412"/>
      <c r="AI145" s="412"/>
      <c r="AJ145" s="412"/>
      <c r="AK145" s="412"/>
      <c r="AL145" s="412"/>
      <c r="AM145" s="412"/>
      <c r="AN145" s="412"/>
      <c r="AO145" s="412"/>
      <c r="AP145" s="412"/>
      <c r="AQ145" s="412"/>
      <c r="AR145" s="412"/>
      <c r="AS145" s="412"/>
      <c r="AT145" s="412"/>
      <c r="AU145" s="412"/>
      <c r="AV145" s="412"/>
      <c r="AW145" s="412"/>
      <c r="AX145" s="412"/>
      <c r="AY145" s="412"/>
      <c r="AZ145" s="412"/>
      <c r="BA145" s="412"/>
      <c r="BB145" s="412"/>
      <c r="BC145" s="412"/>
      <c r="BD145" s="412"/>
      <c r="BE145" s="412"/>
      <c r="BF145" s="412"/>
      <c r="BG145" s="412"/>
      <c r="BH145" s="412"/>
      <c r="BI145" s="412"/>
      <c r="BJ145" s="412"/>
      <c r="BK145" s="412"/>
      <c r="BL145" s="412"/>
      <c r="BM145" s="412"/>
      <c r="BN145" s="412"/>
      <c r="BO145" s="412"/>
      <c r="BP145" s="412"/>
      <c r="BQ145" s="412"/>
      <c r="BR145" s="412"/>
      <c r="BS145" s="412"/>
      <c r="BT145" s="412"/>
      <c r="BU145" s="412"/>
      <c r="BV145" s="412"/>
      <c r="BW145" s="412"/>
      <c r="BX145" s="412"/>
      <c r="BY145" s="412"/>
      <c r="BZ145" s="412"/>
      <c r="CA145" s="412"/>
      <c r="CB145" s="412"/>
      <c r="CC145" s="412"/>
      <c r="CD145" s="412"/>
      <c r="CE145" s="412"/>
      <c r="CF145" s="412"/>
      <c r="CG145" s="412"/>
      <c r="CH145" s="412"/>
      <c r="CI145" s="412"/>
      <c r="CJ145" s="412"/>
      <c r="CK145" s="412"/>
      <c r="CL145" s="412"/>
      <c r="CM145" s="412"/>
      <c r="CN145" s="412"/>
      <c r="CO145" s="412"/>
      <c r="CP145" s="412"/>
      <c r="CQ145" s="412"/>
      <c r="CR145" s="412"/>
      <c r="CS145" s="412"/>
      <c r="CT145" s="412"/>
      <c r="CU145" s="412"/>
      <c r="CV145" s="412"/>
      <c r="CW145" s="412"/>
      <c r="CX145" s="412"/>
      <c r="CY145" s="412"/>
      <c r="CZ145" s="412"/>
      <c r="DA145" s="412"/>
      <c r="DB145" s="412"/>
      <c r="DC145" s="412"/>
      <c r="DD145" s="412"/>
      <c r="DE145" s="412"/>
      <c r="DF145" s="412"/>
      <c r="DG145" s="412"/>
      <c r="DH145" s="412"/>
      <c r="DI145" s="412"/>
      <c r="DJ145" s="412"/>
      <c r="DK145" s="412"/>
      <c r="DL145" s="412"/>
      <c r="DM145" s="412"/>
      <c r="DN145" s="412"/>
      <c r="DO145" s="412"/>
      <c r="DP145" s="412"/>
      <c r="DQ145" s="412"/>
      <c r="DR145" s="412"/>
      <c r="DS145" s="412"/>
      <c r="DT145" s="412"/>
      <c r="DU145" s="412"/>
      <c r="DV145" s="412"/>
      <c r="DW145" s="412"/>
      <c r="DX145" s="412"/>
      <c r="DY145" s="412"/>
      <c r="DZ145" s="412"/>
      <c r="EA145" s="412"/>
      <c r="EB145" s="412"/>
      <c r="EC145" s="412"/>
      <c r="ED145" s="412"/>
      <c r="EE145" s="412"/>
      <c r="EF145" s="412"/>
      <c r="EG145" s="412"/>
      <c r="EH145" s="412"/>
      <c r="EI145" s="412"/>
      <c r="EJ145" s="412"/>
      <c r="EK145" s="412"/>
      <c r="EL145" s="412"/>
      <c r="EM145" s="412"/>
      <c r="EN145" s="412"/>
      <c r="EO145" s="412"/>
      <c r="EP145" s="412"/>
      <c r="EQ145" s="412"/>
      <c r="ER145" s="412"/>
      <c r="ES145" s="412"/>
      <c r="ET145" s="412"/>
      <c r="EU145" s="412"/>
      <c r="EV145" s="412"/>
      <c r="EW145" s="412"/>
      <c r="EX145" s="412"/>
      <c r="EY145" s="412"/>
      <c r="EZ145" s="412"/>
      <c r="FA145" s="412"/>
      <c r="FB145" s="412"/>
      <c r="FC145" s="412"/>
      <c r="FD145" s="412"/>
      <c r="FE145" s="412"/>
      <c r="FF145" s="412"/>
      <c r="FG145" s="412"/>
      <c r="FH145" s="412"/>
      <c r="FI145" s="412"/>
      <c r="FJ145" s="412"/>
      <c r="FK145" s="412"/>
      <c r="FL145" s="412"/>
      <c r="FM145" s="412"/>
      <c r="FN145" s="412"/>
      <c r="FO145" s="412"/>
      <c r="FP145" s="412"/>
      <c r="FQ145" s="412"/>
      <c r="FR145" s="412"/>
      <c r="FS145" s="412"/>
      <c r="FT145" s="412"/>
      <c r="FU145" s="412"/>
      <c r="FV145" s="412"/>
      <c r="FW145" s="412"/>
      <c r="FX145" s="412"/>
      <c r="FY145" s="412"/>
      <c r="FZ145" s="412"/>
      <c r="GA145" s="412"/>
      <c r="GB145" s="412"/>
      <c r="GC145" s="412"/>
      <c r="GD145" s="412"/>
      <c r="GE145" s="412"/>
      <c r="GF145" s="412"/>
      <c r="GG145" s="412"/>
      <c r="GH145" s="412"/>
      <c r="GI145" s="412"/>
      <c r="GJ145" s="412"/>
      <c r="GK145" s="412"/>
      <c r="GL145" s="412"/>
      <c r="GM145" s="412"/>
      <c r="GN145" s="412"/>
      <c r="GO145" s="412"/>
      <c r="GP145" s="412"/>
      <c r="GQ145" s="412"/>
      <c r="GR145" s="412"/>
      <c r="GS145" s="412"/>
      <c r="GT145" s="412"/>
      <c r="GU145" s="412"/>
      <c r="GV145" s="412"/>
      <c r="GW145" s="412"/>
      <c r="GX145" s="412"/>
      <c r="GY145" s="412"/>
      <c r="GZ145" s="412"/>
      <c r="HA145" s="412"/>
      <c r="HB145" s="412"/>
      <c r="HC145" s="412"/>
      <c r="HD145" s="412"/>
      <c r="HE145" s="412"/>
      <c r="HF145" s="412"/>
      <c r="HG145" s="412"/>
      <c r="HH145" s="412"/>
      <c r="HI145" s="412"/>
      <c r="HJ145" s="412"/>
      <c r="HK145" s="412"/>
      <c r="HL145" s="412"/>
      <c r="HM145" s="412"/>
      <c r="HN145" s="412"/>
      <c r="HO145" s="412"/>
      <c r="HP145" s="412"/>
      <c r="HQ145" s="412"/>
      <c r="HR145" s="412"/>
      <c r="HS145" s="412"/>
      <c r="HT145" s="412"/>
      <c r="HU145" s="412"/>
      <c r="HV145" s="412"/>
      <c r="HW145" s="412"/>
      <c r="HX145" s="412"/>
      <c r="HY145" s="412"/>
      <c r="HZ145" s="412"/>
      <c r="IA145" s="412"/>
      <c r="IB145" s="412"/>
      <c r="IC145" s="412"/>
      <c r="ID145" s="412"/>
      <c r="IE145" s="412"/>
      <c r="IF145" s="412"/>
      <c r="IG145" s="412"/>
      <c r="IH145" s="412"/>
      <c r="II145" s="412"/>
      <c r="IJ145" s="412"/>
      <c r="IK145" s="412"/>
      <c r="IL145" s="412"/>
      <c r="IM145" s="412"/>
      <c r="IN145" s="412"/>
      <c r="IO145" s="412"/>
      <c r="IP145" s="412"/>
      <c r="IQ145" s="412"/>
      <c r="IR145" s="412"/>
      <c r="IS145" s="412"/>
      <c r="IT145" s="412"/>
      <c r="IU145" s="412"/>
      <c r="IV145" s="412"/>
      <c r="IW145" s="412"/>
      <c r="IX145" s="412"/>
      <c r="IY145" s="412"/>
      <c r="IZ145" s="412"/>
      <c r="JA145" s="412"/>
      <c r="JB145" s="412"/>
      <c r="JC145" s="412"/>
      <c r="JD145" s="412"/>
      <c r="JE145" s="412"/>
      <c r="JF145" s="412"/>
      <c r="JG145" s="412"/>
      <c r="JH145" s="412"/>
      <c r="JI145" s="412"/>
      <c r="JJ145" s="412"/>
      <c r="JK145" s="412"/>
      <c r="JL145" s="412"/>
      <c r="JM145" s="412"/>
      <c r="JN145" s="412"/>
      <c r="JO145" s="412"/>
      <c r="JP145" s="412"/>
      <c r="JQ145" s="412"/>
      <c r="JR145" s="412"/>
      <c r="JS145" s="412"/>
      <c r="JT145" s="412"/>
      <c r="JU145" s="412"/>
      <c r="JV145" s="412"/>
      <c r="JW145" s="412"/>
      <c r="JX145" s="412"/>
      <c r="JY145" s="412"/>
      <c r="JZ145" s="412"/>
      <c r="KA145" s="412"/>
      <c r="KB145" s="412"/>
      <c r="KC145" s="412"/>
      <c r="KD145" s="412"/>
      <c r="KE145" s="412"/>
      <c r="KF145" s="412"/>
      <c r="KG145" s="412"/>
      <c r="KH145" s="412"/>
      <c r="KI145" s="412"/>
      <c r="KJ145" s="412"/>
      <c r="KK145" s="412"/>
      <c r="KL145" s="412"/>
      <c r="KM145" s="412"/>
      <c r="KN145" s="412"/>
      <c r="KO145" s="412"/>
      <c r="KP145" s="412"/>
      <c r="KQ145" s="412"/>
      <c r="KR145" s="412"/>
      <c r="KS145" s="412"/>
      <c r="KT145" s="412"/>
      <c r="KU145" s="412"/>
      <c r="KV145" s="412"/>
      <c r="KW145" s="412"/>
      <c r="KX145" s="412"/>
      <c r="KY145" s="412"/>
      <c r="KZ145" s="412"/>
      <c r="LA145" s="412"/>
      <c r="LB145" s="412"/>
      <c r="LC145" s="412"/>
      <c r="LD145" s="412"/>
      <c r="LE145" s="412"/>
      <c r="LF145" s="412"/>
      <c r="LG145" s="412"/>
      <c r="LH145" s="412"/>
      <c r="LI145" s="412"/>
      <c r="LJ145" s="412"/>
      <c r="LK145" s="412"/>
      <c r="LL145" s="412"/>
      <c r="LM145" s="412"/>
      <c r="LN145" s="412"/>
      <c r="LO145" s="412"/>
      <c r="LP145" s="412"/>
      <c r="LQ145" s="412"/>
      <c r="LR145" s="412"/>
      <c r="LS145" s="412"/>
      <c r="LT145" s="412"/>
      <c r="LU145" s="412"/>
      <c r="LV145" s="412"/>
      <c r="LW145" s="412"/>
      <c r="LX145" s="412"/>
      <c r="LY145" s="412"/>
      <c r="LZ145" s="412"/>
      <c r="MA145" s="412"/>
      <c r="MB145" s="412"/>
      <c r="MC145" s="412"/>
      <c r="MD145" s="412"/>
      <c r="ME145" s="412"/>
      <c r="MF145" s="412"/>
      <c r="MG145" s="412"/>
      <c r="MH145" s="412"/>
      <c r="MI145" s="412"/>
      <c r="MJ145" s="412"/>
      <c r="MK145" s="412"/>
      <c r="ML145" s="412"/>
      <c r="MM145" s="412"/>
      <c r="MN145" s="412"/>
      <c r="MO145" s="412"/>
      <c r="MP145" s="412"/>
      <c r="MQ145" s="412"/>
      <c r="MR145" s="412"/>
      <c r="MS145" s="412"/>
      <c r="MT145" s="412"/>
      <c r="MU145" s="412"/>
      <c r="MV145" s="412"/>
      <c r="MW145" s="412"/>
      <c r="MX145" s="412"/>
      <c r="MY145" s="412"/>
      <c r="MZ145" s="412"/>
      <c r="NA145" s="412"/>
      <c r="NB145" s="412"/>
      <c r="NC145" s="412"/>
      <c r="ND145" s="412"/>
      <c r="NE145" s="412"/>
      <c r="NF145" s="412"/>
      <c r="NG145" s="412"/>
      <c r="NH145" s="412"/>
      <c r="NI145" s="412"/>
      <c r="NJ145" s="412"/>
      <c r="NK145" s="412"/>
      <c r="NL145" s="412"/>
      <c r="NM145" s="412"/>
      <c r="NN145" s="412"/>
      <c r="NO145" s="412"/>
      <c r="NP145" s="412"/>
      <c r="NQ145" s="412"/>
      <c r="NR145" s="412"/>
      <c r="NS145" s="412"/>
      <c r="NT145" s="412"/>
      <c r="NU145" s="412"/>
      <c r="NV145" s="412"/>
      <c r="NW145" s="412"/>
      <c r="NX145" s="412"/>
      <c r="NY145" s="412"/>
      <c r="NZ145" s="412"/>
      <c r="OA145" s="412"/>
      <c r="OB145" s="412"/>
      <c r="OC145" s="412"/>
      <c r="OD145" s="412"/>
      <c r="OE145" s="412"/>
      <c r="OF145" s="412"/>
      <c r="OG145" s="412"/>
      <c r="OH145" s="412"/>
      <c r="OI145" s="412"/>
      <c r="OJ145" s="412"/>
      <c r="OK145" s="412"/>
      <c r="OL145" s="412"/>
      <c r="OM145" s="412"/>
      <c r="ON145" s="412"/>
      <c r="OO145" s="412"/>
      <c r="OP145" s="412"/>
      <c r="OQ145" s="412"/>
      <c r="OR145" s="412"/>
      <c r="OS145" s="412"/>
      <c r="OT145" s="412"/>
      <c r="OU145" s="412"/>
      <c r="OV145" s="412"/>
      <c r="OW145" s="412"/>
      <c r="OX145" s="412"/>
      <c r="OY145" s="412"/>
      <c r="OZ145" s="412"/>
      <c r="PA145" s="412"/>
      <c r="PB145" s="412"/>
      <c r="PC145" s="412"/>
      <c r="PD145" s="412"/>
      <c r="PE145" s="412"/>
      <c r="PF145" s="412"/>
      <c r="PG145" s="412"/>
      <c r="PH145" s="412"/>
      <c r="PI145" s="412"/>
      <c r="PJ145" s="412"/>
      <c r="PK145" s="412"/>
      <c r="PL145" s="412"/>
      <c r="PM145" s="412"/>
      <c r="PN145" s="412"/>
      <c r="PO145" s="412"/>
      <c r="PP145" s="412"/>
      <c r="PQ145" s="412"/>
      <c r="PR145" s="412"/>
      <c r="PS145" s="412"/>
      <c r="PT145" s="412"/>
      <c r="PU145" s="412"/>
      <c r="PV145" s="412"/>
      <c r="PW145" s="412"/>
      <c r="PX145" s="412"/>
      <c r="PY145" s="412"/>
      <c r="PZ145" s="412"/>
      <c r="QA145" s="412"/>
      <c r="QB145" s="412"/>
      <c r="QC145" s="412"/>
      <c r="QD145" s="412"/>
      <c r="QE145" s="412"/>
      <c r="QF145" s="412"/>
      <c r="QG145" s="412"/>
      <c r="QH145" s="412"/>
      <c r="QI145" s="412"/>
      <c r="QJ145" s="412"/>
      <c r="QK145" s="412"/>
      <c r="QL145" s="412"/>
      <c r="QM145" s="412"/>
      <c r="QN145" s="412"/>
      <c r="QO145" s="412"/>
      <c r="QP145" s="412"/>
      <c r="QQ145" s="412"/>
      <c r="QR145" s="412"/>
      <c r="QS145" s="412"/>
      <c r="QT145" s="412"/>
      <c r="QU145" s="412"/>
      <c r="QV145" s="412"/>
      <c r="QW145" s="412"/>
      <c r="QX145" s="412"/>
      <c r="QY145" s="412"/>
      <c r="QZ145" s="412"/>
      <c r="RA145" s="412"/>
      <c r="RB145" s="412"/>
      <c r="RC145" s="412"/>
      <c r="RD145" s="412"/>
      <c r="RE145" s="412"/>
      <c r="RF145" s="412"/>
      <c r="RG145" s="412"/>
      <c r="RH145" s="412"/>
      <c r="RI145" s="412"/>
      <c r="RJ145" s="412"/>
      <c r="RK145" s="412"/>
      <c r="RL145" s="412"/>
      <c r="RM145" s="412"/>
      <c r="RN145" s="412"/>
      <c r="RO145" s="412"/>
      <c r="RP145" s="412"/>
      <c r="RQ145" s="412"/>
      <c r="RR145" s="412"/>
      <c r="RS145" s="412"/>
      <c r="RT145" s="412"/>
      <c r="RU145" s="412"/>
      <c r="RV145" s="412"/>
      <c r="RW145" s="412"/>
      <c r="RX145" s="412"/>
      <c r="RY145" s="412"/>
      <c r="RZ145" s="412"/>
      <c r="SA145" s="412"/>
      <c r="SB145" s="412"/>
      <c r="SC145" s="412"/>
      <c r="SD145" s="412"/>
      <c r="SE145" s="412"/>
      <c r="SF145" s="412"/>
      <c r="SG145" s="412"/>
      <c r="SH145" s="412"/>
      <c r="SI145" s="412"/>
      <c r="SJ145" s="412"/>
      <c r="SK145" s="412"/>
      <c r="SL145" s="412"/>
      <c r="SM145" s="412"/>
      <c r="SN145" s="412"/>
      <c r="SO145" s="412"/>
      <c r="SP145" s="412"/>
      <c r="SQ145" s="412"/>
      <c r="SR145" s="412"/>
      <c r="SS145" s="412"/>
      <c r="ST145" s="412"/>
      <c r="SU145" s="412"/>
      <c r="SV145" s="412"/>
      <c r="SW145" s="412"/>
      <c r="SX145" s="412"/>
      <c r="SY145" s="412"/>
      <c r="SZ145" s="412"/>
      <c r="TA145" s="412"/>
      <c r="TB145" s="412"/>
      <c r="TC145" s="412"/>
      <c r="TD145" s="412"/>
      <c r="TE145" s="412"/>
      <c r="TF145" s="412"/>
      <c r="TG145" s="412"/>
      <c r="TH145" s="412"/>
      <c r="TI145" s="412"/>
      <c r="TJ145" s="412"/>
      <c r="TK145" s="412"/>
      <c r="TL145" s="412"/>
      <c r="TM145" s="412"/>
      <c r="TN145" s="412"/>
      <c r="TO145" s="412"/>
      <c r="TP145" s="412"/>
      <c r="TQ145" s="412"/>
      <c r="TR145" s="412"/>
      <c r="TS145" s="412"/>
      <c r="TT145" s="412"/>
      <c r="TU145" s="412"/>
      <c r="TV145" s="412"/>
      <c r="TW145" s="412"/>
      <c r="TX145" s="412"/>
      <c r="TY145" s="412"/>
      <c r="TZ145" s="412"/>
      <c r="UA145" s="412"/>
      <c r="UB145" s="412"/>
      <c r="UC145" s="412"/>
      <c r="UD145" s="412"/>
      <c r="UE145" s="412"/>
      <c r="UF145" s="412"/>
      <c r="UG145" s="412"/>
      <c r="UH145" s="412"/>
      <c r="UI145" s="412"/>
      <c r="UJ145" s="412"/>
      <c r="UK145" s="412"/>
      <c r="UL145" s="412"/>
      <c r="UM145" s="412"/>
      <c r="UN145" s="412"/>
      <c r="UO145" s="412"/>
      <c r="UP145" s="412"/>
      <c r="UQ145" s="412"/>
      <c r="UR145" s="412"/>
      <c r="US145" s="412"/>
      <c r="UT145" s="412"/>
      <c r="UU145" s="412"/>
      <c r="UV145" s="412"/>
      <c r="UW145" s="412"/>
      <c r="UX145" s="412"/>
      <c r="UY145" s="412"/>
      <c r="UZ145" s="412"/>
      <c r="VA145" s="412"/>
      <c r="VB145" s="412"/>
      <c r="VC145" s="412"/>
      <c r="VD145" s="412"/>
      <c r="VE145" s="412"/>
      <c r="VF145" s="412"/>
      <c r="VG145" s="412"/>
      <c r="VH145" s="412"/>
      <c r="VI145" s="412"/>
      <c r="VJ145" s="412"/>
      <c r="VK145" s="412"/>
      <c r="VL145" s="412"/>
      <c r="VM145" s="412"/>
      <c r="VN145" s="412"/>
      <c r="VO145" s="412"/>
      <c r="VP145" s="412"/>
      <c r="VQ145" s="412"/>
      <c r="VR145" s="412"/>
      <c r="VS145" s="412"/>
      <c r="VT145" s="412"/>
      <c r="VU145" s="412"/>
      <c r="VV145" s="412"/>
      <c r="VW145" s="412"/>
      <c r="VX145" s="412"/>
      <c r="VY145" s="412"/>
      <c r="VZ145" s="412"/>
      <c r="WA145" s="412"/>
      <c r="WB145" s="412"/>
      <c r="WC145" s="412"/>
      <c r="WD145" s="412"/>
      <c r="WE145" s="412"/>
      <c r="WF145" s="412"/>
      <c r="WG145" s="412"/>
      <c r="WH145" s="412"/>
      <c r="WI145" s="412"/>
      <c r="WJ145" s="412"/>
      <c r="WK145" s="412"/>
      <c r="WL145" s="412"/>
      <c r="WM145" s="412"/>
      <c r="WN145" s="412"/>
      <c r="WO145" s="412"/>
      <c r="WP145" s="412"/>
      <c r="WQ145" s="412"/>
      <c r="WR145" s="412"/>
      <c r="WS145" s="412"/>
      <c r="WT145" s="412"/>
      <c r="WU145" s="412"/>
      <c r="WV145" s="412"/>
      <c r="WW145" s="412"/>
      <c r="WX145" s="412"/>
      <c r="WY145" s="412"/>
      <c r="WZ145" s="412"/>
      <c r="XA145" s="412"/>
      <c r="XB145" s="412"/>
      <c r="XC145" s="412"/>
      <c r="XD145" s="412"/>
      <c r="XE145" s="412"/>
      <c r="XF145" s="412"/>
      <c r="XG145" s="412"/>
      <c r="XH145" s="412"/>
      <c r="XI145" s="412"/>
      <c r="XJ145" s="412"/>
      <c r="XK145" s="412"/>
      <c r="XL145" s="412"/>
      <c r="XM145" s="412"/>
      <c r="XN145" s="412"/>
      <c r="XO145" s="412"/>
      <c r="XP145" s="412"/>
      <c r="XQ145" s="412"/>
      <c r="XR145" s="412"/>
      <c r="XS145" s="412"/>
      <c r="XT145" s="412"/>
      <c r="XU145" s="412"/>
      <c r="XV145" s="412"/>
      <c r="XW145" s="412"/>
      <c r="XX145" s="412"/>
      <c r="XY145" s="412"/>
      <c r="XZ145" s="412"/>
      <c r="YA145" s="412"/>
      <c r="YB145" s="412"/>
      <c r="YC145" s="412"/>
      <c r="YD145" s="412"/>
      <c r="YE145" s="412"/>
      <c r="YF145" s="412"/>
      <c r="YG145" s="412"/>
      <c r="YH145" s="412"/>
      <c r="YI145" s="412"/>
      <c r="YJ145" s="412"/>
      <c r="YK145" s="412"/>
      <c r="YL145" s="412"/>
      <c r="YM145" s="412"/>
      <c r="YN145" s="412"/>
      <c r="YO145" s="412"/>
      <c r="YP145" s="412"/>
      <c r="YQ145" s="412"/>
      <c r="YR145" s="412"/>
      <c r="YS145" s="412"/>
      <c r="YT145" s="412"/>
      <c r="YU145" s="412"/>
      <c r="YV145" s="412"/>
      <c r="YW145" s="412"/>
      <c r="YX145" s="412"/>
      <c r="YY145" s="412"/>
      <c r="YZ145" s="412"/>
      <c r="ZA145" s="412"/>
      <c r="ZB145" s="412"/>
      <c r="ZC145" s="412"/>
      <c r="ZD145" s="412"/>
      <c r="ZE145" s="412"/>
      <c r="ZF145" s="412"/>
      <c r="ZG145" s="412"/>
      <c r="ZH145" s="412"/>
      <c r="ZI145" s="412"/>
      <c r="ZJ145" s="412"/>
      <c r="ZK145" s="412"/>
      <c r="ZL145" s="412"/>
      <c r="ZM145" s="412"/>
      <c r="ZN145" s="412"/>
      <c r="ZO145" s="412"/>
      <c r="ZP145" s="412"/>
      <c r="ZQ145" s="412"/>
      <c r="ZR145" s="412"/>
      <c r="ZS145" s="412"/>
      <c r="ZT145" s="412"/>
      <c r="ZU145" s="412"/>
      <c r="ZV145" s="412"/>
      <c r="ZW145" s="412"/>
      <c r="ZX145" s="412"/>
      <c r="ZY145" s="412"/>
      <c r="ZZ145" s="412"/>
      <c r="AAA145" s="412"/>
      <c r="AAB145" s="412"/>
      <c r="AAC145" s="412"/>
      <c r="AAD145" s="412"/>
      <c r="AAE145" s="412"/>
      <c r="AAF145" s="412"/>
      <c r="AAG145" s="412"/>
      <c r="AAH145" s="412"/>
      <c r="AAI145" s="412"/>
      <c r="AAJ145" s="412"/>
      <c r="AAK145" s="412"/>
      <c r="AAL145" s="412"/>
      <c r="AAM145" s="412"/>
      <c r="AAN145" s="412"/>
      <c r="AAO145" s="412"/>
      <c r="AAP145" s="412"/>
      <c r="AAQ145" s="412"/>
      <c r="AAR145" s="412"/>
      <c r="AAS145" s="412"/>
      <c r="AAT145" s="412"/>
      <c r="AAU145" s="412"/>
      <c r="AAV145" s="412"/>
      <c r="AAW145" s="412"/>
      <c r="AAX145" s="412"/>
      <c r="AAY145" s="412"/>
      <c r="AAZ145" s="412"/>
      <c r="ABA145" s="412"/>
      <c r="ABB145" s="412"/>
      <c r="ABC145" s="412"/>
      <c r="ABD145" s="412"/>
      <c r="ABE145" s="412"/>
      <c r="ABF145" s="412"/>
      <c r="ABG145" s="412"/>
      <c r="ABH145" s="412"/>
      <c r="ABI145" s="412"/>
      <c r="ABJ145" s="412"/>
      <c r="ABK145" s="412"/>
      <c r="ABL145" s="412"/>
      <c r="ABM145" s="412"/>
      <c r="ABN145" s="412"/>
      <c r="ABO145" s="412"/>
      <c r="ABP145" s="412"/>
      <c r="ABQ145" s="412"/>
      <c r="ABR145" s="412"/>
      <c r="ABS145" s="412"/>
      <c r="ABT145" s="412"/>
      <c r="ABU145" s="412"/>
      <c r="ABV145" s="412"/>
      <c r="ABW145" s="412"/>
      <c r="ABX145" s="412"/>
      <c r="ABY145" s="412"/>
      <c r="ABZ145" s="412"/>
      <c r="ACA145" s="412"/>
      <c r="ACB145" s="412"/>
      <c r="ACC145" s="412"/>
      <c r="ACD145" s="412"/>
      <c r="ACE145" s="412"/>
      <c r="ACF145" s="412"/>
      <c r="ACG145" s="412"/>
      <c r="ACH145" s="412"/>
      <c r="ACI145" s="412"/>
      <c r="ACJ145" s="412"/>
      <c r="ACK145" s="412"/>
      <c r="ACL145" s="412"/>
      <c r="ACM145" s="412"/>
      <c r="ACN145" s="412"/>
      <c r="ACO145" s="412"/>
      <c r="ACP145" s="412"/>
      <c r="ACQ145" s="412"/>
      <c r="ACR145" s="412"/>
      <c r="ACS145" s="412"/>
      <c r="ACT145" s="412"/>
      <c r="ACU145" s="412"/>
      <c r="ACV145" s="412"/>
      <c r="ACW145" s="412"/>
      <c r="ACX145" s="412"/>
      <c r="ACY145" s="412"/>
      <c r="ACZ145" s="412"/>
      <c r="ADA145" s="412"/>
      <c r="ADB145" s="412"/>
      <c r="ADC145" s="412"/>
      <c r="ADD145" s="412"/>
      <c r="ADE145" s="412"/>
      <c r="ADF145" s="412"/>
      <c r="ADG145" s="412"/>
      <c r="ADH145" s="412"/>
      <c r="ADI145" s="412"/>
      <c r="ADJ145" s="412"/>
      <c r="ADK145" s="412"/>
      <c r="ADL145" s="412"/>
      <c r="ADM145" s="412"/>
      <c r="ADN145" s="412"/>
      <c r="ADO145" s="412"/>
      <c r="ADP145" s="412"/>
      <c r="ADQ145" s="412"/>
      <c r="ADR145" s="412"/>
      <c r="ADS145" s="412"/>
      <c r="ADT145" s="412"/>
      <c r="ADU145" s="412"/>
      <c r="ADV145" s="412"/>
      <c r="ADW145" s="412"/>
      <c r="ADX145" s="412"/>
      <c r="ADY145" s="412"/>
      <c r="ADZ145" s="412"/>
      <c r="AEA145" s="412"/>
      <c r="AEB145" s="412"/>
      <c r="AEC145" s="412"/>
      <c r="AED145" s="412"/>
      <c r="AEE145" s="412"/>
      <c r="AEF145" s="412"/>
      <c r="AEG145" s="412"/>
      <c r="AEH145" s="412"/>
      <c r="AEI145" s="412"/>
      <c r="AEJ145" s="412"/>
      <c r="AEK145" s="412"/>
      <c r="AEL145" s="412"/>
      <c r="AEM145" s="412"/>
      <c r="AEN145" s="412"/>
      <c r="AEO145" s="412"/>
      <c r="AEP145" s="412"/>
      <c r="AEQ145" s="412"/>
      <c r="AER145" s="412"/>
      <c r="AES145" s="412"/>
      <c r="AET145" s="412"/>
      <c r="AEU145" s="412"/>
      <c r="AEV145" s="412"/>
      <c r="AEW145" s="412"/>
      <c r="AEX145" s="412"/>
      <c r="AEY145" s="412"/>
      <c r="AEZ145" s="412"/>
      <c r="AFA145" s="412"/>
      <c r="AFB145" s="412"/>
      <c r="AFC145" s="412"/>
      <c r="AFD145" s="412"/>
      <c r="AFE145" s="412"/>
      <c r="AFF145" s="412"/>
      <c r="AFG145" s="412"/>
      <c r="AFH145" s="412"/>
      <c r="AFI145" s="412"/>
      <c r="AFJ145" s="412"/>
      <c r="AFK145" s="412"/>
      <c r="AFL145" s="412"/>
      <c r="AFM145" s="412"/>
      <c r="AFN145" s="412"/>
      <c r="AFO145" s="412"/>
      <c r="AFP145" s="412"/>
      <c r="AFQ145" s="412"/>
      <c r="AFR145" s="412"/>
      <c r="AFS145" s="412"/>
      <c r="AFT145" s="412"/>
      <c r="AFU145" s="412"/>
      <c r="AFV145" s="412"/>
      <c r="AFW145" s="412"/>
      <c r="AFX145" s="412"/>
      <c r="AFY145" s="412"/>
      <c r="AFZ145" s="412"/>
      <c r="AGA145" s="412"/>
      <c r="AGB145" s="412"/>
      <c r="AGC145" s="412"/>
      <c r="AGD145" s="412"/>
      <c r="AGE145" s="412"/>
      <c r="AGF145" s="412"/>
      <c r="AGG145" s="412"/>
      <c r="AGH145" s="412"/>
      <c r="AGI145" s="412"/>
      <c r="AGJ145" s="412"/>
      <c r="AGK145" s="412"/>
      <c r="AGL145" s="412"/>
      <c r="AGM145" s="412"/>
      <c r="AGN145" s="412"/>
      <c r="AGO145" s="412"/>
      <c r="AGP145" s="412"/>
      <c r="AGQ145" s="412"/>
      <c r="AGR145" s="412"/>
      <c r="AGS145" s="412"/>
      <c r="AGT145" s="412"/>
      <c r="AGU145" s="412"/>
      <c r="AGV145" s="412"/>
      <c r="AGW145" s="412"/>
      <c r="AGX145" s="412"/>
      <c r="AGY145" s="412"/>
      <c r="AGZ145" s="412"/>
      <c r="AHA145" s="412"/>
      <c r="AHB145" s="412"/>
      <c r="AHC145" s="412"/>
      <c r="AHD145" s="412"/>
      <c r="AHE145" s="412"/>
      <c r="AHF145" s="412"/>
      <c r="AHG145" s="412"/>
      <c r="AHH145" s="412"/>
      <c r="AHI145" s="412"/>
      <c r="AHJ145" s="412"/>
      <c r="AHK145" s="412"/>
      <c r="AHL145" s="412"/>
      <c r="AHM145" s="412"/>
      <c r="AHN145" s="412"/>
      <c r="AHO145" s="412"/>
      <c r="AHP145" s="412"/>
      <c r="AHQ145" s="412"/>
      <c r="AHR145" s="412"/>
      <c r="AHS145" s="412"/>
      <c r="AHT145" s="412"/>
      <c r="AHU145" s="412"/>
      <c r="AHV145" s="412"/>
      <c r="AHW145" s="412"/>
      <c r="AHX145" s="412"/>
      <c r="AHY145" s="412"/>
      <c r="AHZ145" s="412"/>
      <c r="AIA145" s="412"/>
      <c r="AIB145" s="412"/>
      <c r="AIC145" s="412"/>
      <c r="AID145" s="412"/>
      <c r="AIE145" s="412"/>
      <c r="AIF145" s="412"/>
      <c r="AIG145" s="412"/>
      <c r="AIH145" s="412"/>
      <c r="AII145" s="412"/>
      <c r="AIJ145" s="412"/>
      <c r="AIK145" s="412"/>
      <c r="AIL145" s="412"/>
      <c r="AIM145" s="412"/>
      <c r="AIN145" s="412"/>
      <c r="AIO145" s="412"/>
      <c r="AIP145" s="412"/>
      <c r="AIQ145" s="412"/>
      <c r="AIR145" s="412"/>
      <c r="AIS145" s="412"/>
      <c r="AIT145" s="412"/>
      <c r="AIU145" s="412"/>
      <c r="AIV145" s="412"/>
      <c r="AIW145" s="412"/>
      <c r="AIX145" s="412"/>
      <c r="AIY145" s="412"/>
      <c r="AIZ145" s="412"/>
      <c r="AJA145" s="412"/>
      <c r="AJB145" s="412"/>
      <c r="AJC145" s="412"/>
      <c r="AJD145" s="412"/>
      <c r="AJE145" s="412"/>
      <c r="AJF145" s="412"/>
      <c r="AJG145" s="412"/>
      <c r="AJH145" s="412"/>
      <c r="AJI145" s="412"/>
      <c r="AJJ145" s="412"/>
      <c r="AJK145" s="412"/>
      <c r="AJL145" s="412"/>
      <c r="AJM145" s="412"/>
      <c r="AJN145" s="412"/>
      <c r="AJO145" s="412"/>
      <c r="AJP145" s="412"/>
      <c r="AJQ145" s="412"/>
      <c r="AJR145" s="412"/>
      <c r="AJS145" s="412"/>
      <c r="AJT145" s="412"/>
      <c r="AJU145" s="412"/>
      <c r="AJV145" s="412"/>
      <c r="AJW145" s="412"/>
      <c r="AJX145" s="412"/>
      <c r="AJY145" s="412"/>
      <c r="AJZ145" s="412"/>
      <c r="AKA145" s="412"/>
      <c r="AKB145" s="412"/>
      <c r="AKC145" s="412"/>
      <c r="AKD145" s="412"/>
      <c r="AKE145" s="412"/>
      <c r="AKF145" s="412"/>
      <c r="AKG145" s="412"/>
      <c r="AKH145" s="412"/>
      <c r="AKI145" s="412"/>
      <c r="AKJ145" s="412"/>
      <c r="AKK145" s="412"/>
      <c r="AKL145" s="412"/>
      <c r="AKM145" s="412"/>
      <c r="AKN145" s="412"/>
      <c r="AKO145" s="412"/>
      <c r="AKP145" s="412"/>
      <c r="AKQ145" s="412"/>
      <c r="AKR145" s="412"/>
      <c r="AKS145" s="412"/>
      <c r="AKT145" s="412"/>
      <c r="AKU145" s="412"/>
      <c r="AKV145" s="412"/>
      <c r="AKW145" s="412"/>
      <c r="AKX145" s="412"/>
      <c r="AKY145" s="412"/>
      <c r="AKZ145" s="412"/>
      <c r="ALA145" s="412"/>
      <c r="ALB145" s="412"/>
      <c r="ALC145" s="412"/>
      <c r="ALD145" s="412"/>
      <c r="ALE145" s="412"/>
      <c r="ALF145" s="412"/>
      <c r="ALG145" s="412"/>
      <c r="ALH145" s="412"/>
      <c r="ALI145" s="412"/>
      <c r="ALJ145" s="412"/>
      <c r="ALK145" s="412"/>
      <c r="ALL145" s="412"/>
      <c r="ALM145" s="412"/>
      <c r="ALN145" s="412"/>
      <c r="ALO145" s="412"/>
      <c r="ALP145" s="412"/>
      <c r="ALQ145" s="412"/>
      <c r="ALR145" s="412"/>
      <c r="ALS145" s="412"/>
      <c r="ALT145" s="412"/>
      <c r="ALU145" s="412"/>
      <c r="ALV145" s="412"/>
      <c r="ALW145" s="412"/>
      <c r="ALX145" s="412"/>
      <c r="ALY145" s="412"/>
      <c r="ALZ145" s="412"/>
      <c r="AMA145" s="412"/>
      <c r="AMB145" s="412"/>
      <c r="AMC145" s="412"/>
      <c r="AMD145" s="412"/>
      <c r="AME145" s="412"/>
      <c r="AMF145" s="412"/>
      <c r="AMG145" s="412"/>
      <c r="AMH145" s="412"/>
      <c r="AMI145" s="412"/>
      <c r="AMJ145" s="412"/>
      <c r="AMK145" s="412"/>
      <c r="AML145" s="412"/>
      <c r="AMM145" s="412"/>
      <c r="AMN145" s="412"/>
      <c r="AMO145" s="412"/>
      <c r="AMP145" s="412"/>
      <c r="AMQ145" s="412"/>
      <c r="AMR145" s="412"/>
      <c r="AMS145" s="412"/>
      <c r="AMT145" s="412"/>
      <c r="AMU145" s="412"/>
      <c r="AMV145" s="412"/>
      <c r="AMW145" s="412"/>
      <c r="AMX145" s="412"/>
      <c r="AMY145" s="412"/>
      <c r="AMZ145" s="412"/>
      <c r="ANA145" s="412"/>
      <c r="ANB145" s="412"/>
      <c r="ANC145" s="412"/>
      <c r="AND145" s="412"/>
      <c r="ANE145" s="412"/>
      <c r="ANF145" s="412"/>
      <c r="ANG145" s="412"/>
      <c r="ANH145" s="412"/>
      <c r="ANI145" s="412"/>
      <c r="ANJ145" s="412"/>
      <c r="ANK145" s="412"/>
      <c r="ANL145" s="412"/>
      <c r="ANM145" s="412"/>
      <c r="ANN145" s="412"/>
      <c r="ANO145" s="412"/>
      <c r="ANP145" s="412"/>
      <c r="ANQ145" s="412"/>
      <c r="ANR145" s="412"/>
      <c r="ANS145" s="412"/>
      <c r="ANT145" s="412"/>
      <c r="ANU145" s="412"/>
      <c r="ANV145" s="412"/>
      <c r="ANW145" s="412"/>
      <c r="ANX145" s="412"/>
      <c r="ANY145" s="412"/>
      <c r="ANZ145" s="412"/>
      <c r="AOA145" s="412"/>
      <c r="AOB145" s="412"/>
      <c r="AOC145" s="412"/>
      <c r="AOD145" s="412"/>
      <c r="AOE145" s="412"/>
      <c r="AOF145" s="412"/>
      <c r="AOG145" s="412"/>
      <c r="AOH145" s="412"/>
      <c r="AOI145" s="412"/>
      <c r="AOJ145" s="412"/>
      <c r="AOK145" s="412"/>
      <c r="AOL145" s="412"/>
      <c r="AOM145" s="412"/>
      <c r="AON145" s="412"/>
      <c r="AOO145" s="412"/>
      <c r="AOP145" s="412"/>
      <c r="AOQ145" s="412"/>
      <c r="AOR145" s="412"/>
      <c r="AOS145" s="412"/>
      <c r="AOT145" s="412"/>
      <c r="AOU145" s="412"/>
      <c r="AOV145" s="412"/>
      <c r="AOW145" s="412"/>
      <c r="AOX145" s="412"/>
      <c r="AOY145" s="412"/>
      <c r="AOZ145" s="412"/>
      <c r="APA145" s="412"/>
      <c r="APB145" s="412"/>
      <c r="APC145" s="412"/>
      <c r="APD145" s="412"/>
      <c r="APE145" s="412"/>
      <c r="APF145" s="412"/>
      <c r="APG145" s="412"/>
      <c r="APH145" s="412"/>
      <c r="API145" s="412"/>
      <c r="APJ145" s="412"/>
      <c r="APK145" s="412"/>
      <c r="APL145" s="412"/>
      <c r="APM145" s="412"/>
      <c r="APN145" s="412"/>
      <c r="APO145" s="412"/>
      <c r="APP145" s="412"/>
      <c r="APQ145" s="412"/>
      <c r="APR145" s="412"/>
      <c r="APS145" s="412"/>
      <c r="APT145" s="412"/>
      <c r="APU145" s="412"/>
      <c r="APV145" s="412"/>
      <c r="APW145" s="412"/>
      <c r="APX145" s="412"/>
      <c r="APY145" s="412"/>
      <c r="APZ145" s="412"/>
      <c r="AQA145" s="412"/>
      <c r="AQB145" s="412"/>
      <c r="AQC145" s="412"/>
      <c r="AQD145" s="412"/>
      <c r="AQE145" s="412"/>
      <c r="AQF145" s="412"/>
      <c r="AQG145" s="412"/>
      <c r="AQH145" s="412"/>
      <c r="AQI145" s="412"/>
      <c r="AQJ145" s="412"/>
      <c r="AQK145" s="412"/>
      <c r="AQL145" s="412"/>
      <c r="AQM145" s="412"/>
      <c r="AQN145" s="412"/>
      <c r="AQO145" s="412"/>
      <c r="AQP145" s="412"/>
      <c r="AQQ145" s="412"/>
      <c r="AQR145" s="412"/>
      <c r="AQS145" s="412"/>
      <c r="AQT145" s="412"/>
      <c r="AQU145" s="412"/>
      <c r="AQV145" s="412"/>
      <c r="AQW145" s="412"/>
      <c r="AQX145" s="412"/>
      <c r="AQY145" s="412"/>
      <c r="AQZ145" s="412"/>
      <c r="ARA145" s="412"/>
      <c r="ARB145" s="412"/>
      <c r="ARC145" s="412"/>
      <c r="ARD145" s="412"/>
      <c r="ARE145" s="412"/>
      <c r="ARF145" s="412"/>
      <c r="ARG145" s="412"/>
      <c r="ARH145" s="412"/>
      <c r="ARI145" s="412"/>
      <c r="ARJ145" s="412"/>
      <c r="ARK145" s="412"/>
      <c r="ARL145" s="412"/>
      <c r="ARM145" s="412"/>
      <c r="ARN145" s="412"/>
      <c r="ARO145" s="412"/>
      <c r="ARP145" s="412"/>
      <c r="ARQ145" s="412"/>
      <c r="ARR145" s="412"/>
      <c r="ARS145" s="412"/>
      <c r="ART145" s="412"/>
      <c r="ARU145" s="412"/>
      <c r="ARV145" s="412"/>
      <c r="ARW145" s="412"/>
      <c r="ARX145" s="412"/>
      <c r="ARY145" s="412"/>
      <c r="ARZ145" s="412"/>
      <c r="ASA145" s="412"/>
      <c r="ASB145" s="412"/>
      <c r="ASC145" s="412"/>
      <c r="ASD145" s="412"/>
      <c r="ASE145" s="412"/>
      <c r="ASF145" s="412"/>
      <c r="ASG145" s="412"/>
      <c r="ASH145" s="412"/>
      <c r="ASI145" s="412"/>
      <c r="ASJ145" s="412"/>
      <c r="ASK145" s="412"/>
      <c r="ASL145" s="412"/>
      <c r="ASM145" s="412"/>
      <c r="ASN145" s="412"/>
      <c r="ASO145" s="412"/>
      <c r="ASP145" s="412"/>
      <c r="ASQ145" s="412"/>
      <c r="ASR145" s="412"/>
      <c r="ASS145" s="412"/>
      <c r="AST145" s="412"/>
      <c r="ASU145" s="412"/>
      <c r="ASV145" s="412"/>
      <c r="ASW145" s="412"/>
      <c r="ASX145" s="412"/>
      <c r="ASY145" s="412"/>
      <c r="ASZ145" s="412"/>
      <c r="ATA145" s="412"/>
      <c r="ATB145" s="412"/>
      <c r="ATC145" s="412"/>
      <c r="ATD145" s="412"/>
      <c r="ATE145" s="412"/>
      <c r="ATF145" s="412"/>
      <c r="ATG145" s="412"/>
      <c r="ATH145" s="412"/>
      <c r="ATI145" s="412"/>
      <c r="ATJ145" s="412"/>
      <c r="ATK145" s="412"/>
      <c r="ATL145" s="412"/>
      <c r="ATM145" s="412"/>
      <c r="ATN145" s="412"/>
      <c r="ATO145" s="412"/>
      <c r="ATP145" s="412"/>
      <c r="ATQ145" s="412"/>
      <c r="ATR145" s="412"/>
      <c r="ATS145" s="412"/>
      <c r="ATT145" s="412"/>
      <c r="ATU145" s="412"/>
      <c r="ATV145" s="412"/>
      <c r="ATW145" s="412"/>
      <c r="ATX145" s="412"/>
      <c r="ATY145" s="412"/>
      <c r="ATZ145" s="412"/>
      <c r="AUA145" s="412"/>
      <c r="AUB145" s="412"/>
      <c r="AUC145" s="412"/>
      <c r="AUD145" s="412"/>
      <c r="AUE145" s="412"/>
      <c r="AUF145" s="412"/>
      <c r="AUG145" s="412"/>
      <c r="AUH145" s="412"/>
      <c r="AUI145" s="412"/>
      <c r="AUJ145" s="412"/>
      <c r="AUK145" s="412"/>
      <c r="AUL145" s="412"/>
      <c r="AUM145" s="412"/>
      <c r="AUN145" s="412"/>
      <c r="AUO145" s="412"/>
      <c r="AUP145" s="412"/>
      <c r="AUQ145" s="412"/>
      <c r="AUR145" s="412"/>
      <c r="AUS145" s="412"/>
      <c r="AUT145" s="412"/>
      <c r="AUU145" s="412"/>
      <c r="AUV145" s="412"/>
      <c r="AUW145" s="412"/>
      <c r="AUX145" s="412"/>
      <c r="AUY145" s="412"/>
      <c r="AUZ145" s="412"/>
      <c r="AVA145" s="412"/>
      <c r="AVB145" s="412"/>
      <c r="AVC145" s="412"/>
      <c r="AVD145" s="412"/>
      <c r="AVE145" s="412"/>
      <c r="AVF145" s="412"/>
      <c r="AVG145" s="412"/>
      <c r="AVH145" s="412"/>
      <c r="AVI145" s="412"/>
      <c r="AVJ145" s="412"/>
      <c r="AVK145" s="412"/>
      <c r="AVL145" s="412"/>
      <c r="AVM145" s="412"/>
      <c r="AVN145" s="412"/>
      <c r="AVO145" s="412"/>
      <c r="AVP145" s="412"/>
      <c r="AVQ145" s="412"/>
      <c r="AVR145" s="412"/>
      <c r="AVS145" s="412"/>
      <c r="AVT145" s="412"/>
      <c r="AVU145" s="412"/>
      <c r="AVV145" s="412"/>
      <c r="AVW145" s="412"/>
      <c r="AVX145" s="412"/>
      <c r="AVY145" s="412"/>
      <c r="AVZ145" s="412"/>
      <c r="AWA145" s="412"/>
      <c r="AWB145" s="412"/>
      <c r="AWC145" s="412"/>
      <c r="AWD145" s="412"/>
      <c r="AWE145" s="412"/>
      <c r="AWF145" s="412"/>
      <c r="AWG145" s="412"/>
      <c r="AWH145" s="412"/>
      <c r="AWI145" s="412"/>
      <c r="AWJ145" s="412"/>
      <c r="AWK145" s="412"/>
      <c r="AWL145" s="412"/>
      <c r="AWM145" s="412"/>
      <c r="AWN145" s="412"/>
      <c r="AWO145" s="412"/>
      <c r="AWP145" s="412"/>
      <c r="AWQ145" s="412"/>
      <c r="AWR145" s="412"/>
      <c r="AWS145" s="412"/>
      <c r="AWT145" s="412"/>
      <c r="AWU145" s="412"/>
      <c r="AWV145" s="412"/>
      <c r="AWW145" s="412"/>
      <c r="AWX145" s="412"/>
      <c r="AWY145" s="412"/>
      <c r="AWZ145" s="412"/>
      <c r="AXA145" s="412"/>
      <c r="AXB145" s="412"/>
      <c r="AXC145" s="412"/>
      <c r="AXD145" s="412"/>
      <c r="AXE145" s="412"/>
      <c r="AXF145" s="412"/>
      <c r="AXG145" s="412"/>
      <c r="AXH145" s="412"/>
      <c r="AXI145" s="412"/>
      <c r="AXJ145" s="412"/>
      <c r="AXK145" s="412"/>
      <c r="AXL145" s="412"/>
      <c r="AXM145" s="412"/>
      <c r="AXN145" s="412"/>
      <c r="AXO145" s="412"/>
      <c r="AXP145" s="412"/>
      <c r="AXQ145" s="412"/>
      <c r="AXR145" s="412"/>
      <c r="AXS145" s="412"/>
      <c r="AXT145" s="412"/>
      <c r="AXU145" s="412"/>
      <c r="AXV145" s="412"/>
      <c r="AXW145" s="412"/>
      <c r="AXX145" s="412"/>
      <c r="AXY145" s="412"/>
      <c r="AXZ145" s="412"/>
      <c r="AYA145" s="412"/>
      <c r="AYB145" s="412"/>
      <c r="AYC145" s="412"/>
      <c r="AYD145" s="412"/>
      <c r="AYE145" s="412"/>
      <c r="AYF145" s="412"/>
      <c r="AYG145" s="412"/>
      <c r="AYH145" s="412"/>
      <c r="AYI145" s="412"/>
      <c r="AYJ145" s="412"/>
      <c r="AYK145" s="412"/>
      <c r="AYL145" s="412"/>
      <c r="AYM145" s="412"/>
      <c r="AYN145" s="412"/>
      <c r="AYO145" s="412"/>
      <c r="AYP145" s="412"/>
      <c r="AYQ145" s="412"/>
      <c r="AYR145" s="412"/>
      <c r="AYS145" s="412"/>
      <c r="AYT145" s="412"/>
      <c r="AYU145" s="412"/>
      <c r="AYV145" s="412"/>
      <c r="AYW145" s="412"/>
      <c r="AYX145" s="412"/>
      <c r="AYY145" s="412"/>
      <c r="AYZ145" s="412"/>
      <c r="AZA145" s="412"/>
      <c r="AZB145" s="412"/>
      <c r="AZC145" s="412"/>
      <c r="AZD145" s="412"/>
      <c r="AZE145" s="412"/>
      <c r="AZF145" s="412"/>
      <c r="AZG145" s="412"/>
      <c r="AZH145" s="412"/>
      <c r="AZI145" s="412"/>
      <c r="AZJ145" s="412"/>
      <c r="AZK145" s="412"/>
      <c r="AZL145" s="412"/>
      <c r="AZM145" s="412"/>
      <c r="AZN145" s="412"/>
      <c r="AZO145" s="412"/>
      <c r="AZP145" s="412"/>
      <c r="AZQ145" s="412"/>
      <c r="AZR145" s="412"/>
      <c r="AZS145" s="412"/>
      <c r="AZT145" s="412"/>
      <c r="AZU145" s="412"/>
      <c r="AZV145" s="412"/>
      <c r="AZW145" s="412"/>
      <c r="AZX145" s="412"/>
      <c r="AZY145" s="412"/>
      <c r="AZZ145" s="412"/>
      <c r="BAA145" s="412"/>
      <c r="BAB145" s="412"/>
      <c r="BAC145" s="412"/>
      <c r="BAD145" s="412"/>
      <c r="BAE145" s="412"/>
      <c r="BAF145" s="412"/>
      <c r="BAG145" s="412"/>
      <c r="BAH145" s="412"/>
      <c r="BAI145" s="412"/>
      <c r="BAJ145" s="412"/>
      <c r="BAK145" s="412"/>
      <c r="BAL145" s="412"/>
      <c r="BAM145" s="412"/>
      <c r="BAN145" s="412"/>
      <c r="BAO145" s="412"/>
      <c r="BAP145" s="412"/>
      <c r="BAQ145" s="412"/>
      <c r="BAR145" s="412"/>
      <c r="BAS145" s="412"/>
      <c r="BAT145" s="412"/>
      <c r="BAU145" s="412"/>
      <c r="BAV145" s="412"/>
      <c r="BAW145" s="412"/>
      <c r="BAX145" s="412"/>
      <c r="BAY145" s="412"/>
      <c r="BAZ145" s="412"/>
      <c r="BBA145" s="412"/>
      <c r="BBB145" s="412"/>
      <c r="BBC145" s="412"/>
      <c r="BBD145" s="412"/>
      <c r="BBE145" s="412"/>
      <c r="BBF145" s="412"/>
      <c r="BBG145" s="412"/>
      <c r="BBH145" s="412"/>
      <c r="BBI145" s="412"/>
      <c r="BBJ145" s="412"/>
      <c r="BBK145" s="412"/>
      <c r="BBL145" s="412"/>
      <c r="BBM145" s="412"/>
      <c r="BBN145" s="412"/>
      <c r="BBO145" s="412"/>
      <c r="BBP145" s="412"/>
      <c r="BBQ145" s="412"/>
      <c r="BBR145" s="412"/>
      <c r="BBS145" s="412"/>
      <c r="BBT145" s="412"/>
      <c r="BBU145" s="412"/>
      <c r="BBV145" s="412"/>
      <c r="BBW145" s="412"/>
      <c r="BBX145" s="412"/>
      <c r="BBY145" s="412"/>
      <c r="BBZ145" s="412"/>
      <c r="BCA145" s="412"/>
      <c r="BCB145" s="412"/>
      <c r="BCC145" s="412"/>
      <c r="BCD145" s="412"/>
      <c r="BCE145" s="412"/>
      <c r="BCF145" s="412"/>
      <c r="BCG145" s="412"/>
      <c r="BCH145" s="412"/>
      <c r="BCI145" s="412"/>
      <c r="BCJ145" s="412"/>
      <c r="BCK145" s="412"/>
      <c r="BCL145" s="412"/>
      <c r="BCM145" s="412"/>
      <c r="BCN145" s="412"/>
      <c r="BCO145" s="412"/>
      <c r="BCP145" s="412"/>
      <c r="BCQ145" s="412"/>
      <c r="BCR145" s="412"/>
      <c r="BCS145" s="412"/>
      <c r="BCT145" s="412"/>
      <c r="BCU145" s="412"/>
      <c r="BCV145" s="412"/>
      <c r="BCW145" s="412"/>
      <c r="BCX145" s="412"/>
      <c r="BCY145" s="412"/>
      <c r="BCZ145" s="412"/>
      <c r="BDA145" s="412"/>
      <c r="BDB145" s="412"/>
      <c r="BDC145" s="412"/>
      <c r="BDD145" s="412"/>
      <c r="BDE145" s="412"/>
      <c r="BDF145" s="412"/>
      <c r="BDG145" s="412"/>
      <c r="BDH145" s="412"/>
      <c r="BDI145" s="412"/>
      <c r="BDJ145" s="412"/>
      <c r="BDK145" s="412"/>
      <c r="BDL145" s="412"/>
      <c r="BDM145" s="412"/>
      <c r="BDN145" s="412"/>
      <c r="BDO145" s="412"/>
      <c r="BDP145" s="412"/>
      <c r="BDQ145" s="412"/>
      <c r="BDR145" s="412"/>
      <c r="BDS145" s="412"/>
      <c r="BDT145" s="412"/>
      <c r="BDU145" s="412"/>
      <c r="BDV145" s="412"/>
      <c r="BDW145" s="412"/>
      <c r="BDX145" s="412"/>
      <c r="BDY145" s="412"/>
      <c r="BDZ145" s="412"/>
      <c r="BEA145" s="412"/>
      <c r="BEB145" s="412"/>
      <c r="BEC145" s="412"/>
      <c r="BED145" s="412"/>
      <c r="BEE145" s="412"/>
      <c r="BEF145" s="412"/>
      <c r="BEG145" s="412"/>
      <c r="BEH145" s="412"/>
      <c r="BEI145" s="412"/>
      <c r="BEJ145" s="412"/>
      <c r="BEK145" s="412"/>
      <c r="BEL145" s="412"/>
      <c r="BEM145" s="412"/>
      <c r="BEN145" s="412"/>
      <c r="BEO145" s="412"/>
      <c r="BEP145" s="412"/>
      <c r="BEQ145" s="412"/>
      <c r="BER145" s="412"/>
      <c r="BES145" s="412"/>
      <c r="BET145" s="412"/>
      <c r="BEU145" s="412"/>
      <c r="BEV145" s="412"/>
      <c r="BEW145" s="412"/>
      <c r="BEX145" s="412"/>
      <c r="BEY145" s="412"/>
      <c r="BEZ145" s="412"/>
      <c r="BFA145" s="412"/>
      <c r="BFB145" s="412"/>
      <c r="BFC145" s="412"/>
      <c r="BFD145" s="412"/>
      <c r="BFE145" s="412"/>
      <c r="BFF145" s="412"/>
      <c r="BFG145" s="412"/>
      <c r="BFH145" s="412"/>
      <c r="BFI145" s="412"/>
      <c r="BFJ145" s="412"/>
      <c r="BFK145" s="412"/>
      <c r="BFL145" s="412"/>
      <c r="BFM145" s="412"/>
      <c r="BFN145" s="412"/>
      <c r="BFO145" s="412"/>
      <c r="BFP145" s="412"/>
      <c r="BFQ145" s="412"/>
      <c r="BFR145" s="412"/>
      <c r="BFS145" s="412"/>
      <c r="BFT145" s="412"/>
      <c r="BFU145" s="412"/>
      <c r="BFV145" s="412"/>
      <c r="BFW145" s="412"/>
      <c r="BFX145" s="412"/>
      <c r="BFY145" s="412"/>
      <c r="BFZ145" s="412"/>
      <c r="BGA145" s="412"/>
      <c r="BGB145" s="412"/>
      <c r="BGC145" s="412"/>
      <c r="BGD145" s="412"/>
      <c r="BGE145" s="412"/>
      <c r="BGF145" s="412"/>
      <c r="BGG145" s="412"/>
      <c r="BGH145" s="412"/>
      <c r="BGI145" s="412"/>
      <c r="BGJ145" s="412"/>
      <c r="BGK145" s="412"/>
      <c r="BGL145" s="412"/>
      <c r="BGM145" s="412"/>
      <c r="BGN145" s="412"/>
      <c r="BGO145" s="412"/>
      <c r="BGP145" s="412"/>
      <c r="BGQ145" s="412"/>
      <c r="BGR145" s="412"/>
      <c r="BGS145" s="412"/>
      <c r="BGT145" s="412"/>
      <c r="BGU145" s="412"/>
      <c r="BGV145" s="412"/>
      <c r="BGW145" s="412"/>
      <c r="BGX145" s="412"/>
      <c r="BGY145" s="412"/>
      <c r="BGZ145" s="412"/>
      <c r="BHA145" s="412"/>
      <c r="BHB145" s="412"/>
      <c r="BHC145" s="412"/>
      <c r="BHD145" s="412"/>
      <c r="BHE145" s="412"/>
      <c r="BHF145" s="412"/>
      <c r="BHG145" s="412"/>
      <c r="BHH145" s="412"/>
      <c r="BHI145" s="412"/>
      <c r="BHJ145" s="412"/>
      <c r="BHK145" s="412"/>
      <c r="BHL145" s="412"/>
      <c r="BHM145" s="412"/>
      <c r="BHN145" s="412"/>
      <c r="BHO145" s="412"/>
      <c r="BHP145" s="412"/>
      <c r="BHQ145" s="412"/>
      <c r="BHR145" s="412"/>
      <c r="BHS145" s="412"/>
      <c r="BHT145" s="412"/>
      <c r="BHU145" s="412"/>
      <c r="BHV145" s="412"/>
      <c r="BHW145" s="412"/>
      <c r="BHX145" s="412"/>
      <c r="BHY145" s="412"/>
      <c r="BHZ145" s="412"/>
      <c r="BIA145" s="412"/>
      <c r="BIB145" s="412"/>
      <c r="BIC145" s="412"/>
      <c r="BID145" s="412"/>
      <c r="BIE145" s="412"/>
      <c r="BIF145" s="412"/>
      <c r="BIG145" s="412"/>
      <c r="BIH145" s="412"/>
      <c r="BII145" s="412"/>
      <c r="BIJ145" s="412"/>
      <c r="BIK145" s="412"/>
      <c r="BIL145" s="412"/>
      <c r="BIM145" s="412"/>
      <c r="BIN145" s="412"/>
      <c r="BIO145" s="412"/>
      <c r="BIP145" s="412"/>
      <c r="BIQ145" s="412"/>
      <c r="BIR145" s="412"/>
      <c r="BIS145" s="412"/>
      <c r="BIT145" s="412"/>
      <c r="BIU145" s="412"/>
      <c r="BIV145" s="412"/>
      <c r="BIW145" s="412"/>
      <c r="BIX145" s="412"/>
      <c r="BIY145" s="412"/>
      <c r="BIZ145" s="412"/>
      <c r="BJA145" s="412"/>
      <c r="BJB145" s="412"/>
      <c r="BJC145" s="412"/>
      <c r="BJD145" s="412"/>
      <c r="BJE145" s="412"/>
      <c r="BJF145" s="412"/>
      <c r="BJG145" s="412"/>
      <c r="BJH145" s="412"/>
      <c r="BJI145" s="412"/>
      <c r="BJJ145" s="412"/>
      <c r="BJK145" s="412"/>
      <c r="BJL145" s="412"/>
      <c r="BJM145" s="412"/>
      <c r="BJN145" s="412"/>
      <c r="BJO145" s="412"/>
      <c r="BJP145" s="412"/>
      <c r="BJQ145" s="412"/>
      <c r="BJR145" s="412"/>
      <c r="BJS145" s="412"/>
      <c r="BJT145" s="412"/>
      <c r="BJU145" s="412"/>
      <c r="BJV145" s="412"/>
      <c r="BJW145" s="412"/>
      <c r="BJX145" s="412"/>
      <c r="BJY145" s="412"/>
      <c r="BJZ145" s="412"/>
      <c r="BKA145" s="412"/>
      <c r="BKB145" s="412"/>
      <c r="BKC145" s="412"/>
      <c r="BKD145" s="412"/>
      <c r="BKE145" s="412"/>
      <c r="BKF145" s="412"/>
      <c r="BKG145" s="412"/>
      <c r="BKH145" s="412"/>
      <c r="BKI145" s="412"/>
      <c r="BKJ145" s="412"/>
      <c r="BKK145" s="412"/>
      <c r="BKL145" s="412"/>
      <c r="BKM145" s="412"/>
      <c r="BKN145" s="412"/>
      <c r="BKO145" s="412"/>
      <c r="BKP145" s="412"/>
      <c r="BKQ145" s="412"/>
      <c r="BKR145" s="412"/>
      <c r="BKS145" s="412"/>
      <c r="BKT145" s="412"/>
      <c r="BKU145" s="412"/>
      <c r="BKV145" s="412"/>
      <c r="BKW145" s="412"/>
      <c r="BKX145" s="412"/>
      <c r="BKY145" s="412"/>
      <c r="BKZ145" s="412"/>
      <c r="BLA145" s="412"/>
      <c r="BLB145" s="412"/>
      <c r="BLC145" s="412"/>
      <c r="BLD145" s="412"/>
      <c r="BLE145" s="412"/>
      <c r="BLF145" s="412"/>
      <c r="BLG145" s="412"/>
      <c r="BLH145" s="412"/>
      <c r="BLI145" s="412"/>
      <c r="BLJ145" s="412"/>
      <c r="BLK145" s="412"/>
      <c r="BLL145" s="412"/>
      <c r="BLM145" s="412"/>
      <c r="BLN145" s="412"/>
      <c r="BLO145" s="412"/>
      <c r="BLP145" s="412"/>
      <c r="BLQ145" s="412"/>
      <c r="BLR145" s="412"/>
      <c r="BLS145" s="412"/>
      <c r="BLT145" s="412"/>
      <c r="BLU145" s="412"/>
      <c r="BLV145" s="412"/>
      <c r="BLW145" s="412"/>
      <c r="BLX145" s="412"/>
      <c r="BLY145" s="412"/>
      <c r="BLZ145" s="412"/>
      <c r="BMA145" s="412"/>
      <c r="BMB145" s="412"/>
      <c r="BMC145" s="412"/>
      <c r="BMD145" s="412"/>
      <c r="BME145" s="412"/>
      <c r="BMF145" s="412"/>
      <c r="BMG145" s="412"/>
      <c r="BMH145" s="412"/>
      <c r="BMI145" s="412"/>
      <c r="BMJ145" s="412"/>
      <c r="BMK145" s="412"/>
      <c r="BML145" s="412"/>
      <c r="BMM145" s="412"/>
      <c r="BMN145" s="412"/>
      <c r="BMO145" s="412"/>
      <c r="BMP145" s="412"/>
      <c r="BMQ145" s="412"/>
      <c r="BMR145" s="412"/>
      <c r="BMS145" s="412"/>
      <c r="BMT145" s="412"/>
      <c r="BMU145" s="412"/>
      <c r="BMV145" s="412"/>
      <c r="BMW145" s="412"/>
      <c r="BMX145" s="412"/>
      <c r="BMY145" s="412"/>
      <c r="BMZ145" s="412"/>
      <c r="BNA145" s="412"/>
      <c r="BNB145" s="412"/>
      <c r="BNC145" s="412"/>
      <c r="BND145" s="412"/>
      <c r="BNE145" s="412"/>
      <c r="BNF145" s="412"/>
      <c r="BNG145" s="412"/>
      <c r="BNH145" s="412"/>
      <c r="BNI145" s="412"/>
      <c r="BNJ145" s="412"/>
      <c r="BNK145" s="412"/>
      <c r="BNL145" s="412"/>
      <c r="BNM145" s="412"/>
      <c r="BNN145" s="412"/>
      <c r="BNO145" s="412"/>
      <c r="BNP145" s="412"/>
      <c r="BNQ145" s="412"/>
      <c r="BNR145" s="412"/>
      <c r="BNS145" s="412"/>
      <c r="BNT145" s="412"/>
      <c r="BNU145" s="412"/>
      <c r="BNV145" s="412"/>
      <c r="BNW145" s="412"/>
      <c r="BNX145" s="412"/>
      <c r="BNY145" s="412"/>
      <c r="BNZ145" s="412"/>
      <c r="BOA145" s="412"/>
      <c r="BOB145" s="412"/>
      <c r="BOC145" s="412"/>
      <c r="BOD145" s="412"/>
      <c r="BOE145" s="412"/>
      <c r="BOF145" s="412"/>
      <c r="BOG145" s="412"/>
      <c r="BOH145" s="412"/>
      <c r="BOI145" s="412"/>
      <c r="BOJ145" s="412"/>
      <c r="BOK145" s="412"/>
      <c r="BOL145" s="412"/>
      <c r="BOM145" s="412"/>
      <c r="BON145" s="412"/>
      <c r="BOO145" s="412"/>
      <c r="BOP145" s="412"/>
      <c r="BOQ145" s="412"/>
      <c r="BOR145" s="412"/>
      <c r="BOS145" s="412"/>
      <c r="BOT145" s="412"/>
      <c r="BOU145" s="412"/>
      <c r="BOV145" s="412"/>
      <c r="BOW145" s="412"/>
      <c r="BOX145" s="412"/>
      <c r="BOY145" s="412"/>
      <c r="BOZ145" s="412"/>
      <c r="BPA145" s="412"/>
      <c r="BPB145" s="412"/>
      <c r="BPC145" s="412"/>
      <c r="BPD145" s="412"/>
      <c r="BPE145" s="412"/>
      <c r="BPF145" s="412"/>
      <c r="BPG145" s="412"/>
      <c r="BPH145" s="412"/>
      <c r="BPI145" s="412"/>
      <c r="BPJ145" s="412"/>
      <c r="BPK145" s="412"/>
      <c r="BPL145" s="412"/>
      <c r="BPM145" s="412"/>
      <c r="BPN145" s="412"/>
      <c r="BPO145" s="412"/>
      <c r="BPP145" s="412"/>
      <c r="BPQ145" s="412"/>
      <c r="BPR145" s="412"/>
      <c r="BPS145" s="412"/>
      <c r="BPT145" s="412"/>
      <c r="BPU145" s="412"/>
      <c r="BPV145" s="412"/>
      <c r="BPW145" s="412"/>
      <c r="BPX145" s="412"/>
      <c r="BPY145" s="412"/>
      <c r="BPZ145" s="412"/>
      <c r="BQA145" s="412"/>
      <c r="BQB145" s="412"/>
      <c r="BQC145" s="412"/>
      <c r="BQD145" s="412"/>
      <c r="BQE145" s="412"/>
      <c r="BQF145" s="412"/>
      <c r="BQG145" s="412"/>
      <c r="BQH145" s="412"/>
      <c r="BQI145" s="412"/>
      <c r="BQJ145" s="412"/>
      <c r="BQK145" s="412"/>
      <c r="BQL145" s="412"/>
      <c r="BQM145" s="412"/>
      <c r="BQN145" s="412"/>
      <c r="BQO145" s="412"/>
      <c r="BQP145" s="412"/>
      <c r="BQQ145" s="412"/>
      <c r="BQR145" s="412"/>
      <c r="BQS145" s="412"/>
      <c r="BQT145" s="412"/>
      <c r="BQU145" s="412"/>
      <c r="BQV145" s="412"/>
      <c r="BQW145" s="412"/>
      <c r="BQX145" s="412"/>
      <c r="BQY145" s="412"/>
      <c r="BQZ145" s="412"/>
      <c r="BRA145" s="412"/>
      <c r="BRB145" s="412"/>
      <c r="BRC145" s="412"/>
      <c r="BRD145" s="412"/>
      <c r="BRE145" s="412"/>
      <c r="BRF145" s="412"/>
      <c r="BRG145" s="412"/>
      <c r="BRH145" s="412"/>
      <c r="BRI145" s="412"/>
      <c r="BRJ145" s="412"/>
      <c r="BRK145" s="412"/>
      <c r="BRL145" s="412"/>
      <c r="BRM145" s="412"/>
      <c r="BRN145" s="412"/>
      <c r="BRO145" s="412"/>
      <c r="BRP145" s="412"/>
      <c r="BRQ145" s="412"/>
      <c r="BRR145" s="412"/>
      <c r="BRS145" s="412"/>
      <c r="BRT145" s="412"/>
      <c r="BRU145" s="412"/>
      <c r="BRV145" s="412"/>
      <c r="BRW145" s="412"/>
      <c r="BRX145" s="412"/>
      <c r="BRY145" s="412"/>
      <c r="BRZ145" s="412"/>
      <c r="BSA145" s="412"/>
      <c r="BSB145" s="412"/>
      <c r="BSC145" s="412"/>
      <c r="BSD145" s="412"/>
      <c r="BSE145" s="412"/>
      <c r="BSF145" s="412"/>
      <c r="BSG145" s="412"/>
      <c r="BSH145" s="412"/>
      <c r="BSI145" s="412"/>
      <c r="BSJ145" s="412"/>
      <c r="BSK145" s="412"/>
      <c r="BSL145" s="412"/>
      <c r="BSM145" s="412"/>
      <c r="BSN145" s="412"/>
      <c r="BSO145" s="412"/>
      <c r="BSP145" s="412"/>
      <c r="BSQ145" s="412"/>
      <c r="BSR145" s="412"/>
      <c r="BSS145" s="412"/>
      <c r="BST145" s="412"/>
      <c r="BSU145" s="412"/>
      <c r="BSV145" s="412"/>
      <c r="BSW145" s="412"/>
      <c r="BSX145" s="412"/>
      <c r="BSY145" s="412"/>
      <c r="BSZ145" s="412"/>
      <c r="BTA145" s="412"/>
      <c r="BTB145" s="412"/>
      <c r="BTC145" s="412"/>
      <c r="BTD145" s="412"/>
      <c r="BTE145" s="412"/>
      <c r="BTF145" s="412"/>
      <c r="BTG145" s="412"/>
      <c r="BTH145" s="412"/>
      <c r="BTI145" s="412"/>
    </row>
    <row r="146" spans="1:1881" s="4" customFormat="1" ht="99.75" customHeight="1" x14ac:dyDescent="0.25">
      <c r="A146" s="189">
        <v>378</v>
      </c>
      <c r="B146" s="66" t="s">
        <v>63</v>
      </c>
      <c r="C146" s="160" t="s">
        <v>197</v>
      </c>
      <c r="D146" s="143" t="s">
        <v>204</v>
      </c>
      <c r="E146" s="32" t="e">
        <f>HLOOKUP($D$2,'2019 Data(H)'!$C$1:$CG$300,137,FALSE)</f>
        <v>#N/A</v>
      </c>
      <c r="F146" s="746"/>
      <c r="G146" s="413" t="e">
        <f>IF(F116-F145-F146=E116,,"Error: Beginning Balance does not agree with our records.  Cell F116-F145-F146= E116  The amount of the formula is in the cell to the right")</f>
        <v>#N/A</v>
      </c>
      <c r="H146" s="193" t="e">
        <f>+F116-F145-F146-E116</f>
        <v>#N/A</v>
      </c>
      <c r="I146" s="31"/>
      <c r="J146" s="412"/>
      <c r="K146" s="412"/>
      <c r="L146" s="412"/>
      <c r="M146" s="412"/>
      <c r="N146"/>
      <c r="O146" s="412"/>
      <c r="P146" s="412"/>
      <c r="Q146" s="412"/>
      <c r="R146" s="412"/>
      <c r="S146" s="412"/>
      <c r="T146" s="412"/>
      <c r="U146" s="412"/>
      <c r="V146" s="412"/>
      <c r="W146" s="412"/>
      <c r="X146" s="412"/>
      <c r="Y146" s="412"/>
      <c r="Z146" s="412"/>
      <c r="AA146" s="412"/>
      <c r="AB146" s="412"/>
      <c r="AC146" s="412"/>
      <c r="AD146" s="412"/>
      <c r="AE146" s="412"/>
      <c r="AF146" s="412"/>
      <c r="AG146" s="412"/>
      <c r="AH146" s="412"/>
      <c r="AI146" s="412"/>
      <c r="AJ146" s="412"/>
      <c r="AK146" s="412"/>
      <c r="AL146" s="412"/>
      <c r="AM146" s="412"/>
      <c r="AN146" s="412"/>
      <c r="AO146" s="412"/>
      <c r="AP146" s="412"/>
      <c r="AQ146" s="412"/>
      <c r="AR146" s="412"/>
      <c r="AS146" s="412"/>
      <c r="AT146" s="412"/>
      <c r="AU146" s="412"/>
      <c r="AV146" s="412"/>
      <c r="AW146" s="412"/>
      <c r="AX146" s="412"/>
      <c r="AY146" s="412"/>
      <c r="AZ146" s="412"/>
      <c r="BA146" s="412"/>
      <c r="BB146" s="412"/>
      <c r="BC146" s="412"/>
      <c r="BD146" s="412"/>
      <c r="BE146" s="412"/>
      <c r="BF146" s="412"/>
      <c r="BG146" s="412"/>
      <c r="BH146" s="412"/>
      <c r="BI146" s="412"/>
      <c r="BJ146" s="412"/>
      <c r="BK146" s="412"/>
      <c r="BL146" s="412"/>
      <c r="BM146" s="412"/>
      <c r="BN146" s="412"/>
      <c r="BO146" s="412"/>
      <c r="BP146" s="412"/>
      <c r="BQ146" s="412"/>
      <c r="BR146" s="412"/>
      <c r="BS146" s="412"/>
      <c r="BT146" s="412"/>
      <c r="BU146" s="412"/>
      <c r="BV146" s="412"/>
      <c r="BW146" s="412"/>
      <c r="BX146" s="412"/>
      <c r="BY146" s="412"/>
      <c r="BZ146" s="412"/>
      <c r="CA146" s="412"/>
      <c r="CB146" s="412"/>
      <c r="CC146" s="412"/>
      <c r="CD146" s="412"/>
      <c r="CE146" s="412"/>
      <c r="CF146" s="412"/>
      <c r="CG146" s="412"/>
      <c r="CH146" s="412"/>
      <c r="CI146" s="412"/>
      <c r="CJ146" s="412"/>
      <c r="CK146" s="412"/>
      <c r="CL146" s="412"/>
      <c r="CM146" s="412"/>
      <c r="CN146" s="412"/>
      <c r="CO146" s="412"/>
      <c r="CP146" s="412"/>
      <c r="CQ146" s="412"/>
      <c r="CR146" s="412"/>
      <c r="CS146" s="412"/>
      <c r="CT146" s="412"/>
      <c r="CU146" s="412"/>
      <c r="CV146" s="412"/>
      <c r="CW146" s="412"/>
      <c r="CX146" s="412"/>
      <c r="CY146" s="412"/>
      <c r="CZ146" s="412"/>
      <c r="DA146" s="412"/>
      <c r="DB146" s="412"/>
      <c r="DC146" s="412"/>
      <c r="DD146" s="412"/>
      <c r="DE146" s="412"/>
      <c r="DF146" s="412"/>
      <c r="DG146" s="412"/>
      <c r="DH146" s="412"/>
      <c r="DI146" s="412"/>
      <c r="DJ146" s="412"/>
      <c r="DK146" s="412"/>
      <c r="DL146" s="412"/>
      <c r="DM146" s="412"/>
      <c r="DN146" s="412"/>
      <c r="DO146" s="412"/>
      <c r="DP146" s="412"/>
      <c r="DQ146" s="412"/>
      <c r="DR146" s="412"/>
      <c r="DS146" s="412"/>
      <c r="DT146" s="412"/>
      <c r="DU146" s="412"/>
      <c r="DV146" s="412"/>
      <c r="DW146" s="412"/>
      <c r="DX146" s="412"/>
      <c r="DY146" s="412"/>
      <c r="DZ146" s="412"/>
      <c r="EA146" s="412"/>
      <c r="EB146" s="412"/>
      <c r="EC146" s="412"/>
      <c r="ED146" s="412"/>
      <c r="EE146" s="412"/>
      <c r="EF146" s="412"/>
      <c r="EG146" s="412"/>
      <c r="EH146" s="412"/>
      <c r="EI146" s="412"/>
      <c r="EJ146" s="412"/>
      <c r="EK146" s="412"/>
      <c r="EL146" s="412"/>
      <c r="EM146" s="412"/>
      <c r="EN146" s="412"/>
      <c r="EO146" s="412"/>
      <c r="EP146" s="412"/>
      <c r="EQ146" s="412"/>
      <c r="ER146" s="412"/>
      <c r="ES146" s="412"/>
      <c r="ET146" s="412"/>
      <c r="EU146" s="412"/>
      <c r="EV146" s="412"/>
      <c r="EW146" s="412"/>
      <c r="EX146" s="412"/>
      <c r="EY146" s="412"/>
      <c r="EZ146" s="412"/>
      <c r="FA146" s="412"/>
      <c r="FB146" s="412"/>
      <c r="FC146" s="412"/>
      <c r="FD146" s="412"/>
      <c r="FE146" s="412"/>
      <c r="FF146" s="412"/>
      <c r="FG146" s="412"/>
      <c r="FH146" s="412"/>
      <c r="FI146" s="412"/>
      <c r="FJ146" s="412"/>
      <c r="FK146" s="412"/>
      <c r="FL146" s="412"/>
      <c r="FM146" s="412"/>
      <c r="FN146" s="412"/>
      <c r="FO146" s="412"/>
      <c r="FP146" s="412"/>
      <c r="FQ146" s="412"/>
      <c r="FR146" s="412"/>
      <c r="FS146" s="412"/>
      <c r="FT146" s="412"/>
      <c r="FU146" s="412"/>
      <c r="FV146" s="412"/>
      <c r="FW146" s="412"/>
      <c r="FX146" s="412"/>
      <c r="FY146" s="412"/>
      <c r="FZ146" s="412"/>
      <c r="GA146" s="412"/>
      <c r="GB146" s="412"/>
      <c r="GC146" s="412"/>
      <c r="GD146" s="412"/>
      <c r="GE146" s="412"/>
      <c r="GF146" s="412"/>
      <c r="GG146" s="412"/>
      <c r="GH146" s="412"/>
      <c r="GI146" s="412"/>
      <c r="GJ146" s="412"/>
      <c r="GK146" s="412"/>
      <c r="GL146" s="412"/>
      <c r="GM146" s="412"/>
      <c r="GN146" s="412"/>
      <c r="GO146" s="412"/>
      <c r="GP146" s="412"/>
      <c r="GQ146" s="412"/>
      <c r="GR146" s="412"/>
      <c r="GS146" s="412"/>
      <c r="GT146" s="412"/>
      <c r="GU146" s="412"/>
      <c r="GV146" s="412"/>
      <c r="GW146" s="412"/>
      <c r="GX146" s="412"/>
      <c r="GY146" s="412"/>
      <c r="GZ146" s="412"/>
      <c r="HA146" s="412"/>
      <c r="HB146" s="412"/>
      <c r="HC146" s="412"/>
      <c r="HD146" s="412"/>
      <c r="HE146" s="412"/>
      <c r="HF146" s="412"/>
      <c r="HG146" s="412"/>
      <c r="HH146" s="412"/>
      <c r="HI146" s="412"/>
      <c r="HJ146" s="412"/>
      <c r="HK146" s="412"/>
      <c r="HL146" s="412"/>
      <c r="HM146" s="412"/>
      <c r="HN146" s="412"/>
      <c r="HO146" s="412"/>
      <c r="HP146" s="412"/>
      <c r="HQ146" s="412"/>
      <c r="HR146" s="412"/>
      <c r="HS146" s="412"/>
      <c r="HT146" s="412"/>
      <c r="HU146" s="412"/>
      <c r="HV146" s="412"/>
      <c r="HW146" s="412"/>
      <c r="HX146" s="412"/>
      <c r="HY146" s="412"/>
      <c r="HZ146" s="412"/>
      <c r="IA146" s="412"/>
      <c r="IB146" s="412"/>
      <c r="IC146" s="412"/>
      <c r="ID146" s="412"/>
      <c r="IE146" s="412"/>
      <c r="IF146" s="412"/>
      <c r="IG146" s="412"/>
      <c r="IH146" s="412"/>
      <c r="II146" s="412"/>
      <c r="IJ146" s="412"/>
      <c r="IK146" s="412"/>
      <c r="IL146" s="412"/>
      <c r="IM146" s="412"/>
      <c r="IN146" s="412"/>
      <c r="IO146" s="412"/>
      <c r="IP146" s="412"/>
      <c r="IQ146" s="412"/>
      <c r="IR146" s="412"/>
      <c r="IS146" s="412"/>
      <c r="IT146" s="412"/>
      <c r="IU146" s="412"/>
      <c r="IV146" s="412"/>
      <c r="IW146" s="412"/>
      <c r="IX146" s="412"/>
      <c r="IY146" s="412"/>
      <c r="IZ146" s="412"/>
      <c r="JA146" s="412"/>
      <c r="JB146" s="412"/>
      <c r="JC146" s="412"/>
      <c r="JD146" s="412"/>
      <c r="JE146" s="412"/>
      <c r="JF146" s="412"/>
      <c r="JG146" s="412"/>
      <c r="JH146" s="412"/>
      <c r="JI146" s="412"/>
      <c r="JJ146" s="412"/>
      <c r="JK146" s="412"/>
      <c r="JL146" s="412"/>
      <c r="JM146" s="412"/>
      <c r="JN146" s="412"/>
      <c r="JO146" s="412"/>
      <c r="JP146" s="412"/>
      <c r="JQ146" s="412"/>
      <c r="JR146" s="412"/>
      <c r="JS146" s="412"/>
      <c r="JT146" s="412"/>
      <c r="JU146" s="412"/>
      <c r="JV146" s="412"/>
      <c r="JW146" s="412"/>
      <c r="JX146" s="412"/>
      <c r="JY146" s="412"/>
      <c r="JZ146" s="412"/>
      <c r="KA146" s="412"/>
      <c r="KB146" s="412"/>
      <c r="KC146" s="412"/>
      <c r="KD146" s="412"/>
      <c r="KE146" s="412"/>
      <c r="KF146" s="412"/>
      <c r="KG146" s="412"/>
      <c r="KH146" s="412"/>
      <c r="KI146" s="412"/>
      <c r="KJ146" s="412"/>
      <c r="KK146" s="412"/>
      <c r="KL146" s="412"/>
      <c r="KM146" s="412"/>
      <c r="KN146" s="412"/>
      <c r="KO146" s="412"/>
      <c r="KP146" s="412"/>
      <c r="KQ146" s="412"/>
      <c r="KR146" s="412"/>
      <c r="KS146" s="412"/>
      <c r="KT146" s="412"/>
      <c r="KU146" s="412"/>
      <c r="KV146" s="412"/>
      <c r="KW146" s="412"/>
      <c r="KX146" s="412"/>
      <c r="KY146" s="412"/>
      <c r="KZ146" s="412"/>
      <c r="LA146" s="412"/>
      <c r="LB146" s="412"/>
      <c r="LC146" s="412"/>
      <c r="LD146" s="412"/>
      <c r="LE146" s="412"/>
      <c r="LF146" s="412"/>
      <c r="LG146" s="412"/>
      <c r="LH146" s="412"/>
      <c r="LI146" s="412"/>
      <c r="LJ146" s="412"/>
      <c r="LK146" s="412"/>
      <c r="LL146" s="412"/>
      <c r="LM146" s="412"/>
      <c r="LN146" s="412"/>
      <c r="LO146" s="412"/>
      <c r="LP146" s="412"/>
      <c r="LQ146" s="412"/>
      <c r="LR146" s="412"/>
      <c r="LS146" s="412"/>
      <c r="LT146" s="412"/>
      <c r="LU146" s="412"/>
      <c r="LV146" s="412"/>
      <c r="LW146" s="412"/>
      <c r="LX146" s="412"/>
      <c r="LY146" s="412"/>
      <c r="LZ146" s="412"/>
      <c r="MA146" s="412"/>
      <c r="MB146" s="412"/>
      <c r="MC146" s="412"/>
      <c r="MD146" s="412"/>
      <c r="ME146" s="412"/>
      <c r="MF146" s="412"/>
      <c r="MG146" s="412"/>
      <c r="MH146" s="412"/>
      <c r="MI146" s="412"/>
      <c r="MJ146" s="412"/>
      <c r="MK146" s="412"/>
      <c r="ML146" s="412"/>
      <c r="MM146" s="412"/>
      <c r="MN146" s="412"/>
      <c r="MO146" s="412"/>
      <c r="MP146" s="412"/>
      <c r="MQ146" s="412"/>
      <c r="MR146" s="412"/>
      <c r="MS146" s="412"/>
      <c r="MT146" s="412"/>
      <c r="MU146" s="412"/>
      <c r="MV146" s="412"/>
      <c r="MW146" s="412"/>
      <c r="MX146" s="412"/>
      <c r="MY146" s="412"/>
      <c r="MZ146" s="412"/>
      <c r="NA146" s="412"/>
      <c r="NB146" s="412"/>
      <c r="NC146" s="412"/>
      <c r="ND146" s="412"/>
      <c r="NE146" s="412"/>
      <c r="NF146" s="412"/>
      <c r="NG146" s="412"/>
      <c r="NH146" s="412"/>
      <c r="NI146" s="412"/>
      <c r="NJ146" s="412"/>
      <c r="NK146" s="412"/>
      <c r="NL146" s="412"/>
      <c r="NM146" s="412"/>
      <c r="NN146" s="412"/>
      <c r="NO146" s="412"/>
      <c r="NP146" s="412"/>
      <c r="NQ146" s="412"/>
      <c r="NR146" s="412"/>
      <c r="NS146" s="412"/>
      <c r="NT146" s="412"/>
      <c r="NU146" s="412"/>
      <c r="NV146" s="412"/>
      <c r="NW146" s="412"/>
      <c r="NX146" s="412"/>
      <c r="NY146" s="412"/>
      <c r="NZ146" s="412"/>
      <c r="OA146" s="412"/>
      <c r="OB146" s="412"/>
      <c r="OC146" s="412"/>
      <c r="OD146" s="412"/>
      <c r="OE146" s="412"/>
      <c r="OF146" s="412"/>
      <c r="OG146" s="412"/>
      <c r="OH146" s="412"/>
      <c r="OI146" s="412"/>
      <c r="OJ146" s="412"/>
      <c r="OK146" s="412"/>
      <c r="OL146" s="412"/>
      <c r="OM146" s="412"/>
      <c r="ON146" s="412"/>
      <c r="OO146" s="412"/>
      <c r="OP146" s="412"/>
      <c r="OQ146" s="412"/>
      <c r="OR146" s="412"/>
      <c r="OS146" s="412"/>
      <c r="OT146" s="412"/>
      <c r="OU146" s="412"/>
      <c r="OV146" s="412"/>
      <c r="OW146" s="412"/>
      <c r="OX146" s="412"/>
      <c r="OY146" s="412"/>
      <c r="OZ146" s="412"/>
      <c r="PA146" s="412"/>
      <c r="PB146" s="412"/>
      <c r="PC146" s="412"/>
      <c r="PD146" s="412"/>
      <c r="PE146" s="412"/>
      <c r="PF146" s="412"/>
      <c r="PG146" s="412"/>
      <c r="PH146" s="412"/>
      <c r="PI146" s="412"/>
      <c r="PJ146" s="412"/>
      <c r="PK146" s="412"/>
      <c r="PL146" s="412"/>
      <c r="PM146" s="412"/>
      <c r="PN146" s="412"/>
      <c r="PO146" s="412"/>
      <c r="PP146" s="412"/>
      <c r="PQ146" s="412"/>
      <c r="PR146" s="412"/>
      <c r="PS146" s="412"/>
      <c r="PT146" s="412"/>
      <c r="PU146" s="412"/>
      <c r="PV146" s="412"/>
      <c r="PW146" s="412"/>
      <c r="PX146" s="412"/>
      <c r="PY146" s="412"/>
      <c r="PZ146" s="412"/>
      <c r="QA146" s="412"/>
      <c r="QB146" s="412"/>
      <c r="QC146" s="412"/>
      <c r="QD146" s="412"/>
      <c r="QE146" s="412"/>
      <c r="QF146" s="412"/>
      <c r="QG146" s="412"/>
      <c r="QH146" s="412"/>
      <c r="QI146" s="412"/>
      <c r="QJ146" s="412"/>
      <c r="QK146" s="412"/>
      <c r="QL146" s="412"/>
      <c r="QM146" s="412"/>
      <c r="QN146" s="412"/>
      <c r="QO146" s="412"/>
      <c r="QP146" s="412"/>
      <c r="QQ146" s="412"/>
      <c r="QR146" s="412"/>
      <c r="QS146" s="412"/>
      <c r="QT146" s="412"/>
      <c r="QU146" s="412"/>
      <c r="QV146" s="412"/>
      <c r="QW146" s="412"/>
      <c r="QX146" s="412"/>
      <c r="QY146" s="412"/>
      <c r="QZ146" s="412"/>
      <c r="RA146" s="412"/>
      <c r="RB146" s="412"/>
      <c r="RC146" s="412"/>
      <c r="RD146" s="412"/>
      <c r="RE146" s="412"/>
      <c r="RF146" s="412"/>
      <c r="RG146" s="412"/>
      <c r="RH146" s="412"/>
      <c r="RI146" s="412"/>
      <c r="RJ146" s="412"/>
      <c r="RK146" s="412"/>
      <c r="RL146" s="412"/>
      <c r="RM146" s="412"/>
      <c r="RN146" s="412"/>
      <c r="RO146" s="412"/>
      <c r="RP146" s="412"/>
      <c r="RQ146" s="412"/>
      <c r="RR146" s="412"/>
      <c r="RS146" s="412"/>
      <c r="RT146" s="412"/>
      <c r="RU146" s="412"/>
      <c r="RV146" s="412"/>
      <c r="RW146" s="412"/>
      <c r="RX146" s="412"/>
      <c r="RY146" s="412"/>
      <c r="RZ146" s="412"/>
      <c r="SA146" s="412"/>
      <c r="SB146" s="412"/>
      <c r="SC146" s="412"/>
      <c r="SD146" s="412"/>
      <c r="SE146" s="412"/>
      <c r="SF146" s="412"/>
      <c r="SG146" s="412"/>
      <c r="SH146" s="412"/>
      <c r="SI146" s="412"/>
      <c r="SJ146" s="412"/>
      <c r="SK146" s="412"/>
      <c r="SL146" s="412"/>
      <c r="SM146" s="412"/>
      <c r="SN146" s="412"/>
      <c r="SO146" s="412"/>
      <c r="SP146" s="412"/>
      <c r="SQ146" s="412"/>
      <c r="SR146" s="412"/>
      <c r="SS146" s="412"/>
      <c r="ST146" s="412"/>
      <c r="SU146" s="412"/>
      <c r="SV146" s="412"/>
      <c r="SW146" s="412"/>
      <c r="SX146" s="412"/>
      <c r="SY146" s="412"/>
      <c r="SZ146" s="412"/>
      <c r="TA146" s="412"/>
      <c r="TB146" s="412"/>
      <c r="TC146" s="412"/>
      <c r="TD146" s="412"/>
      <c r="TE146" s="412"/>
      <c r="TF146" s="412"/>
      <c r="TG146" s="412"/>
      <c r="TH146" s="412"/>
      <c r="TI146" s="412"/>
      <c r="TJ146" s="412"/>
      <c r="TK146" s="412"/>
      <c r="TL146" s="412"/>
      <c r="TM146" s="412"/>
      <c r="TN146" s="412"/>
      <c r="TO146" s="412"/>
      <c r="TP146" s="412"/>
      <c r="TQ146" s="412"/>
      <c r="TR146" s="412"/>
      <c r="TS146" s="412"/>
      <c r="TT146" s="412"/>
      <c r="TU146" s="412"/>
      <c r="TV146" s="412"/>
      <c r="TW146" s="412"/>
      <c r="TX146" s="412"/>
      <c r="TY146" s="412"/>
      <c r="TZ146" s="412"/>
      <c r="UA146" s="412"/>
      <c r="UB146" s="412"/>
      <c r="UC146" s="412"/>
      <c r="UD146" s="412"/>
      <c r="UE146" s="412"/>
      <c r="UF146" s="412"/>
      <c r="UG146" s="412"/>
      <c r="UH146" s="412"/>
      <c r="UI146" s="412"/>
      <c r="UJ146" s="412"/>
      <c r="UK146" s="412"/>
      <c r="UL146" s="412"/>
      <c r="UM146" s="412"/>
      <c r="UN146" s="412"/>
      <c r="UO146" s="412"/>
      <c r="UP146" s="412"/>
      <c r="UQ146" s="412"/>
      <c r="UR146" s="412"/>
      <c r="US146" s="412"/>
      <c r="UT146" s="412"/>
      <c r="UU146" s="412"/>
      <c r="UV146" s="412"/>
      <c r="UW146" s="412"/>
      <c r="UX146" s="412"/>
      <c r="UY146" s="412"/>
      <c r="UZ146" s="412"/>
      <c r="VA146" s="412"/>
      <c r="VB146" s="412"/>
      <c r="VC146" s="412"/>
      <c r="VD146" s="412"/>
      <c r="VE146" s="412"/>
      <c r="VF146" s="412"/>
      <c r="VG146" s="412"/>
      <c r="VH146" s="412"/>
      <c r="VI146" s="412"/>
      <c r="VJ146" s="412"/>
      <c r="VK146" s="412"/>
      <c r="VL146" s="412"/>
      <c r="VM146" s="412"/>
      <c r="VN146" s="412"/>
      <c r="VO146" s="412"/>
      <c r="VP146" s="412"/>
      <c r="VQ146" s="412"/>
      <c r="VR146" s="412"/>
      <c r="VS146" s="412"/>
      <c r="VT146" s="412"/>
      <c r="VU146" s="412"/>
      <c r="VV146" s="412"/>
      <c r="VW146" s="412"/>
      <c r="VX146" s="412"/>
      <c r="VY146" s="412"/>
      <c r="VZ146" s="412"/>
      <c r="WA146" s="412"/>
      <c r="WB146" s="412"/>
      <c r="WC146" s="412"/>
      <c r="WD146" s="412"/>
      <c r="WE146" s="412"/>
      <c r="WF146" s="412"/>
      <c r="WG146" s="412"/>
      <c r="WH146" s="412"/>
      <c r="WI146" s="412"/>
      <c r="WJ146" s="412"/>
      <c r="WK146" s="412"/>
      <c r="WL146" s="412"/>
      <c r="WM146" s="412"/>
      <c r="WN146" s="412"/>
      <c r="WO146" s="412"/>
      <c r="WP146" s="412"/>
      <c r="WQ146" s="412"/>
      <c r="WR146" s="412"/>
      <c r="WS146" s="412"/>
      <c r="WT146" s="412"/>
      <c r="WU146" s="412"/>
      <c r="WV146" s="412"/>
      <c r="WW146" s="412"/>
      <c r="WX146" s="412"/>
      <c r="WY146" s="412"/>
      <c r="WZ146" s="412"/>
      <c r="XA146" s="412"/>
      <c r="XB146" s="412"/>
      <c r="XC146" s="412"/>
      <c r="XD146" s="412"/>
      <c r="XE146" s="412"/>
      <c r="XF146" s="412"/>
      <c r="XG146" s="412"/>
      <c r="XH146" s="412"/>
      <c r="XI146" s="412"/>
      <c r="XJ146" s="412"/>
      <c r="XK146" s="412"/>
      <c r="XL146" s="412"/>
      <c r="XM146" s="412"/>
      <c r="XN146" s="412"/>
      <c r="XO146" s="412"/>
      <c r="XP146" s="412"/>
      <c r="XQ146" s="412"/>
      <c r="XR146" s="412"/>
      <c r="XS146" s="412"/>
      <c r="XT146" s="412"/>
      <c r="XU146" s="412"/>
      <c r="XV146" s="412"/>
      <c r="XW146" s="412"/>
      <c r="XX146" s="412"/>
      <c r="XY146" s="412"/>
      <c r="XZ146" s="412"/>
      <c r="YA146" s="412"/>
      <c r="YB146" s="412"/>
      <c r="YC146" s="412"/>
      <c r="YD146" s="412"/>
      <c r="YE146" s="412"/>
      <c r="YF146" s="412"/>
      <c r="YG146" s="412"/>
      <c r="YH146" s="412"/>
      <c r="YI146" s="412"/>
      <c r="YJ146" s="412"/>
      <c r="YK146" s="412"/>
      <c r="YL146" s="412"/>
      <c r="YM146" s="412"/>
      <c r="YN146" s="412"/>
      <c r="YO146" s="412"/>
      <c r="YP146" s="412"/>
      <c r="YQ146" s="412"/>
      <c r="YR146" s="412"/>
      <c r="YS146" s="412"/>
      <c r="YT146" s="412"/>
      <c r="YU146" s="412"/>
      <c r="YV146" s="412"/>
      <c r="YW146" s="412"/>
      <c r="YX146" s="412"/>
      <c r="YY146" s="412"/>
      <c r="YZ146" s="412"/>
      <c r="ZA146" s="412"/>
      <c r="ZB146" s="412"/>
      <c r="ZC146" s="412"/>
      <c r="ZD146" s="412"/>
      <c r="ZE146" s="412"/>
      <c r="ZF146" s="412"/>
      <c r="ZG146" s="412"/>
      <c r="ZH146" s="412"/>
      <c r="ZI146" s="412"/>
      <c r="ZJ146" s="412"/>
      <c r="ZK146" s="412"/>
      <c r="ZL146" s="412"/>
      <c r="ZM146" s="412"/>
      <c r="ZN146" s="412"/>
      <c r="ZO146" s="412"/>
      <c r="ZP146" s="412"/>
      <c r="ZQ146" s="412"/>
      <c r="ZR146" s="412"/>
      <c r="ZS146" s="412"/>
      <c r="ZT146" s="412"/>
      <c r="ZU146" s="412"/>
      <c r="ZV146" s="412"/>
      <c r="ZW146" s="412"/>
      <c r="ZX146" s="412"/>
      <c r="ZY146" s="412"/>
      <c r="ZZ146" s="412"/>
      <c r="AAA146" s="412"/>
      <c r="AAB146" s="412"/>
      <c r="AAC146" s="412"/>
      <c r="AAD146" s="412"/>
      <c r="AAE146" s="412"/>
      <c r="AAF146" s="412"/>
      <c r="AAG146" s="412"/>
      <c r="AAH146" s="412"/>
      <c r="AAI146" s="412"/>
      <c r="AAJ146" s="412"/>
      <c r="AAK146" s="412"/>
      <c r="AAL146" s="412"/>
      <c r="AAM146" s="412"/>
      <c r="AAN146" s="412"/>
      <c r="AAO146" s="412"/>
      <c r="AAP146" s="412"/>
      <c r="AAQ146" s="412"/>
      <c r="AAR146" s="412"/>
      <c r="AAS146" s="412"/>
      <c r="AAT146" s="412"/>
      <c r="AAU146" s="412"/>
      <c r="AAV146" s="412"/>
      <c r="AAW146" s="412"/>
      <c r="AAX146" s="412"/>
      <c r="AAY146" s="412"/>
      <c r="AAZ146" s="412"/>
      <c r="ABA146" s="412"/>
      <c r="ABB146" s="412"/>
      <c r="ABC146" s="412"/>
      <c r="ABD146" s="412"/>
      <c r="ABE146" s="412"/>
      <c r="ABF146" s="412"/>
      <c r="ABG146" s="412"/>
      <c r="ABH146" s="412"/>
      <c r="ABI146" s="412"/>
      <c r="ABJ146" s="412"/>
      <c r="ABK146" s="412"/>
      <c r="ABL146" s="412"/>
      <c r="ABM146" s="412"/>
      <c r="ABN146" s="412"/>
      <c r="ABO146" s="412"/>
      <c r="ABP146" s="412"/>
      <c r="ABQ146" s="412"/>
      <c r="ABR146" s="412"/>
      <c r="ABS146" s="412"/>
      <c r="ABT146" s="412"/>
      <c r="ABU146" s="412"/>
      <c r="ABV146" s="412"/>
      <c r="ABW146" s="412"/>
      <c r="ABX146" s="412"/>
      <c r="ABY146" s="412"/>
      <c r="ABZ146" s="412"/>
      <c r="ACA146" s="412"/>
      <c r="ACB146" s="412"/>
      <c r="ACC146" s="412"/>
      <c r="ACD146" s="412"/>
      <c r="ACE146" s="412"/>
      <c r="ACF146" s="412"/>
      <c r="ACG146" s="412"/>
      <c r="ACH146" s="412"/>
      <c r="ACI146" s="412"/>
      <c r="ACJ146" s="412"/>
      <c r="ACK146" s="412"/>
      <c r="ACL146" s="412"/>
      <c r="ACM146" s="412"/>
      <c r="ACN146" s="412"/>
      <c r="ACO146" s="412"/>
      <c r="ACP146" s="412"/>
      <c r="ACQ146" s="412"/>
      <c r="ACR146" s="412"/>
      <c r="ACS146" s="412"/>
      <c r="ACT146" s="412"/>
      <c r="ACU146" s="412"/>
      <c r="ACV146" s="412"/>
      <c r="ACW146" s="412"/>
      <c r="ACX146" s="412"/>
      <c r="ACY146" s="412"/>
      <c r="ACZ146" s="412"/>
      <c r="ADA146" s="412"/>
      <c r="ADB146" s="412"/>
      <c r="ADC146" s="412"/>
      <c r="ADD146" s="412"/>
      <c r="ADE146" s="412"/>
      <c r="ADF146" s="412"/>
      <c r="ADG146" s="412"/>
      <c r="ADH146" s="412"/>
      <c r="ADI146" s="412"/>
      <c r="ADJ146" s="412"/>
      <c r="ADK146" s="412"/>
      <c r="ADL146" s="412"/>
      <c r="ADM146" s="412"/>
      <c r="ADN146" s="412"/>
      <c r="ADO146" s="412"/>
      <c r="ADP146" s="412"/>
      <c r="ADQ146" s="412"/>
      <c r="ADR146" s="412"/>
      <c r="ADS146" s="412"/>
      <c r="ADT146" s="412"/>
      <c r="ADU146" s="412"/>
      <c r="ADV146" s="412"/>
      <c r="ADW146" s="412"/>
      <c r="ADX146" s="412"/>
      <c r="ADY146" s="412"/>
      <c r="ADZ146" s="412"/>
      <c r="AEA146" s="412"/>
      <c r="AEB146" s="412"/>
      <c r="AEC146" s="412"/>
      <c r="AED146" s="412"/>
      <c r="AEE146" s="412"/>
      <c r="AEF146" s="412"/>
      <c r="AEG146" s="412"/>
      <c r="AEH146" s="412"/>
      <c r="AEI146" s="412"/>
      <c r="AEJ146" s="412"/>
      <c r="AEK146" s="412"/>
      <c r="AEL146" s="412"/>
      <c r="AEM146" s="412"/>
      <c r="AEN146" s="412"/>
      <c r="AEO146" s="412"/>
      <c r="AEP146" s="412"/>
      <c r="AEQ146" s="412"/>
      <c r="AER146" s="412"/>
      <c r="AES146" s="412"/>
      <c r="AET146" s="412"/>
      <c r="AEU146" s="412"/>
      <c r="AEV146" s="412"/>
      <c r="AEW146" s="412"/>
      <c r="AEX146" s="412"/>
      <c r="AEY146" s="412"/>
      <c r="AEZ146" s="412"/>
      <c r="AFA146" s="412"/>
      <c r="AFB146" s="412"/>
      <c r="AFC146" s="412"/>
      <c r="AFD146" s="412"/>
      <c r="AFE146" s="412"/>
      <c r="AFF146" s="412"/>
      <c r="AFG146" s="412"/>
      <c r="AFH146" s="412"/>
      <c r="AFI146" s="412"/>
      <c r="AFJ146" s="412"/>
      <c r="AFK146" s="412"/>
      <c r="AFL146" s="412"/>
      <c r="AFM146" s="412"/>
      <c r="AFN146" s="412"/>
      <c r="AFO146" s="412"/>
      <c r="AFP146" s="412"/>
      <c r="AFQ146" s="412"/>
      <c r="AFR146" s="412"/>
      <c r="AFS146" s="412"/>
      <c r="AFT146" s="412"/>
      <c r="AFU146" s="412"/>
      <c r="AFV146" s="412"/>
      <c r="AFW146" s="412"/>
      <c r="AFX146" s="412"/>
      <c r="AFY146" s="412"/>
      <c r="AFZ146" s="412"/>
      <c r="AGA146" s="412"/>
      <c r="AGB146" s="412"/>
      <c r="AGC146" s="412"/>
      <c r="AGD146" s="412"/>
      <c r="AGE146" s="412"/>
      <c r="AGF146" s="412"/>
      <c r="AGG146" s="412"/>
      <c r="AGH146" s="412"/>
      <c r="AGI146" s="412"/>
      <c r="AGJ146" s="412"/>
      <c r="AGK146" s="412"/>
      <c r="AGL146" s="412"/>
      <c r="AGM146" s="412"/>
      <c r="AGN146" s="412"/>
      <c r="AGO146" s="412"/>
      <c r="AGP146" s="412"/>
      <c r="AGQ146" s="412"/>
      <c r="AGR146" s="412"/>
      <c r="AGS146" s="412"/>
      <c r="AGT146" s="412"/>
      <c r="AGU146" s="412"/>
      <c r="AGV146" s="412"/>
      <c r="AGW146" s="412"/>
      <c r="AGX146" s="412"/>
      <c r="AGY146" s="412"/>
      <c r="AGZ146" s="412"/>
      <c r="AHA146" s="412"/>
      <c r="AHB146" s="412"/>
      <c r="AHC146" s="412"/>
      <c r="AHD146" s="412"/>
      <c r="AHE146" s="412"/>
      <c r="AHF146" s="412"/>
      <c r="AHG146" s="412"/>
      <c r="AHH146" s="412"/>
      <c r="AHI146" s="412"/>
      <c r="AHJ146" s="412"/>
      <c r="AHK146" s="412"/>
      <c r="AHL146" s="412"/>
      <c r="AHM146" s="412"/>
      <c r="AHN146" s="412"/>
      <c r="AHO146" s="412"/>
      <c r="AHP146" s="412"/>
      <c r="AHQ146" s="412"/>
      <c r="AHR146" s="412"/>
      <c r="AHS146" s="412"/>
      <c r="AHT146" s="412"/>
      <c r="AHU146" s="412"/>
      <c r="AHV146" s="412"/>
      <c r="AHW146" s="412"/>
      <c r="AHX146" s="412"/>
      <c r="AHY146" s="412"/>
      <c r="AHZ146" s="412"/>
      <c r="AIA146" s="412"/>
      <c r="AIB146" s="412"/>
      <c r="AIC146" s="412"/>
      <c r="AID146" s="412"/>
      <c r="AIE146" s="412"/>
      <c r="AIF146" s="412"/>
      <c r="AIG146" s="412"/>
      <c r="AIH146" s="412"/>
      <c r="AII146" s="412"/>
      <c r="AIJ146" s="412"/>
      <c r="AIK146" s="412"/>
      <c r="AIL146" s="412"/>
      <c r="AIM146" s="412"/>
      <c r="AIN146" s="412"/>
      <c r="AIO146" s="412"/>
      <c r="AIP146" s="412"/>
      <c r="AIQ146" s="412"/>
      <c r="AIR146" s="412"/>
      <c r="AIS146" s="412"/>
      <c r="AIT146" s="412"/>
      <c r="AIU146" s="412"/>
      <c r="AIV146" s="412"/>
      <c r="AIW146" s="412"/>
      <c r="AIX146" s="412"/>
      <c r="AIY146" s="412"/>
      <c r="AIZ146" s="412"/>
      <c r="AJA146" s="412"/>
      <c r="AJB146" s="412"/>
      <c r="AJC146" s="412"/>
      <c r="AJD146" s="412"/>
      <c r="AJE146" s="412"/>
      <c r="AJF146" s="412"/>
      <c r="AJG146" s="412"/>
      <c r="AJH146" s="412"/>
      <c r="AJI146" s="412"/>
      <c r="AJJ146" s="412"/>
      <c r="AJK146" s="412"/>
      <c r="AJL146" s="412"/>
      <c r="AJM146" s="412"/>
      <c r="AJN146" s="412"/>
      <c r="AJO146" s="412"/>
      <c r="AJP146" s="412"/>
      <c r="AJQ146" s="412"/>
      <c r="AJR146" s="412"/>
      <c r="AJS146" s="412"/>
      <c r="AJT146" s="412"/>
      <c r="AJU146" s="412"/>
      <c r="AJV146" s="412"/>
      <c r="AJW146" s="412"/>
      <c r="AJX146" s="412"/>
      <c r="AJY146" s="412"/>
      <c r="AJZ146" s="412"/>
      <c r="AKA146" s="412"/>
      <c r="AKB146" s="412"/>
      <c r="AKC146" s="412"/>
      <c r="AKD146" s="412"/>
      <c r="AKE146" s="412"/>
      <c r="AKF146" s="412"/>
      <c r="AKG146" s="412"/>
      <c r="AKH146" s="412"/>
      <c r="AKI146" s="412"/>
      <c r="AKJ146" s="412"/>
      <c r="AKK146" s="412"/>
      <c r="AKL146" s="412"/>
      <c r="AKM146" s="412"/>
      <c r="AKN146" s="412"/>
      <c r="AKO146" s="412"/>
      <c r="AKP146" s="412"/>
      <c r="AKQ146" s="412"/>
      <c r="AKR146" s="412"/>
      <c r="AKS146" s="412"/>
      <c r="AKT146" s="412"/>
      <c r="AKU146" s="412"/>
      <c r="AKV146" s="412"/>
      <c r="AKW146" s="412"/>
      <c r="AKX146" s="412"/>
      <c r="AKY146" s="412"/>
      <c r="AKZ146" s="412"/>
      <c r="ALA146" s="412"/>
      <c r="ALB146" s="412"/>
      <c r="ALC146" s="412"/>
      <c r="ALD146" s="412"/>
      <c r="ALE146" s="412"/>
      <c r="ALF146" s="412"/>
      <c r="ALG146" s="412"/>
      <c r="ALH146" s="412"/>
      <c r="ALI146" s="412"/>
      <c r="ALJ146" s="412"/>
      <c r="ALK146" s="412"/>
      <c r="ALL146" s="412"/>
      <c r="ALM146" s="412"/>
      <c r="ALN146" s="412"/>
      <c r="ALO146" s="412"/>
      <c r="ALP146" s="412"/>
      <c r="ALQ146" s="412"/>
      <c r="ALR146" s="412"/>
      <c r="ALS146" s="412"/>
      <c r="ALT146" s="412"/>
      <c r="ALU146" s="412"/>
      <c r="ALV146" s="412"/>
      <c r="ALW146" s="412"/>
      <c r="ALX146" s="412"/>
      <c r="ALY146" s="412"/>
      <c r="ALZ146" s="412"/>
      <c r="AMA146" s="412"/>
      <c r="AMB146" s="412"/>
      <c r="AMC146" s="412"/>
      <c r="AMD146" s="412"/>
      <c r="AME146" s="412"/>
      <c r="AMF146" s="412"/>
      <c r="AMG146" s="412"/>
      <c r="AMH146" s="412"/>
      <c r="AMI146" s="412"/>
      <c r="AMJ146" s="412"/>
      <c r="AMK146" s="412"/>
      <c r="AML146" s="412"/>
      <c r="AMM146" s="412"/>
      <c r="AMN146" s="412"/>
      <c r="AMO146" s="412"/>
      <c r="AMP146" s="412"/>
      <c r="AMQ146" s="412"/>
      <c r="AMR146" s="412"/>
      <c r="AMS146" s="412"/>
      <c r="AMT146" s="412"/>
      <c r="AMU146" s="412"/>
      <c r="AMV146" s="412"/>
      <c r="AMW146" s="412"/>
      <c r="AMX146" s="412"/>
      <c r="AMY146" s="412"/>
      <c r="AMZ146" s="412"/>
      <c r="ANA146" s="412"/>
      <c r="ANB146" s="412"/>
      <c r="ANC146" s="412"/>
      <c r="AND146" s="412"/>
      <c r="ANE146" s="412"/>
      <c r="ANF146" s="412"/>
      <c r="ANG146" s="412"/>
      <c r="ANH146" s="412"/>
      <c r="ANI146" s="412"/>
      <c r="ANJ146" s="412"/>
      <c r="ANK146" s="412"/>
      <c r="ANL146" s="412"/>
      <c r="ANM146" s="412"/>
      <c r="ANN146" s="412"/>
      <c r="ANO146" s="412"/>
      <c r="ANP146" s="412"/>
      <c r="ANQ146" s="412"/>
      <c r="ANR146" s="412"/>
      <c r="ANS146" s="412"/>
      <c r="ANT146" s="412"/>
      <c r="ANU146" s="412"/>
      <c r="ANV146" s="412"/>
      <c r="ANW146" s="412"/>
      <c r="ANX146" s="412"/>
      <c r="ANY146" s="412"/>
      <c r="ANZ146" s="412"/>
      <c r="AOA146" s="412"/>
      <c r="AOB146" s="412"/>
      <c r="AOC146" s="412"/>
      <c r="AOD146" s="412"/>
      <c r="AOE146" s="412"/>
      <c r="AOF146" s="412"/>
      <c r="AOG146" s="412"/>
      <c r="AOH146" s="412"/>
      <c r="AOI146" s="412"/>
      <c r="AOJ146" s="412"/>
      <c r="AOK146" s="412"/>
      <c r="AOL146" s="412"/>
      <c r="AOM146" s="412"/>
      <c r="AON146" s="412"/>
      <c r="AOO146" s="412"/>
      <c r="AOP146" s="412"/>
      <c r="AOQ146" s="412"/>
      <c r="AOR146" s="412"/>
      <c r="AOS146" s="412"/>
      <c r="AOT146" s="412"/>
      <c r="AOU146" s="412"/>
      <c r="AOV146" s="412"/>
      <c r="AOW146" s="412"/>
      <c r="AOX146" s="412"/>
      <c r="AOY146" s="412"/>
      <c r="AOZ146" s="412"/>
      <c r="APA146" s="412"/>
      <c r="APB146" s="412"/>
      <c r="APC146" s="412"/>
      <c r="APD146" s="412"/>
      <c r="APE146" s="412"/>
      <c r="APF146" s="412"/>
      <c r="APG146" s="412"/>
      <c r="APH146" s="412"/>
      <c r="API146" s="412"/>
      <c r="APJ146" s="412"/>
      <c r="APK146" s="412"/>
      <c r="APL146" s="412"/>
      <c r="APM146" s="412"/>
      <c r="APN146" s="412"/>
      <c r="APO146" s="412"/>
      <c r="APP146" s="412"/>
      <c r="APQ146" s="412"/>
      <c r="APR146" s="412"/>
      <c r="APS146" s="412"/>
      <c r="APT146" s="412"/>
      <c r="APU146" s="412"/>
      <c r="APV146" s="412"/>
      <c r="APW146" s="412"/>
      <c r="APX146" s="412"/>
      <c r="APY146" s="412"/>
      <c r="APZ146" s="412"/>
      <c r="AQA146" s="412"/>
      <c r="AQB146" s="412"/>
      <c r="AQC146" s="412"/>
      <c r="AQD146" s="412"/>
      <c r="AQE146" s="412"/>
      <c r="AQF146" s="412"/>
      <c r="AQG146" s="412"/>
      <c r="AQH146" s="412"/>
      <c r="AQI146" s="412"/>
      <c r="AQJ146" s="412"/>
      <c r="AQK146" s="412"/>
      <c r="AQL146" s="412"/>
      <c r="AQM146" s="412"/>
      <c r="AQN146" s="412"/>
      <c r="AQO146" s="412"/>
      <c r="AQP146" s="412"/>
      <c r="AQQ146" s="412"/>
      <c r="AQR146" s="412"/>
      <c r="AQS146" s="412"/>
      <c r="AQT146" s="412"/>
      <c r="AQU146" s="412"/>
      <c r="AQV146" s="412"/>
      <c r="AQW146" s="412"/>
      <c r="AQX146" s="412"/>
      <c r="AQY146" s="412"/>
      <c r="AQZ146" s="412"/>
      <c r="ARA146" s="412"/>
      <c r="ARB146" s="412"/>
      <c r="ARC146" s="412"/>
      <c r="ARD146" s="412"/>
      <c r="ARE146" s="412"/>
      <c r="ARF146" s="412"/>
      <c r="ARG146" s="412"/>
      <c r="ARH146" s="412"/>
      <c r="ARI146" s="412"/>
      <c r="ARJ146" s="412"/>
      <c r="ARK146" s="412"/>
      <c r="ARL146" s="412"/>
      <c r="ARM146" s="412"/>
      <c r="ARN146" s="412"/>
      <c r="ARO146" s="412"/>
      <c r="ARP146" s="412"/>
      <c r="ARQ146" s="412"/>
      <c r="ARR146" s="412"/>
      <c r="ARS146" s="412"/>
      <c r="ART146" s="412"/>
      <c r="ARU146" s="412"/>
      <c r="ARV146" s="412"/>
      <c r="ARW146" s="412"/>
      <c r="ARX146" s="412"/>
      <c r="ARY146" s="412"/>
      <c r="ARZ146" s="412"/>
      <c r="ASA146" s="412"/>
      <c r="ASB146" s="412"/>
      <c r="ASC146" s="412"/>
      <c r="ASD146" s="412"/>
      <c r="ASE146" s="412"/>
      <c r="ASF146" s="412"/>
      <c r="ASG146" s="412"/>
      <c r="ASH146" s="412"/>
      <c r="ASI146" s="412"/>
      <c r="ASJ146" s="412"/>
      <c r="ASK146" s="412"/>
      <c r="ASL146" s="412"/>
      <c r="ASM146" s="412"/>
      <c r="ASN146" s="412"/>
      <c r="ASO146" s="412"/>
      <c r="ASP146" s="412"/>
      <c r="ASQ146" s="412"/>
      <c r="ASR146" s="412"/>
      <c r="ASS146" s="412"/>
      <c r="AST146" s="412"/>
      <c r="ASU146" s="412"/>
      <c r="ASV146" s="412"/>
      <c r="ASW146" s="412"/>
      <c r="ASX146" s="412"/>
      <c r="ASY146" s="412"/>
      <c r="ASZ146" s="412"/>
      <c r="ATA146" s="412"/>
      <c r="ATB146" s="412"/>
      <c r="ATC146" s="412"/>
      <c r="ATD146" s="412"/>
      <c r="ATE146" s="412"/>
      <c r="ATF146" s="412"/>
      <c r="ATG146" s="412"/>
      <c r="ATH146" s="412"/>
      <c r="ATI146" s="412"/>
      <c r="ATJ146" s="412"/>
      <c r="ATK146" s="412"/>
      <c r="ATL146" s="412"/>
      <c r="ATM146" s="412"/>
      <c r="ATN146" s="412"/>
      <c r="ATO146" s="412"/>
      <c r="ATP146" s="412"/>
      <c r="ATQ146" s="412"/>
      <c r="ATR146" s="412"/>
      <c r="ATS146" s="412"/>
      <c r="ATT146" s="412"/>
      <c r="ATU146" s="412"/>
      <c r="ATV146" s="412"/>
      <c r="ATW146" s="412"/>
      <c r="ATX146" s="412"/>
      <c r="ATY146" s="412"/>
      <c r="ATZ146" s="412"/>
      <c r="AUA146" s="412"/>
      <c r="AUB146" s="412"/>
      <c r="AUC146" s="412"/>
      <c r="AUD146" s="412"/>
      <c r="AUE146" s="412"/>
      <c r="AUF146" s="412"/>
      <c r="AUG146" s="412"/>
      <c r="AUH146" s="412"/>
      <c r="AUI146" s="412"/>
      <c r="AUJ146" s="412"/>
      <c r="AUK146" s="412"/>
      <c r="AUL146" s="412"/>
      <c r="AUM146" s="412"/>
      <c r="AUN146" s="412"/>
      <c r="AUO146" s="412"/>
      <c r="AUP146" s="412"/>
      <c r="AUQ146" s="412"/>
      <c r="AUR146" s="412"/>
      <c r="AUS146" s="412"/>
      <c r="AUT146" s="412"/>
      <c r="AUU146" s="412"/>
      <c r="AUV146" s="412"/>
      <c r="AUW146" s="412"/>
      <c r="AUX146" s="412"/>
      <c r="AUY146" s="412"/>
      <c r="AUZ146" s="412"/>
      <c r="AVA146" s="412"/>
      <c r="AVB146" s="412"/>
      <c r="AVC146" s="412"/>
      <c r="AVD146" s="412"/>
      <c r="AVE146" s="412"/>
      <c r="AVF146" s="412"/>
      <c r="AVG146" s="412"/>
      <c r="AVH146" s="412"/>
      <c r="AVI146" s="412"/>
      <c r="AVJ146" s="412"/>
      <c r="AVK146" s="412"/>
      <c r="AVL146" s="412"/>
      <c r="AVM146" s="412"/>
      <c r="AVN146" s="412"/>
      <c r="AVO146" s="412"/>
      <c r="AVP146" s="412"/>
      <c r="AVQ146" s="412"/>
      <c r="AVR146" s="412"/>
      <c r="AVS146" s="412"/>
      <c r="AVT146" s="412"/>
      <c r="AVU146" s="412"/>
      <c r="AVV146" s="412"/>
      <c r="AVW146" s="412"/>
      <c r="AVX146" s="412"/>
      <c r="AVY146" s="412"/>
      <c r="AVZ146" s="412"/>
      <c r="AWA146" s="412"/>
      <c r="AWB146" s="412"/>
      <c r="AWC146" s="412"/>
      <c r="AWD146" s="412"/>
      <c r="AWE146" s="412"/>
      <c r="AWF146" s="412"/>
      <c r="AWG146" s="412"/>
      <c r="AWH146" s="412"/>
      <c r="AWI146" s="412"/>
      <c r="AWJ146" s="412"/>
      <c r="AWK146" s="412"/>
      <c r="AWL146" s="412"/>
      <c r="AWM146" s="412"/>
      <c r="AWN146" s="412"/>
      <c r="AWO146" s="412"/>
      <c r="AWP146" s="412"/>
      <c r="AWQ146" s="412"/>
      <c r="AWR146" s="412"/>
      <c r="AWS146" s="412"/>
      <c r="AWT146" s="412"/>
      <c r="AWU146" s="412"/>
      <c r="AWV146" s="412"/>
      <c r="AWW146" s="412"/>
      <c r="AWX146" s="412"/>
      <c r="AWY146" s="412"/>
      <c r="AWZ146" s="412"/>
      <c r="AXA146" s="412"/>
      <c r="AXB146" s="412"/>
      <c r="AXC146" s="412"/>
      <c r="AXD146" s="412"/>
      <c r="AXE146" s="412"/>
      <c r="AXF146" s="412"/>
      <c r="AXG146" s="412"/>
      <c r="AXH146" s="412"/>
      <c r="AXI146" s="412"/>
      <c r="AXJ146" s="412"/>
      <c r="AXK146" s="412"/>
      <c r="AXL146" s="412"/>
      <c r="AXM146" s="412"/>
      <c r="AXN146" s="412"/>
      <c r="AXO146" s="412"/>
      <c r="AXP146" s="412"/>
      <c r="AXQ146" s="412"/>
      <c r="AXR146" s="412"/>
      <c r="AXS146" s="412"/>
      <c r="AXT146" s="412"/>
      <c r="AXU146" s="412"/>
      <c r="AXV146" s="412"/>
      <c r="AXW146" s="412"/>
      <c r="AXX146" s="412"/>
      <c r="AXY146" s="412"/>
      <c r="AXZ146" s="412"/>
      <c r="AYA146" s="412"/>
      <c r="AYB146" s="412"/>
      <c r="AYC146" s="412"/>
      <c r="AYD146" s="412"/>
      <c r="AYE146" s="412"/>
      <c r="AYF146" s="412"/>
      <c r="AYG146" s="412"/>
      <c r="AYH146" s="412"/>
      <c r="AYI146" s="412"/>
      <c r="AYJ146" s="412"/>
      <c r="AYK146" s="412"/>
      <c r="AYL146" s="412"/>
      <c r="AYM146" s="412"/>
      <c r="AYN146" s="412"/>
      <c r="AYO146" s="412"/>
      <c r="AYP146" s="412"/>
      <c r="AYQ146" s="412"/>
      <c r="AYR146" s="412"/>
      <c r="AYS146" s="412"/>
      <c r="AYT146" s="412"/>
      <c r="AYU146" s="412"/>
      <c r="AYV146" s="412"/>
      <c r="AYW146" s="412"/>
      <c r="AYX146" s="412"/>
      <c r="AYY146" s="412"/>
      <c r="AYZ146" s="412"/>
      <c r="AZA146" s="412"/>
      <c r="AZB146" s="412"/>
      <c r="AZC146" s="412"/>
      <c r="AZD146" s="412"/>
      <c r="AZE146" s="412"/>
      <c r="AZF146" s="412"/>
      <c r="AZG146" s="412"/>
      <c r="AZH146" s="412"/>
      <c r="AZI146" s="412"/>
      <c r="AZJ146" s="412"/>
      <c r="AZK146" s="412"/>
      <c r="AZL146" s="412"/>
      <c r="AZM146" s="412"/>
      <c r="AZN146" s="412"/>
      <c r="AZO146" s="412"/>
      <c r="AZP146" s="412"/>
      <c r="AZQ146" s="412"/>
      <c r="AZR146" s="412"/>
      <c r="AZS146" s="412"/>
      <c r="AZT146" s="412"/>
      <c r="AZU146" s="412"/>
      <c r="AZV146" s="412"/>
      <c r="AZW146" s="412"/>
      <c r="AZX146" s="412"/>
      <c r="AZY146" s="412"/>
      <c r="AZZ146" s="412"/>
      <c r="BAA146" s="412"/>
      <c r="BAB146" s="412"/>
      <c r="BAC146" s="412"/>
      <c r="BAD146" s="412"/>
      <c r="BAE146" s="412"/>
      <c r="BAF146" s="412"/>
      <c r="BAG146" s="412"/>
      <c r="BAH146" s="412"/>
      <c r="BAI146" s="412"/>
      <c r="BAJ146" s="412"/>
      <c r="BAK146" s="412"/>
      <c r="BAL146" s="412"/>
      <c r="BAM146" s="412"/>
      <c r="BAN146" s="412"/>
      <c r="BAO146" s="412"/>
      <c r="BAP146" s="412"/>
      <c r="BAQ146" s="412"/>
      <c r="BAR146" s="412"/>
      <c r="BAS146" s="412"/>
      <c r="BAT146" s="412"/>
      <c r="BAU146" s="412"/>
      <c r="BAV146" s="412"/>
      <c r="BAW146" s="412"/>
      <c r="BAX146" s="412"/>
      <c r="BAY146" s="412"/>
      <c r="BAZ146" s="412"/>
      <c r="BBA146" s="412"/>
      <c r="BBB146" s="412"/>
      <c r="BBC146" s="412"/>
      <c r="BBD146" s="412"/>
      <c r="BBE146" s="412"/>
      <c r="BBF146" s="412"/>
      <c r="BBG146" s="412"/>
      <c r="BBH146" s="412"/>
      <c r="BBI146" s="412"/>
      <c r="BBJ146" s="412"/>
      <c r="BBK146" s="412"/>
      <c r="BBL146" s="412"/>
      <c r="BBM146" s="412"/>
      <c r="BBN146" s="412"/>
      <c r="BBO146" s="412"/>
      <c r="BBP146" s="412"/>
      <c r="BBQ146" s="412"/>
      <c r="BBR146" s="412"/>
      <c r="BBS146" s="412"/>
      <c r="BBT146" s="412"/>
      <c r="BBU146" s="412"/>
      <c r="BBV146" s="412"/>
      <c r="BBW146" s="412"/>
      <c r="BBX146" s="412"/>
      <c r="BBY146" s="412"/>
      <c r="BBZ146" s="412"/>
      <c r="BCA146" s="412"/>
      <c r="BCB146" s="412"/>
      <c r="BCC146" s="412"/>
      <c r="BCD146" s="412"/>
      <c r="BCE146" s="412"/>
      <c r="BCF146" s="412"/>
      <c r="BCG146" s="412"/>
      <c r="BCH146" s="412"/>
      <c r="BCI146" s="412"/>
      <c r="BCJ146" s="412"/>
      <c r="BCK146" s="412"/>
      <c r="BCL146" s="412"/>
      <c r="BCM146" s="412"/>
      <c r="BCN146" s="412"/>
      <c r="BCO146" s="412"/>
      <c r="BCP146" s="412"/>
      <c r="BCQ146" s="412"/>
      <c r="BCR146" s="412"/>
      <c r="BCS146" s="412"/>
      <c r="BCT146" s="412"/>
      <c r="BCU146" s="412"/>
      <c r="BCV146" s="412"/>
      <c r="BCW146" s="412"/>
      <c r="BCX146" s="412"/>
      <c r="BCY146" s="412"/>
      <c r="BCZ146" s="412"/>
      <c r="BDA146" s="412"/>
      <c r="BDB146" s="412"/>
      <c r="BDC146" s="412"/>
      <c r="BDD146" s="412"/>
      <c r="BDE146" s="412"/>
      <c r="BDF146" s="412"/>
      <c r="BDG146" s="412"/>
      <c r="BDH146" s="412"/>
      <c r="BDI146" s="412"/>
      <c r="BDJ146" s="412"/>
      <c r="BDK146" s="412"/>
      <c r="BDL146" s="412"/>
      <c r="BDM146" s="412"/>
      <c r="BDN146" s="412"/>
      <c r="BDO146" s="412"/>
      <c r="BDP146" s="412"/>
      <c r="BDQ146" s="412"/>
      <c r="BDR146" s="412"/>
      <c r="BDS146" s="412"/>
      <c r="BDT146" s="412"/>
      <c r="BDU146" s="412"/>
      <c r="BDV146" s="412"/>
      <c r="BDW146" s="412"/>
      <c r="BDX146" s="412"/>
      <c r="BDY146" s="412"/>
      <c r="BDZ146" s="412"/>
      <c r="BEA146" s="412"/>
      <c r="BEB146" s="412"/>
      <c r="BEC146" s="412"/>
      <c r="BED146" s="412"/>
      <c r="BEE146" s="412"/>
      <c r="BEF146" s="412"/>
      <c r="BEG146" s="412"/>
      <c r="BEH146" s="412"/>
      <c r="BEI146" s="412"/>
      <c r="BEJ146" s="412"/>
      <c r="BEK146" s="412"/>
      <c r="BEL146" s="412"/>
      <c r="BEM146" s="412"/>
      <c r="BEN146" s="412"/>
      <c r="BEO146" s="412"/>
      <c r="BEP146" s="412"/>
      <c r="BEQ146" s="412"/>
      <c r="BER146" s="412"/>
      <c r="BES146" s="412"/>
      <c r="BET146" s="412"/>
      <c r="BEU146" s="412"/>
      <c r="BEV146" s="412"/>
      <c r="BEW146" s="412"/>
      <c r="BEX146" s="412"/>
      <c r="BEY146" s="412"/>
      <c r="BEZ146" s="412"/>
      <c r="BFA146" s="412"/>
      <c r="BFB146" s="412"/>
      <c r="BFC146" s="412"/>
      <c r="BFD146" s="412"/>
      <c r="BFE146" s="412"/>
      <c r="BFF146" s="412"/>
      <c r="BFG146" s="412"/>
      <c r="BFH146" s="412"/>
      <c r="BFI146" s="412"/>
      <c r="BFJ146" s="412"/>
      <c r="BFK146" s="412"/>
      <c r="BFL146" s="412"/>
      <c r="BFM146" s="412"/>
      <c r="BFN146" s="412"/>
      <c r="BFO146" s="412"/>
      <c r="BFP146" s="412"/>
      <c r="BFQ146" s="412"/>
      <c r="BFR146" s="412"/>
      <c r="BFS146" s="412"/>
      <c r="BFT146" s="412"/>
      <c r="BFU146" s="412"/>
      <c r="BFV146" s="412"/>
      <c r="BFW146" s="412"/>
      <c r="BFX146" s="412"/>
      <c r="BFY146" s="412"/>
      <c r="BFZ146" s="412"/>
      <c r="BGA146" s="412"/>
      <c r="BGB146" s="412"/>
      <c r="BGC146" s="412"/>
      <c r="BGD146" s="412"/>
      <c r="BGE146" s="412"/>
      <c r="BGF146" s="412"/>
      <c r="BGG146" s="412"/>
      <c r="BGH146" s="412"/>
      <c r="BGI146" s="412"/>
      <c r="BGJ146" s="412"/>
      <c r="BGK146" s="412"/>
      <c r="BGL146" s="412"/>
      <c r="BGM146" s="412"/>
      <c r="BGN146" s="412"/>
      <c r="BGO146" s="412"/>
      <c r="BGP146" s="412"/>
      <c r="BGQ146" s="412"/>
      <c r="BGR146" s="412"/>
      <c r="BGS146" s="412"/>
      <c r="BGT146" s="412"/>
      <c r="BGU146" s="412"/>
      <c r="BGV146" s="412"/>
      <c r="BGW146" s="412"/>
      <c r="BGX146" s="412"/>
      <c r="BGY146" s="412"/>
      <c r="BGZ146" s="412"/>
      <c r="BHA146" s="412"/>
      <c r="BHB146" s="412"/>
      <c r="BHC146" s="412"/>
      <c r="BHD146" s="412"/>
      <c r="BHE146" s="412"/>
      <c r="BHF146" s="412"/>
      <c r="BHG146" s="412"/>
      <c r="BHH146" s="412"/>
      <c r="BHI146" s="412"/>
      <c r="BHJ146" s="412"/>
      <c r="BHK146" s="412"/>
      <c r="BHL146" s="412"/>
      <c r="BHM146" s="412"/>
      <c r="BHN146" s="412"/>
      <c r="BHO146" s="412"/>
      <c r="BHP146" s="412"/>
      <c r="BHQ146" s="412"/>
      <c r="BHR146" s="412"/>
      <c r="BHS146" s="412"/>
      <c r="BHT146" s="412"/>
      <c r="BHU146" s="412"/>
      <c r="BHV146" s="412"/>
      <c r="BHW146" s="412"/>
      <c r="BHX146" s="412"/>
      <c r="BHY146" s="412"/>
      <c r="BHZ146" s="412"/>
      <c r="BIA146" s="412"/>
      <c r="BIB146" s="412"/>
      <c r="BIC146" s="412"/>
      <c r="BID146" s="412"/>
      <c r="BIE146" s="412"/>
      <c r="BIF146" s="412"/>
      <c r="BIG146" s="412"/>
      <c r="BIH146" s="412"/>
      <c r="BII146" s="412"/>
      <c r="BIJ146" s="412"/>
      <c r="BIK146" s="412"/>
      <c r="BIL146" s="412"/>
      <c r="BIM146" s="412"/>
      <c r="BIN146" s="412"/>
      <c r="BIO146" s="412"/>
      <c r="BIP146" s="412"/>
      <c r="BIQ146" s="412"/>
      <c r="BIR146" s="412"/>
      <c r="BIS146" s="412"/>
      <c r="BIT146" s="412"/>
      <c r="BIU146" s="412"/>
      <c r="BIV146" s="412"/>
      <c r="BIW146" s="412"/>
      <c r="BIX146" s="412"/>
      <c r="BIY146" s="412"/>
      <c r="BIZ146" s="412"/>
      <c r="BJA146" s="412"/>
      <c r="BJB146" s="412"/>
      <c r="BJC146" s="412"/>
      <c r="BJD146" s="412"/>
      <c r="BJE146" s="412"/>
      <c r="BJF146" s="412"/>
      <c r="BJG146" s="412"/>
      <c r="BJH146" s="412"/>
      <c r="BJI146" s="412"/>
      <c r="BJJ146" s="412"/>
      <c r="BJK146" s="412"/>
      <c r="BJL146" s="412"/>
      <c r="BJM146" s="412"/>
      <c r="BJN146" s="412"/>
      <c r="BJO146" s="412"/>
      <c r="BJP146" s="412"/>
      <c r="BJQ146" s="412"/>
      <c r="BJR146" s="412"/>
      <c r="BJS146" s="412"/>
      <c r="BJT146" s="412"/>
      <c r="BJU146" s="412"/>
      <c r="BJV146" s="412"/>
      <c r="BJW146" s="412"/>
      <c r="BJX146" s="412"/>
      <c r="BJY146" s="412"/>
      <c r="BJZ146" s="412"/>
      <c r="BKA146" s="412"/>
      <c r="BKB146" s="412"/>
      <c r="BKC146" s="412"/>
      <c r="BKD146" s="412"/>
      <c r="BKE146" s="412"/>
      <c r="BKF146" s="412"/>
      <c r="BKG146" s="412"/>
      <c r="BKH146" s="412"/>
      <c r="BKI146" s="412"/>
      <c r="BKJ146" s="412"/>
      <c r="BKK146" s="412"/>
      <c r="BKL146" s="412"/>
      <c r="BKM146" s="412"/>
      <c r="BKN146" s="412"/>
      <c r="BKO146" s="412"/>
      <c r="BKP146" s="412"/>
      <c r="BKQ146" s="412"/>
      <c r="BKR146" s="412"/>
      <c r="BKS146" s="412"/>
      <c r="BKT146" s="412"/>
      <c r="BKU146" s="412"/>
      <c r="BKV146" s="412"/>
      <c r="BKW146" s="412"/>
      <c r="BKX146" s="412"/>
      <c r="BKY146" s="412"/>
      <c r="BKZ146" s="412"/>
      <c r="BLA146" s="412"/>
      <c r="BLB146" s="412"/>
      <c r="BLC146" s="412"/>
      <c r="BLD146" s="412"/>
      <c r="BLE146" s="412"/>
      <c r="BLF146" s="412"/>
      <c r="BLG146" s="412"/>
      <c r="BLH146" s="412"/>
      <c r="BLI146" s="412"/>
      <c r="BLJ146" s="412"/>
      <c r="BLK146" s="412"/>
      <c r="BLL146" s="412"/>
      <c r="BLM146" s="412"/>
      <c r="BLN146" s="412"/>
      <c r="BLO146" s="412"/>
      <c r="BLP146" s="412"/>
      <c r="BLQ146" s="412"/>
      <c r="BLR146" s="412"/>
      <c r="BLS146" s="412"/>
      <c r="BLT146" s="412"/>
      <c r="BLU146" s="412"/>
      <c r="BLV146" s="412"/>
      <c r="BLW146" s="412"/>
      <c r="BLX146" s="412"/>
      <c r="BLY146" s="412"/>
      <c r="BLZ146" s="412"/>
      <c r="BMA146" s="412"/>
      <c r="BMB146" s="412"/>
      <c r="BMC146" s="412"/>
      <c r="BMD146" s="412"/>
      <c r="BME146" s="412"/>
      <c r="BMF146" s="412"/>
      <c r="BMG146" s="412"/>
      <c r="BMH146" s="412"/>
      <c r="BMI146" s="412"/>
      <c r="BMJ146" s="412"/>
      <c r="BMK146" s="412"/>
      <c r="BML146" s="412"/>
      <c r="BMM146" s="412"/>
      <c r="BMN146" s="412"/>
      <c r="BMO146" s="412"/>
      <c r="BMP146" s="412"/>
      <c r="BMQ146" s="412"/>
      <c r="BMR146" s="412"/>
      <c r="BMS146" s="412"/>
      <c r="BMT146" s="412"/>
      <c r="BMU146" s="412"/>
      <c r="BMV146" s="412"/>
      <c r="BMW146" s="412"/>
      <c r="BMX146" s="412"/>
      <c r="BMY146" s="412"/>
      <c r="BMZ146" s="412"/>
      <c r="BNA146" s="412"/>
      <c r="BNB146" s="412"/>
      <c r="BNC146" s="412"/>
      <c r="BND146" s="412"/>
      <c r="BNE146" s="412"/>
      <c r="BNF146" s="412"/>
      <c r="BNG146" s="412"/>
      <c r="BNH146" s="412"/>
      <c r="BNI146" s="412"/>
      <c r="BNJ146" s="412"/>
      <c r="BNK146" s="412"/>
      <c r="BNL146" s="412"/>
      <c r="BNM146" s="412"/>
      <c r="BNN146" s="412"/>
      <c r="BNO146" s="412"/>
      <c r="BNP146" s="412"/>
      <c r="BNQ146" s="412"/>
      <c r="BNR146" s="412"/>
      <c r="BNS146" s="412"/>
      <c r="BNT146" s="412"/>
      <c r="BNU146" s="412"/>
      <c r="BNV146" s="412"/>
      <c r="BNW146" s="412"/>
      <c r="BNX146" s="412"/>
      <c r="BNY146" s="412"/>
      <c r="BNZ146" s="412"/>
      <c r="BOA146" s="412"/>
      <c r="BOB146" s="412"/>
      <c r="BOC146" s="412"/>
      <c r="BOD146" s="412"/>
      <c r="BOE146" s="412"/>
      <c r="BOF146" s="412"/>
      <c r="BOG146" s="412"/>
      <c r="BOH146" s="412"/>
      <c r="BOI146" s="412"/>
      <c r="BOJ146" s="412"/>
      <c r="BOK146" s="412"/>
      <c r="BOL146" s="412"/>
      <c r="BOM146" s="412"/>
      <c r="BON146" s="412"/>
      <c r="BOO146" s="412"/>
      <c r="BOP146" s="412"/>
      <c r="BOQ146" s="412"/>
      <c r="BOR146" s="412"/>
      <c r="BOS146" s="412"/>
      <c r="BOT146" s="412"/>
      <c r="BOU146" s="412"/>
      <c r="BOV146" s="412"/>
      <c r="BOW146" s="412"/>
      <c r="BOX146" s="412"/>
      <c r="BOY146" s="412"/>
      <c r="BOZ146" s="412"/>
      <c r="BPA146" s="412"/>
      <c r="BPB146" s="412"/>
      <c r="BPC146" s="412"/>
      <c r="BPD146" s="412"/>
      <c r="BPE146" s="412"/>
      <c r="BPF146" s="412"/>
      <c r="BPG146" s="412"/>
      <c r="BPH146" s="412"/>
      <c r="BPI146" s="412"/>
      <c r="BPJ146" s="412"/>
      <c r="BPK146" s="412"/>
      <c r="BPL146" s="412"/>
      <c r="BPM146" s="412"/>
      <c r="BPN146" s="412"/>
      <c r="BPO146" s="412"/>
      <c r="BPP146" s="412"/>
      <c r="BPQ146" s="412"/>
      <c r="BPR146" s="412"/>
      <c r="BPS146" s="412"/>
      <c r="BPT146" s="412"/>
      <c r="BPU146" s="412"/>
      <c r="BPV146" s="412"/>
      <c r="BPW146" s="412"/>
      <c r="BPX146" s="412"/>
      <c r="BPY146" s="412"/>
      <c r="BPZ146" s="412"/>
      <c r="BQA146" s="412"/>
      <c r="BQB146" s="412"/>
      <c r="BQC146" s="412"/>
      <c r="BQD146" s="412"/>
      <c r="BQE146" s="412"/>
      <c r="BQF146" s="412"/>
      <c r="BQG146" s="412"/>
      <c r="BQH146" s="412"/>
      <c r="BQI146" s="412"/>
      <c r="BQJ146" s="412"/>
      <c r="BQK146" s="412"/>
      <c r="BQL146" s="412"/>
      <c r="BQM146" s="412"/>
      <c r="BQN146" s="412"/>
      <c r="BQO146" s="412"/>
      <c r="BQP146" s="412"/>
      <c r="BQQ146" s="412"/>
      <c r="BQR146" s="412"/>
      <c r="BQS146" s="412"/>
      <c r="BQT146" s="412"/>
      <c r="BQU146" s="412"/>
      <c r="BQV146" s="412"/>
      <c r="BQW146" s="412"/>
      <c r="BQX146" s="412"/>
      <c r="BQY146" s="412"/>
      <c r="BQZ146" s="412"/>
      <c r="BRA146" s="412"/>
      <c r="BRB146" s="412"/>
      <c r="BRC146" s="412"/>
      <c r="BRD146" s="412"/>
      <c r="BRE146" s="412"/>
      <c r="BRF146" s="412"/>
      <c r="BRG146" s="412"/>
      <c r="BRH146" s="412"/>
      <c r="BRI146" s="412"/>
      <c r="BRJ146" s="412"/>
      <c r="BRK146" s="412"/>
      <c r="BRL146" s="412"/>
      <c r="BRM146" s="412"/>
      <c r="BRN146" s="412"/>
      <c r="BRO146" s="412"/>
      <c r="BRP146" s="412"/>
      <c r="BRQ146" s="412"/>
      <c r="BRR146" s="412"/>
      <c r="BRS146" s="412"/>
      <c r="BRT146" s="412"/>
      <c r="BRU146" s="412"/>
      <c r="BRV146" s="412"/>
      <c r="BRW146" s="412"/>
      <c r="BRX146" s="412"/>
      <c r="BRY146" s="412"/>
      <c r="BRZ146" s="412"/>
      <c r="BSA146" s="412"/>
      <c r="BSB146" s="412"/>
      <c r="BSC146" s="412"/>
      <c r="BSD146" s="412"/>
      <c r="BSE146" s="412"/>
      <c r="BSF146" s="412"/>
      <c r="BSG146" s="412"/>
      <c r="BSH146" s="412"/>
      <c r="BSI146" s="412"/>
      <c r="BSJ146" s="412"/>
      <c r="BSK146" s="412"/>
      <c r="BSL146" s="412"/>
      <c r="BSM146" s="412"/>
      <c r="BSN146" s="412"/>
      <c r="BSO146" s="412"/>
      <c r="BSP146" s="412"/>
      <c r="BSQ146" s="412"/>
      <c r="BSR146" s="412"/>
      <c r="BSS146" s="412"/>
      <c r="BST146" s="412"/>
      <c r="BSU146" s="412"/>
      <c r="BSV146" s="412"/>
      <c r="BSW146" s="412"/>
      <c r="BSX146" s="412"/>
      <c r="BSY146" s="412"/>
      <c r="BSZ146" s="412"/>
      <c r="BTA146" s="412"/>
      <c r="BTB146" s="412"/>
      <c r="BTC146" s="412"/>
      <c r="BTD146" s="412"/>
      <c r="BTE146" s="412"/>
      <c r="BTF146" s="412"/>
      <c r="BTG146" s="412"/>
      <c r="BTH146" s="412"/>
      <c r="BTI146" s="412"/>
    </row>
    <row r="147" spans="1:1881" ht="30.75" customHeight="1" x14ac:dyDescent="0.25">
      <c r="A147" s="190"/>
      <c r="B147" s="162" t="s">
        <v>1093</v>
      </c>
      <c r="C147" s="162"/>
      <c r="D147" s="155"/>
      <c r="E147" s="144"/>
      <c r="F147" s="753"/>
      <c r="G147" s="571"/>
      <c r="H147" s="13"/>
      <c r="I147" s="31"/>
    </row>
    <row r="148" spans="1:1881" ht="13.5" customHeight="1" x14ac:dyDescent="0.3">
      <c r="A148" s="190"/>
      <c r="B148" s="734" t="s">
        <v>205</v>
      </c>
      <c r="C148" s="161"/>
      <c r="D148" s="156"/>
      <c r="E148" s="156"/>
      <c r="F148" s="754"/>
      <c r="G148" s="575"/>
      <c r="H148" s="13"/>
      <c r="I148" s="31"/>
    </row>
    <row r="149" spans="1:1881" ht="17.25" customHeight="1" x14ac:dyDescent="0.3">
      <c r="A149" s="190"/>
      <c r="B149" s="161" t="s">
        <v>206</v>
      </c>
      <c r="C149" s="161"/>
      <c r="D149" s="145"/>
      <c r="E149" s="146"/>
      <c r="F149" s="755"/>
      <c r="G149" s="576"/>
      <c r="H149" s="13"/>
      <c r="I149" s="31"/>
    </row>
    <row r="150" spans="1:1881" ht="13.5" customHeight="1" x14ac:dyDescent="0.3">
      <c r="A150" s="190"/>
      <c r="B150" s="161" t="s">
        <v>25</v>
      </c>
      <c r="C150" s="161"/>
      <c r="D150" s="145"/>
      <c r="E150" s="146"/>
      <c r="F150" s="755"/>
      <c r="G150" s="576"/>
      <c r="H150" s="13"/>
      <c r="I150" s="31"/>
    </row>
    <row r="151" spans="1:1881" ht="59.25" customHeight="1" x14ac:dyDescent="0.25">
      <c r="A151" s="189">
        <v>51</v>
      </c>
      <c r="B151" s="64" t="s">
        <v>596</v>
      </c>
      <c r="C151" s="148" t="s">
        <v>207</v>
      </c>
      <c r="D151" s="166" t="s">
        <v>619</v>
      </c>
      <c r="E151" s="32" t="e">
        <f>HLOOKUP($D$2,'2019 Data(H)'!$C$1:$CG$300,38,FALSE)</f>
        <v>#N/A</v>
      </c>
      <c r="F151" s="609"/>
      <c r="G151" s="319"/>
      <c r="H151" s="13"/>
      <c r="I151" s="31"/>
    </row>
    <row r="152" spans="1:1881" ht="45" x14ac:dyDescent="0.25">
      <c r="A152" s="189">
        <v>332</v>
      </c>
      <c r="B152" s="64" t="s">
        <v>42</v>
      </c>
      <c r="C152" s="148" t="s">
        <v>207</v>
      </c>
      <c r="D152" s="166" t="s">
        <v>208</v>
      </c>
      <c r="E152" s="32" t="e">
        <f>HLOOKUP($D$2,'2019 Data(H)'!$C$1:$CG$300,98,FALSE)</f>
        <v>#N/A</v>
      </c>
      <c r="F152" s="609"/>
      <c r="G152" s="601">
        <f>IF(F152&lt;0,"Error: Enter as positive.",)</f>
        <v>0</v>
      </c>
      <c r="H152" s="13"/>
      <c r="I152" s="31"/>
    </row>
    <row r="153" spans="1:1881" ht="63" customHeight="1" x14ac:dyDescent="0.25">
      <c r="A153" s="189">
        <v>331</v>
      </c>
      <c r="B153" s="64" t="s">
        <v>596</v>
      </c>
      <c r="C153" s="148" t="s">
        <v>207</v>
      </c>
      <c r="D153" s="166" t="s">
        <v>209</v>
      </c>
      <c r="E153" s="32" t="e">
        <f>HLOOKUP($D$2,'2019 Data(H)'!$C$1:$CG$300,97,FALSE)</f>
        <v>#N/A</v>
      </c>
      <c r="F153" s="609"/>
      <c r="G153" s="601">
        <f>IF(F153&lt;0,"Error: Enter as positive.",)</f>
        <v>0</v>
      </c>
      <c r="H153" s="13"/>
      <c r="I153" s="31"/>
    </row>
    <row r="154" spans="1:1881" ht="18.75" x14ac:dyDescent="0.25">
      <c r="A154" s="190"/>
      <c r="B154" s="162" t="s">
        <v>6</v>
      </c>
      <c r="C154" s="161"/>
      <c r="D154" s="161"/>
      <c r="E154" s="156"/>
      <c r="F154" s="754"/>
      <c r="G154" s="578"/>
      <c r="H154" s="13"/>
      <c r="I154" s="31"/>
    </row>
    <row r="155" spans="1:1881" ht="48" customHeight="1" x14ac:dyDescent="0.25">
      <c r="A155" s="189">
        <v>55</v>
      </c>
      <c r="B155" s="160" t="s">
        <v>66</v>
      </c>
      <c r="C155" s="148" t="s">
        <v>210</v>
      </c>
      <c r="D155" s="166" t="s">
        <v>620</v>
      </c>
      <c r="E155" s="32" t="e">
        <f>HLOOKUP($D$2,'2019 Data(H)'!$C$1:$CG$300,42,FALSE)</f>
        <v>#N/A</v>
      </c>
      <c r="F155" s="609"/>
      <c r="G155" s="319"/>
      <c r="H155" s="13"/>
      <c r="I155" s="31"/>
    </row>
    <row r="156" spans="1:1881" ht="48" customHeight="1" x14ac:dyDescent="0.25">
      <c r="A156" s="189">
        <v>101</v>
      </c>
      <c r="B156" s="160" t="s">
        <v>72</v>
      </c>
      <c r="C156" s="148" t="s">
        <v>210</v>
      </c>
      <c r="D156" s="166" t="s">
        <v>211</v>
      </c>
      <c r="E156" s="32" t="e">
        <f>HLOOKUP($D$2,'2019 Data(H)'!$C$1:$CG$300,61,FALSE)</f>
        <v>#N/A</v>
      </c>
      <c r="F156" s="609"/>
      <c r="G156" s="601">
        <f>IF(F156&lt;0,"Error: Enter as positive.",)</f>
        <v>0</v>
      </c>
      <c r="H156" s="13"/>
      <c r="I156" s="31"/>
    </row>
    <row r="157" spans="1:1881" ht="52.5" customHeight="1" x14ac:dyDescent="0.25">
      <c r="A157" s="189">
        <v>100</v>
      </c>
      <c r="B157" s="160" t="s">
        <v>73</v>
      </c>
      <c r="C157" s="148" t="s">
        <v>210</v>
      </c>
      <c r="D157" s="166" t="s">
        <v>209</v>
      </c>
      <c r="E157" s="32" t="e">
        <f>HLOOKUP($D$2,'2019 Data(H)'!$C$1:$CG$300,60,FALSE)</f>
        <v>#N/A</v>
      </c>
      <c r="F157" s="609"/>
      <c r="G157" s="601">
        <f>IF(F157&lt;0,"Error: Enter as positive.",)</f>
        <v>0</v>
      </c>
      <c r="H157" s="13"/>
      <c r="I157" s="31"/>
    </row>
    <row r="158" spans="1:1881" ht="18.75" x14ac:dyDescent="0.25">
      <c r="A158" s="190"/>
      <c r="B158" s="137" t="s">
        <v>78</v>
      </c>
      <c r="C158" s="140"/>
      <c r="D158" s="156"/>
      <c r="E158" s="156"/>
      <c r="F158" s="756"/>
      <c r="G158" s="154"/>
      <c r="H158" s="67"/>
      <c r="I158" s="31"/>
      <c r="J158" s="368"/>
    </row>
    <row r="159" spans="1:1881" ht="60" x14ac:dyDescent="0.25">
      <c r="A159" s="189">
        <v>512</v>
      </c>
      <c r="B159" s="180"/>
      <c r="C159" s="148" t="s">
        <v>213</v>
      </c>
      <c r="D159" s="166" t="s">
        <v>212</v>
      </c>
      <c r="E159" s="32" t="e">
        <f>HLOOKUP($D$2,'2019 Data(H)'!$C$1:$CG$300,162,FALSE)</f>
        <v>#N/A</v>
      </c>
      <c r="F159" s="609"/>
      <c r="G159" s="601">
        <f>IF(F159&lt;0,"Error: Enter as positive.",)</f>
        <v>0</v>
      </c>
      <c r="H159" s="67"/>
      <c r="I159" s="31"/>
      <c r="J159" s="368"/>
    </row>
    <row r="160" spans="1:1881" s="632" customFormat="1" x14ac:dyDescent="0.25">
      <c r="A160" s="423"/>
      <c r="B160" s="162" t="s">
        <v>990</v>
      </c>
      <c r="C160" s="161"/>
      <c r="D160" s="155"/>
      <c r="E160" s="147"/>
      <c r="F160" s="756"/>
      <c r="G160" s="602"/>
      <c r="H160" s="150"/>
      <c r="I160" s="298"/>
      <c r="J160" s="633"/>
      <c r="K160" s="633"/>
      <c r="L160" s="633"/>
      <c r="M160" s="633"/>
      <c r="N160"/>
      <c r="O160" s="633"/>
      <c r="P160" s="633"/>
      <c r="Q160" s="633"/>
      <c r="R160" s="633"/>
      <c r="S160" s="633"/>
      <c r="T160" s="633"/>
      <c r="U160" s="633"/>
      <c r="V160" s="633"/>
      <c r="W160" s="633"/>
      <c r="X160" s="633"/>
      <c r="Y160" s="633"/>
      <c r="Z160" s="633"/>
      <c r="AA160" s="633"/>
      <c r="AB160" s="633"/>
      <c r="AC160" s="633"/>
      <c r="AD160" s="633"/>
      <c r="AE160" s="633"/>
      <c r="AF160" s="633"/>
      <c r="AG160" s="633"/>
      <c r="AH160" s="633"/>
      <c r="AI160" s="633"/>
      <c r="AJ160" s="633"/>
      <c r="AK160" s="633"/>
      <c r="AL160" s="633"/>
      <c r="AM160" s="633"/>
      <c r="AN160" s="633"/>
      <c r="AO160" s="633"/>
      <c r="AP160" s="633"/>
      <c r="AQ160" s="633"/>
      <c r="AR160" s="633"/>
      <c r="AS160" s="633"/>
      <c r="AT160" s="633"/>
      <c r="AU160" s="633"/>
      <c r="AV160" s="633"/>
      <c r="AW160" s="633"/>
      <c r="AX160" s="633"/>
      <c r="AY160" s="633"/>
      <c r="AZ160" s="633"/>
      <c r="BA160" s="633"/>
      <c r="BB160" s="633"/>
      <c r="BC160" s="633"/>
      <c r="BD160" s="633"/>
      <c r="BE160" s="633"/>
      <c r="BF160" s="633"/>
      <c r="BG160" s="633"/>
      <c r="BH160" s="633"/>
      <c r="BI160" s="633"/>
      <c r="BJ160" s="633"/>
      <c r="BK160" s="633"/>
      <c r="BL160" s="633"/>
      <c r="BM160" s="633"/>
      <c r="BN160" s="633"/>
      <c r="BO160" s="633"/>
      <c r="BP160" s="633"/>
      <c r="BQ160" s="633"/>
      <c r="BR160" s="633"/>
      <c r="BS160" s="633"/>
      <c r="BT160" s="633"/>
      <c r="BU160" s="633"/>
      <c r="BV160" s="633"/>
      <c r="BW160" s="633"/>
      <c r="BX160" s="633"/>
      <c r="BY160" s="633"/>
      <c r="BZ160" s="633"/>
      <c r="CA160" s="633"/>
      <c r="CB160" s="633"/>
      <c r="CC160" s="633"/>
      <c r="CD160" s="633"/>
      <c r="CE160" s="633"/>
      <c r="CF160" s="633"/>
      <c r="CG160" s="633"/>
      <c r="CH160" s="633"/>
      <c r="CI160" s="633"/>
      <c r="CJ160" s="633"/>
      <c r="CK160" s="633"/>
      <c r="CL160" s="633"/>
      <c r="CM160" s="633"/>
      <c r="CN160" s="633"/>
      <c r="CO160" s="633"/>
      <c r="CP160" s="633"/>
      <c r="CQ160" s="633"/>
      <c r="CR160" s="633"/>
      <c r="CS160" s="633"/>
      <c r="CT160" s="633"/>
      <c r="CU160" s="633"/>
      <c r="CV160" s="633"/>
      <c r="CW160" s="633"/>
      <c r="CX160" s="633"/>
      <c r="CY160" s="633"/>
      <c r="CZ160" s="633"/>
      <c r="DA160" s="633"/>
      <c r="DB160" s="633"/>
      <c r="DC160" s="633"/>
      <c r="DD160" s="633"/>
      <c r="DE160" s="633"/>
      <c r="DF160" s="633"/>
      <c r="DG160" s="633"/>
      <c r="DH160" s="633"/>
      <c r="DI160" s="633"/>
      <c r="DJ160" s="633"/>
      <c r="DK160" s="633"/>
      <c r="DL160" s="633"/>
      <c r="DM160" s="633"/>
      <c r="DN160" s="633"/>
      <c r="DO160" s="633"/>
      <c r="DP160" s="633"/>
      <c r="DQ160" s="633"/>
      <c r="DR160" s="633"/>
      <c r="DS160" s="633"/>
      <c r="DT160" s="633"/>
      <c r="DU160" s="633"/>
      <c r="DV160" s="633"/>
      <c r="DW160" s="633"/>
      <c r="DX160" s="633"/>
      <c r="DY160" s="633"/>
      <c r="DZ160" s="633"/>
      <c r="EA160" s="633"/>
      <c r="EB160" s="633"/>
      <c r="EC160" s="633"/>
      <c r="ED160" s="633"/>
      <c r="EE160" s="633"/>
      <c r="EF160" s="633"/>
      <c r="EG160" s="633"/>
      <c r="EH160" s="633"/>
      <c r="EI160" s="633"/>
      <c r="EJ160" s="633"/>
      <c r="EK160" s="633"/>
      <c r="EL160" s="633"/>
      <c r="EM160" s="633"/>
      <c r="EN160" s="633"/>
      <c r="EO160" s="633"/>
      <c r="EP160" s="633"/>
      <c r="EQ160" s="633"/>
      <c r="ER160" s="633"/>
      <c r="ES160" s="633"/>
      <c r="ET160" s="633"/>
      <c r="EU160" s="633"/>
      <c r="EV160" s="633"/>
      <c r="EW160" s="633"/>
      <c r="EX160" s="633"/>
      <c r="EY160" s="633"/>
      <c r="EZ160" s="633"/>
      <c r="FA160" s="633"/>
      <c r="FB160" s="633"/>
      <c r="FC160" s="633"/>
      <c r="FD160" s="633"/>
      <c r="FE160" s="633"/>
      <c r="FF160" s="633"/>
      <c r="FG160" s="633"/>
      <c r="FH160" s="633"/>
      <c r="FI160" s="633"/>
      <c r="FJ160" s="633"/>
      <c r="FK160" s="633"/>
      <c r="FL160" s="633"/>
      <c r="FM160" s="633"/>
      <c r="FN160" s="633"/>
      <c r="FO160" s="633"/>
      <c r="FP160" s="633"/>
      <c r="FQ160" s="633"/>
      <c r="FR160" s="633"/>
      <c r="FS160" s="633"/>
      <c r="FT160" s="633"/>
      <c r="FU160" s="633"/>
      <c r="FV160" s="633"/>
      <c r="FW160" s="633"/>
      <c r="FX160" s="633"/>
      <c r="FY160" s="633"/>
      <c r="FZ160" s="633"/>
      <c r="GA160" s="633"/>
      <c r="GB160" s="633"/>
      <c r="GC160" s="633"/>
      <c r="GD160" s="633"/>
      <c r="GE160" s="633"/>
      <c r="GF160" s="633"/>
      <c r="GG160" s="633"/>
      <c r="GH160" s="633"/>
      <c r="GI160" s="633"/>
      <c r="GJ160" s="633"/>
      <c r="GK160" s="633"/>
      <c r="GL160" s="633"/>
      <c r="GM160" s="633"/>
      <c r="GN160" s="633"/>
      <c r="GO160" s="633"/>
      <c r="GP160" s="633"/>
      <c r="GQ160" s="633"/>
      <c r="GR160" s="633"/>
      <c r="GS160" s="633"/>
      <c r="GT160" s="633"/>
      <c r="GU160" s="633"/>
      <c r="GV160" s="633"/>
      <c r="GW160" s="633"/>
      <c r="GX160" s="633"/>
      <c r="GY160" s="633"/>
      <c r="GZ160" s="633"/>
      <c r="HA160" s="633"/>
      <c r="HB160" s="633"/>
      <c r="HC160" s="633"/>
      <c r="HD160" s="633"/>
      <c r="HE160" s="633"/>
      <c r="HF160" s="633"/>
      <c r="HG160" s="633"/>
      <c r="HH160" s="633"/>
      <c r="HI160" s="633"/>
      <c r="HJ160" s="633"/>
      <c r="HK160" s="633"/>
      <c r="HL160" s="633"/>
      <c r="HM160" s="633"/>
      <c r="HN160" s="633"/>
      <c r="HO160" s="633"/>
      <c r="HP160" s="633"/>
      <c r="HQ160" s="633"/>
      <c r="HR160" s="633"/>
      <c r="HS160" s="633"/>
      <c r="HT160" s="633"/>
      <c r="HU160" s="633"/>
      <c r="HV160" s="633"/>
      <c r="HW160" s="633"/>
      <c r="HX160" s="633"/>
      <c r="HY160" s="633"/>
      <c r="HZ160" s="633"/>
      <c r="IA160" s="633"/>
      <c r="IB160" s="633"/>
      <c r="IC160" s="633"/>
      <c r="ID160" s="633"/>
      <c r="IE160" s="633"/>
      <c r="IF160" s="633"/>
      <c r="IG160" s="633"/>
      <c r="IH160" s="633"/>
      <c r="II160" s="633"/>
      <c r="IJ160" s="633"/>
      <c r="IK160" s="633"/>
      <c r="IL160" s="633"/>
      <c r="IM160" s="633"/>
      <c r="IN160" s="633"/>
      <c r="IO160" s="633"/>
      <c r="IP160" s="633"/>
      <c r="IQ160" s="633"/>
      <c r="IR160" s="633"/>
      <c r="IS160" s="633"/>
      <c r="IT160" s="633"/>
      <c r="IU160" s="633"/>
      <c r="IV160" s="633"/>
      <c r="IW160" s="633"/>
      <c r="IX160" s="633"/>
      <c r="IY160" s="633"/>
      <c r="IZ160" s="633"/>
      <c r="JA160" s="633"/>
      <c r="JB160" s="633"/>
      <c r="JC160" s="633"/>
      <c r="JD160" s="633"/>
      <c r="JE160" s="633"/>
      <c r="JF160" s="633"/>
      <c r="JG160" s="633"/>
      <c r="JH160" s="633"/>
      <c r="JI160" s="633"/>
      <c r="JJ160" s="633"/>
      <c r="JK160" s="633"/>
      <c r="JL160" s="633"/>
      <c r="JM160" s="633"/>
      <c r="JN160" s="633"/>
      <c r="JO160" s="633"/>
      <c r="JP160" s="633"/>
      <c r="JQ160" s="633"/>
      <c r="JR160" s="633"/>
      <c r="JS160" s="633"/>
      <c r="JT160" s="633"/>
      <c r="JU160" s="633"/>
      <c r="JV160" s="633"/>
      <c r="JW160" s="633"/>
      <c r="JX160" s="633"/>
      <c r="JY160" s="633"/>
      <c r="JZ160" s="633"/>
      <c r="KA160" s="633"/>
      <c r="KB160" s="633"/>
      <c r="KC160" s="633"/>
      <c r="KD160" s="633"/>
      <c r="KE160" s="633"/>
      <c r="KF160" s="633"/>
      <c r="KG160" s="633"/>
      <c r="KH160" s="633"/>
      <c r="KI160" s="633"/>
      <c r="KJ160" s="633"/>
      <c r="KK160" s="633"/>
      <c r="KL160" s="633"/>
      <c r="KM160" s="633"/>
      <c r="KN160" s="633"/>
      <c r="KO160" s="633"/>
      <c r="KP160" s="633"/>
      <c r="KQ160" s="633"/>
      <c r="KR160" s="633"/>
      <c r="KS160" s="633"/>
      <c r="KT160" s="633"/>
      <c r="KU160" s="633"/>
      <c r="KV160" s="633"/>
      <c r="KW160" s="633"/>
      <c r="KX160" s="633"/>
      <c r="KY160" s="633"/>
      <c r="KZ160" s="633"/>
      <c r="LA160" s="633"/>
      <c r="LB160" s="633"/>
      <c r="LC160" s="633"/>
      <c r="LD160" s="633"/>
      <c r="LE160" s="633"/>
      <c r="LF160" s="633"/>
      <c r="LG160" s="633"/>
      <c r="LH160" s="633"/>
      <c r="LI160" s="633"/>
      <c r="LJ160" s="633"/>
      <c r="LK160" s="633"/>
      <c r="LL160" s="633"/>
      <c r="LM160" s="633"/>
      <c r="LN160" s="633"/>
      <c r="LO160" s="633"/>
      <c r="LP160" s="633"/>
      <c r="LQ160" s="633"/>
      <c r="LR160" s="633"/>
      <c r="LS160" s="633"/>
      <c r="LT160" s="633"/>
      <c r="LU160" s="633"/>
      <c r="LV160" s="633"/>
      <c r="LW160" s="633"/>
      <c r="LX160" s="633"/>
      <c r="LY160" s="633"/>
      <c r="LZ160" s="633"/>
      <c r="MA160" s="633"/>
      <c r="MB160" s="633"/>
      <c r="MC160" s="633"/>
      <c r="MD160" s="633"/>
      <c r="ME160" s="633"/>
      <c r="MF160" s="633"/>
      <c r="MG160" s="633"/>
      <c r="MH160" s="633"/>
      <c r="MI160" s="633"/>
      <c r="MJ160" s="633"/>
      <c r="MK160" s="633"/>
      <c r="ML160" s="633"/>
      <c r="MM160" s="633"/>
      <c r="MN160" s="633"/>
      <c r="MO160" s="633"/>
      <c r="MP160" s="633"/>
      <c r="MQ160" s="633"/>
      <c r="MR160" s="633"/>
      <c r="MS160" s="633"/>
      <c r="MT160" s="633"/>
      <c r="MU160" s="633"/>
      <c r="MV160" s="633"/>
      <c r="MW160" s="633"/>
      <c r="MX160" s="633"/>
      <c r="MY160" s="633"/>
      <c r="MZ160" s="633"/>
      <c r="NA160" s="633"/>
      <c r="NB160" s="633"/>
      <c r="NC160" s="633"/>
      <c r="ND160" s="633"/>
      <c r="NE160" s="633"/>
      <c r="NF160" s="633"/>
      <c r="NG160" s="633"/>
      <c r="NH160" s="633"/>
      <c r="NI160" s="633"/>
      <c r="NJ160" s="633"/>
      <c r="NK160" s="633"/>
      <c r="NL160" s="633"/>
      <c r="NM160" s="633"/>
      <c r="NN160" s="633"/>
      <c r="NO160" s="633"/>
      <c r="NP160" s="633"/>
      <c r="NQ160" s="633"/>
      <c r="NR160" s="633"/>
      <c r="NS160" s="633"/>
      <c r="NT160" s="633"/>
      <c r="NU160" s="633"/>
      <c r="NV160" s="633"/>
      <c r="NW160" s="633"/>
      <c r="NX160" s="633"/>
      <c r="NY160" s="633"/>
      <c r="NZ160" s="633"/>
      <c r="OA160" s="633"/>
      <c r="OB160" s="633"/>
      <c r="OC160" s="633"/>
      <c r="OD160" s="633"/>
      <c r="OE160" s="633"/>
      <c r="OF160" s="633"/>
      <c r="OG160" s="633"/>
      <c r="OH160" s="633"/>
      <c r="OI160" s="633"/>
      <c r="OJ160" s="633"/>
      <c r="OK160" s="633"/>
      <c r="OL160" s="633"/>
      <c r="OM160" s="633"/>
      <c r="ON160" s="633"/>
      <c r="OO160" s="633"/>
      <c r="OP160" s="633"/>
      <c r="OQ160" s="633"/>
      <c r="OR160" s="633"/>
      <c r="OS160" s="633"/>
      <c r="OT160" s="633"/>
      <c r="OU160" s="633"/>
      <c r="OV160" s="633"/>
      <c r="OW160" s="633"/>
      <c r="OX160" s="633"/>
      <c r="OY160" s="633"/>
      <c r="OZ160" s="633"/>
      <c r="PA160" s="633"/>
      <c r="PB160" s="633"/>
      <c r="PC160" s="633"/>
      <c r="PD160" s="633"/>
      <c r="PE160" s="633"/>
      <c r="PF160" s="633"/>
      <c r="PG160" s="633"/>
      <c r="PH160" s="633"/>
      <c r="PI160" s="633"/>
      <c r="PJ160" s="633"/>
      <c r="PK160" s="633"/>
      <c r="PL160" s="633"/>
      <c r="PM160" s="633"/>
      <c r="PN160" s="633"/>
      <c r="PO160" s="633"/>
      <c r="PP160" s="633"/>
      <c r="PQ160" s="633"/>
      <c r="PR160" s="633"/>
      <c r="PS160" s="633"/>
      <c r="PT160" s="633"/>
      <c r="PU160" s="633"/>
      <c r="PV160" s="633"/>
      <c r="PW160" s="633"/>
      <c r="PX160" s="633"/>
      <c r="PY160" s="633"/>
      <c r="PZ160" s="633"/>
      <c r="QA160" s="633"/>
      <c r="QB160" s="633"/>
      <c r="QC160" s="633"/>
      <c r="QD160" s="633"/>
      <c r="QE160" s="633"/>
      <c r="QF160" s="633"/>
      <c r="QG160" s="633"/>
      <c r="QH160" s="633"/>
      <c r="QI160" s="633"/>
      <c r="QJ160" s="633"/>
      <c r="QK160" s="633"/>
      <c r="QL160" s="633"/>
      <c r="QM160" s="633"/>
      <c r="QN160" s="633"/>
      <c r="QO160" s="633"/>
      <c r="QP160" s="633"/>
      <c r="QQ160" s="633"/>
      <c r="QR160" s="633"/>
      <c r="QS160" s="633"/>
      <c r="QT160" s="633"/>
      <c r="QU160" s="633"/>
      <c r="QV160" s="633"/>
      <c r="QW160" s="633"/>
      <c r="QX160" s="633"/>
      <c r="QY160" s="633"/>
      <c r="QZ160" s="633"/>
      <c r="RA160" s="633"/>
      <c r="RB160" s="633"/>
      <c r="RC160" s="633"/>
      <c r="RD160" s="633"/>
      <c r="RE160" s="633"/>
      <c r="RF160" s="633"/>
      <c r="RG160" s="633"/>
      <c r="RH160" s="633"/>
      <c r="RI160" s="633"/>
      <c r="RJ160" s="633"/>
      <c r="RK160" s="633"/>
      <c r="RL160" s="633"/>
      <c r="RM160" s="633"/>
      <c r="RN160" s="633"/>
      <c r="RO160" s="633"/>
      <c r="RP160" s="633"/>
      <c r="RQ160" s="633"/>
      <c r="RR160" s="633"/>
      <c r="RS160" s="633"/>
      <c r="RT160" s="633"/>
      <c r="RU160" s="633"/>
      <c r="RV160" s="633"/>
      <c r="RW160" s="633"/>
      <c r="RX160" s="633"/>
      <c r="RY160" s="633"/>
      <c r="RZ160" s="633"/>
      <c r="SA160" s="633"/>
      <c r="SB160" s="633"/>
      <c r="SC160" s="633"/>
      <c r="SD160" s="633"/>
      <c r="SE160" s="633"/>
      <c r="SF160" s="633"/>
      <c r="SG160" s="633"/>
      <c r="SH160" s="633"/>
      <c r="SI160" s="633"/>
      <c r="SJ160" s="633"/>
      <c r="SK160" s="633"/>
      <c r="SL160" s="633"/>
      <c r="SM160" s="633"/>
      <c r="SN160" s="633"/>
      <c r="SO160" s="633"/>
      <c r="SP160" s="633"/>
      <c r="SQ160" s="633"/>
      <c r="SR160" s="633"/>
      <c r="SS160" s="633"/>
      <c r="ST160" s="633"/>
      <c r="SU160" s="633"/>
      <c r="SV160" s="633"/>
      <c r="SW160" s="633"/>
      <c r="SX160" s="633"/>
      <c r="SY160" s="633"/>
      <c r="SZ160" s="633"/>
      <c r="TA160" s="633"/>
      <c r="TB160" s="633"/>
      <c r="TC160" s="633"/>
      <c r="TD160" s="633"/>
      <c r="TE160" s="633"/>
      <c r="TF160" s="633"/>
      <c r="TG160" s="633"/>
      <c r="TH160" s="633"/>
      <c r="TI160" s="633"/>
      <c r="TJ160" s="633"/>
      <c r="TK160" s="633"/>
      <c r="TL160" s="633"/>
      <c r="TM160" s="633"/>
      <c r="TN160" s="633"/>
      <c r="TO160" s="633"/>
      <c r="TP160" s="633"/>
      <c r="TQ160" s="633"/>
      <c r="TR160" s="633"/>
      <c r="TS160" s="633"/>
      <c r="TT160" s="633"/>
      <c r="TU160" s="633"/>
      <c r="TV160" s="633"/>
      <c r="TW160" s="633"/>
      <c r="TX160" s="633"/>
      <c r="TY160" s="633"/>
      <c r="TZ160" s="633"/>
      <c r="UA160" s="633"/>
      <c r="UB160" s="633"/>
      <c r="UC160" s="633"/>
      <c r="UD160" s="633"/>
      <c r="UE160" s="633"/>
      <c r="UF160" s="633"/>
      <c r="UG160" s="633"/>
      <c r="UH160" s="633"/>
      <c r="UI160" s="633"/>
      <c r="UJ160" s="633"/>
      <c r="UK160" s="633"/>
      <c r="UL160" s="633"/>
      <c r="UM160" s="633"/>
      <c r="UN160" s="633"/>
      <c r="UO160" s="633"/>
      <c r="UP160" s="633"/>
      <c r="UQ160" s="633"/>
      <c r="UR160" s="633"/>
      <c r="US160" s="633"/>
      <c r="UT160" s="633"/>
      <c r="UU160" s="633"/>
      <c r="UV160" s="633"/>
      <c r="UW160" s="633"/>
      <c r="UX160" s="633"/>
      <c r="UY160" s="633"/>
      <c r="UZ160" s="633"/>
      <c r="VA160" s="633"/>
      <c r="VB160" s="633"/>
      <c r="VC160" s="633"/>
      <c r="VD160" s="633"/>
      <c r="VE160" s="633"/>
      <c r="VF160" s="633"/>
      <c r="VG160" s="633"/>
      <c r="VH160" s="633"/>
      <c r="VI160" s="633"/>
      <c r="VJ160" s="633"/>
      <c r="VK160" s="633"/>
      <c r="VL160" s="633"/>
      <c r="VM160" s="633"/>
      <c r="VN160" s="633"/>
      <c r="VO160" s="633"/>
      <c r="VP160" s="633"/>
      <c r="VQ160" s="633"/>
      <c r="VR160" s="633"/>
      <c r="VS160" s="633"/>
      <c r="VT160" s="633"/>
      <c r="VU160" s="633"/>
      <c r="VV160" s="633"/>
      <c r="VW160" s="633"/>
      <c r="VX160" s="633"/>
      <c r="VY160" s="633"/>
      <c r="VZ160" s="633"/>
      <c r="WA160" s="633"/>
      <c r="WB160" s="633"/>
      <c r="WC160" s="633"/>
      <c r="WD160" s="633"/>
      <c r="WE160" s="633"/>
      <c r="WF160" s="633"/>
      <c r="WG160" s="633"/>
      <c r="WH160" s="633"/>
      <c r="WI160" s="633"/>
      <c r="WJ160" s="633"/>
      <c r="WK160" s="633"/>
      <c r="WL160" s="633"/>
      <c r="WM160" s="633"/>
      <c r="WN160" s="633"/>
      <c r="WO160" s="633"/>
      <c r="WP160" s="633"/>
      <c r="WQ160" s="633"/>
      <c r="WR160" s="633"/>
      <c r="WS160" s="633"/>
      <c r="WT160" s="633"/>
      <c r="WU160" s="633"/>
      <c r="WV160" s="633"/>
      <c r="WW160" s="633"/>
      <c r="WX160" s="633"/>
      <c r="WY160" s="633"/>
      <c r="WZ160" s="633"/>
      <c r="XA160" s="633"/>
      <c r="XB160" s="633"/>
      <c r="XC160" s="633"/>
      <c r="XD160" s="633"/>
      <c r="XE160" s="633"/>
      <c r="XF160" s="633"/>
      <c r="XG160" s="633"/>
      <c r="XH160" s="633"/>
      <c r="XI160" s="633"/>
      <c r="XJ160" s="633"/>
      <c r="XK160" s="633"/>
      <c r="XL160" s="633"/>
      <c r="XM160" s="633"/>
      <c r="XN160" s="633"/>
      <c r="XO160" s="633"/>
      <c r="XP160" s="633"/>
      <c r="XQ160" s="633"/>
      <c r="XR160" s="633"/>
      <c r="XS160" s="633"/>
      <c r="XT160" s="633"/>
      <c r="XU160" s="633"/>
      <c r="XV160" s="633"/>
      <c r="XW160" s="633"/>
      <c r="XX160" s="633"/>
      <c r="XY160" s="633"/>
      <c r="XZ160" s="633"/>
      <c r="YA160" s="633"/>
      <c r="YB160" s="633"/>
      <c r="YC160" s="633"/>
      <c r="YD160" s="633"/>
      <c r="YE160" s="633"/>
      <c r="YF160" s="633"/>
      <c r="YG160" s="633"/>
      <c r="YH160" s="633"/>
      <c r="YI160" s="633"/>
      <c r="YJ160" s="633"/>
      <c r="YK160" s="633"/>
      <c r="YL160" s="633"/>
      <c r="YM160" s="633"/>
      <c r="YN160" s="633"/>
      <c r="YO160" s="633"/>
      <c r="YP160" s="633"/>
      <c r="YQ160" s="633"/>
      <c r="YR160" s="633"/>
      <c r="YS160" s="633"/>
      <c r="YT160" s="633"/>
      <c r="YU160" s="633"/>
      <c r="YV160" s="633"/>
      <c r="YW160" s="633"/>
      <c r="YX160" s="633"/>
      <c r="YY160" s="633"/>
      <c r="YZ160" s="633"/>
      <c r="ZA160" s="633"/>
      <c r="ZB160" s="633"/>
      <c r="ZC160" s="633"/>
      <c r="ZD160" s="633"/>
      <c r="ZE160" s="633"/>
      <c r="ZF160" s="633"/>
      <c r="ZG160" s="633"/>
      <c r="ZH160" s="633"/>
      <c r="ZI160" s="633"/>
      <c r="ZJ160" s="633"/>
      <c r="ZK160" s="633"/>
      <c r="ZL160" s="633"/>
      <c r="ZM160" s="633"/>
      <c r="ZN160" s="633"/>
      <c r="ZO160" s="633"/>
      <c r="ZP160" s="633"/>
      <c r="ZQ160" s="633"/>
      <c r="ZR160" s="633"/>
      <c r="ZS160" s="633"/>
      <c r="ZT160" s="633"/>
      <c r="ZU160" s="633"/>
      <c r="ZV160" s="633"/>
      <c r="ZW160" s="633"/>
      <c r="ZX160" s="633"/>
      <c r="ZY160" s="633"/>
      <c r="ZZ160" s="633"/>
      <c r="AAA160" s="633"/>
      <c r="AAB160" s="633"/>
      <c r="AAC160" s="633"/>
      <c r="AAD160" s="633"/>
      <c r="AAE160" s="633"/>
      <c r="AAF160" s="633"/>
      <c r="AAG160" s="633"/>
      <c r="AAH160" s="633"/>
      <c r="AAI160" s="633"/>
      <c r="AAJ160" s="633"/>
      <c r="AAK160" s="633"/>
      <c r="AAL160" s="633"/>
      <c r="AAM160" s="633"/>
      <c r="AAN160" s="633"/>
      <c r="AAO160" s="633"/>
      <c r="AAP160" s="633"/>
      <c r="AAQ160" s="633"/>
      <c r="AAR160" s="633"/>
      <c r="AAS160" s="633"/>
      <c r="AAT160" s="633"/>
      <c r="AAU160" s="633"/>
      <c r="AAV160" s="633"/>
      <c r="AAW160" s="633"/>
      <c r="AAX160" s="633"/>
      <c r="AAY160" s="633"/>
      <c r="AAZ160" s="633"/>
      <c r="ABA160" s="633"/>
      <c r="ABB160" s="633"/>
      <c r="ABC160" s="633"/>
      <c r="ABD160" s="633"/>
      <c r="ABE160" s="633"/>
      <c r="ABF160" s="633"/>
      <c r="ABG160" s="633"/>
      <c r="ABH160" s="633"/>
      <c r="ABI160" s="633"/>
      <c r="ABJ160" s="633"/>
      <c r="ABK160" s="633"/>
      <c r="ABL160" s="633"/>
      <c r="ABM160" s="633"/>
      <c r="ABN160" s="633"/>
      <c r="ABO160" s="633"/>
      <c r="ABP160" s="633"/>
      <c r="ABQ160" s="633"/>
      <c r="ABR160" s="633"/>
      <c r="ABS160" s="633"/>
      <c r="ABT160" s="633"/>
      <c r="ABU160" s="633"/>
      <c r="ABV160" s="633"/>
      <c r="ABW160" s="633"/>
      <c r="ABX160" s="633"/>
      <c r="ABY160" s="633"/>
      <c r="ABZ160" s="633"/>
      <c r="ACA160" s="633"/>
      <c r="ACB160" s="633"/>
      <c r="ACC160" s="633"/>
      <c r="ACD160" s="633"/>
      <c r="ACE160" s="633"/>
      <c r="ACF160" s="633"/>
      <c r="ACG160" s="633"/>
      <c r="ACH160" s="633"/>
      <c r="ACI160" s="633"/>
      <c r="ACJ160" s="633"/>
      <c r="ACK160" s="633"/>
      <c r="ACL160" s="633"/>
      <c r="ACM160" s="633"/>
      <c r="ACN160" s="633"/>
      <c r="ACO160" s="633"/>
      <c r="ACP160" s="633"/>
      <c r="ACQ160" s="633"/>
      <c r="ACR160" s="633"/>
      <c r="ACS160" s="633"/>
      <c r="ACT160" s="633"/>
      <c r="ACU160" s="633"/>
      <c r="ACV160" s="633"/>
      <c r="ACW160" s="633"/>
      <c r="ACX160" s="633"/>
      <c r="ACY160" s="633"/>
      <c r="ACZ160" s="633"/>
      <c r="ADA160" s="633"/>
      <c r="ADB160" s="633"/>
      <c r="ADC160" s="633"/>
      <c r="ADD160" s="633"/>
      <c r="ADE160" s="633"/>
      <c r="ADF160" s="633"/>
      <c r="ADG160" s="633"/>
      <c r="ADH160" s="633"/>
      <c r="ADI160" s="633"/>
      <c r="ADJ160" s="633"/>
      <c r="ADK160" s="633"/>
      <c r="ADL160" s="633"/>
      <c r="ADM160" s="633"/>
      <c r="ADN160" s="633"/>
      <c r="ADO160" s="633"/>
      <c r="ADP160" s="633"/>
      <c r="ADQ160" s="633"/>
      <c r="ADR160" s="633"/>
      <c r="ADS160" s="633"/>
      <c r="ADT160" s="633"/>
      <c r="ADU160" s="633"/>
      <c r="ADV160" s="633"/>
      <c r="ADW160" s="633"/>
      <c r="ADX160" s="633"/>
      <c r="ADY160" s="633"/>
      <c r="ADZ160" s="633"/>
      <c r="AEA160" s="633"/>
      <c r="AEB160" s="633"/>
      <c r="AEC160" s="633"/>
      <c r="AED160" s="633"/>
      <c r="AEE160" s="633"/>
      <c r="AEF160" s="633"/>
      <c r="AEG160" s="633"/>
      <c r="AEH160" s="633"/>
      <c r="AEI160" s="633"/>
      <c r="AEJ160" s="633"/>
      <c r="AEK160" s="633"/>
      <c r="AEL160" s="633"/>
      <c r="AEM160" s="633"/>
      <c r="AEN160" s="633"/>
      <c r="AEO160" s="633"/>
      <c r="AEP160" s="633"/>
      <c r="AEQ160" s="633"/>
      <c r="AER160" s="633"/>
      <c r="AES160" s="633"/>
      <c r="AET160" s="633"/>
      <c r="AEU160" s="633"/>
      <c r="AEV160" s="633"/>
      <c r="AEW160" s="633"/>
      <c r="AEX160" s="633"/>
      <c r="AEY160" s="633"/>
      <c r="AEZ160" s="633"/>
      <c r="AFA160" s="633"/>
      <c r="AFB160" s="633"/>
      <c r="AFC160" s="633"/>
      <c r="AFD160" s="633"/>
      <c r="AFE160" s="633"/>
      <c r="AFF160" s="633"/>
      <c r="AFG160" s="633"/>
      <c r="AFH160" s="633"/>
      <c r="AFI160" s="633"/>
      <c r="AFJ160" s="633"/>
      <c r="AFK160" s="633"/>
      <c r="AFL160" s="633"/>
      <c r="AFM160" s="633"/>
      <c r="AFN160" s="633"/>
      <c r="AFO160" s="633"/>
      <c r="AFP160" s="633"/>
      <c r="AFQ160" s="633"/>
      <c r="AFR160" s="633"/>
      <c r="AFS160" s="633"/>
      <c r="AFT160" s="633"/>
      <c r="AFU160" s="633"/>
      <c r="AFV160" s="633"/>
      <c r="AFW160" s="633"/>
      <c r="AFX160" s="633"/>
      <c r="AFY160" s="633"/>
      <c r="AFZ160" s="633"/>
      <c r="AGA160" s="633"/>
      <c r="AGB160" s="633"/>
      <c r="AGC160" s="633"/>
      <c r="AGD160" s="633"/>
      <c r="AGE160" s="633"/>
      <c r="AGF160" s="633"/>
      <c r="AGG160" s="633"/>
      <c r="AGH160" s="633"/>
      <c r="AGI160" s="633"/>
      <c r="AGJ160" s="633"/>
      <c r="AGK160" s="633"/>
      <c r="AGL160" s="633"/>
      <c r="AGM160" s="633"/>
      <c r="AGN160" s="633"/>
      <c r="AGO160" s="633"/>
      <c r="AGP160" s="633"/>
      <c r="AGQ160" s="633"/>
      <c r="AGR160" s="633"/>
      <c r="AGS160" s="633"/>
      <c r="AGT160" s="633"/>
      <c r="AGU160" s="633"/>
      <c r="AGV160" s="633"/>
      <c r="AGW160" s="633"/>
      <c r="AGX160" s="633"/>
      <c r="AGY160" s="633"/>
      <c r="AGZ160" s="633"/>
      <c r="AHA160" s="633"/>
      <c r="AHB160" s="633"/>
      <c r="AHC160" s="633"/>
      <c r="AHD160" s="633"/>
      <c r="AHE160" s="633"/>
      <c r="AHF160" s="633"/>
      <c r="AHG160" s="633"/>
      <c r="AHH160" s="633"/>
      <c r="AHI160" s="633"/>
      <c r="AHJ160" s="633"/>
      <c r="AHK160" s="633"/>
      <c r="AHL160" s="633"/>
      <c r="AHM160" s="633"/>
      <c r="AHN160" s="633"/>
      <c r="AHO160" s="633"/>
      <c r="AHP160" s="633"/>
      <c r="AHQ160" s="633"/>
      <c r="AHR160" s="633"/>
      <c r="AHS160" s="633"/>
      <c r="AHT160" s="633"/>
      <c r="AHU160" s="633"/>
      <c r="AHV160" s="633"/>
      <c r="AHW160" s="633"/>
      <c r="AHX160" s="633"/>
      <c r="AHY160" s="633"/>
      <c r="AHZ160" s="633"/>
      <c r="AIA160" s="633"/>
      <c r="AIB160" s="633"/>
      <c r="AIC160" s="633"/>
      <c r="AID160" s="633"/>
      <c r="AIE160" s="633"/>
      <c r="AIF160" s="633"/>
      <c r="AIG160" s="633"/>
      <c r="AIH160" s="633"/>
      <c r="AII160" s="633"/>
      <c r="AIJ160" s="633"/>
      <c r="AIK160" s="633"/>
      <c r="AIL160" s="633"/>
      <c r="AIM160" s="633"/>
      <c r="AIN160" s="633"/>
      <c r="AIO160" s="633"/>
      <c r="AIP160" s="633"/>
      <c r="AIQ160" s="633"/>
      <c r="AIR160" s="633"/>
      <c r="AIS160" s="633"/>
      <c r="AIT160" s="633"/>
      <c r="AIU160" s="633"/>
      <c r="AIV160" s="633"/>
      <c r="AIW160" s="633"/>
      <c r="AIX160" s="633"/>
      <c r="AIY160" s="633"/>
      <c r="AIZ160" s="633"/>
      <c r="AJA160" s="633"/>
      <c r="AJB160" s="633"/>
      <c r="AJC160" s="633"/>
      <c r="AJD160" s="633"/>
      <c r="AJE160" s="633"/>
      <c r="AJF160" s="633"/>
      <c r="AJG160" s="633"/>
      <c r="AJH160" s="633"/>
      <c r="AJI160" s="633"/>
      <c r="AJJ160" s="633"/>
      <c r="AJK160" s="633"/>
      <c r="AJL160" s="633"/>
      <c r="AJM160" s="633"/>
      <c r="AJN160" s="633"/>
      <c r="AJO160" s="633"/>
      <c r="AJP160" s="633"/>
      <c r="AJQ160" s="633"/>
      <c r="AJR160" s="633"/>
      <c r="AJS160" s="633"/>
      <c r="AJT160" s="633"/>
      <c r="AJU160" s="633"/>
      <c r="AJV160" s="633"/>
      <c r="AJW160" s="633"/>
      <c r="AJX160" s="633"/>
      <c r="AJY160" s="633"/>
      <c r="AJZ160" s="633"/>
      <c r="AKA160" s="633"/>
      <c r="AKB160" s="633"/>
      <c r="AKC160" s="633"/>
      <c r="AKD160" s="633"/>
      <c r="AKE160" s="633"/>
      <c r="AKF160" s="633"/>
      <c r="AKG160" s="633"/>
      <c r="AKH160" s="633"/>
      <c r="AKI160" s="633"/>
      <c r="AKJ160" s="633"/>
      <c r="AKK160" s="633"/>
      <c r="AKL160" s="633"/>
      <c r="AKM160" s="633"/>
      <c r="AKN160" s="633"/>
      <c r="AKO160" s="633"/>
      <c r="AKP160" s="633"/>
      <c r="AKQ160" s="633"/>
      <c r="AKR160" s="633"/>
      <c r="AKS160" s="633"/>
      <c r="AKT160" s="633"/>
      <c r="AKU160" s="633"/>
      <c r="AKV160" s="633"/>
      <c r="AKW160" s="633"/>
      <c r="AKX160" s="633"/>
      <c r="AKY160" s="633"/>
      <c r="AKZ160" s="633"/>
      <c r="ALA160" s="633"/>
      <c r="ALB160" s="633"/>
      <c r="ALC160" s="633"/>
      <c r="ALD160" s="633"/>
      <c r="ALE160" s="633"/>
      <c r="ALF160" s="633"/>
      <c r="ALG160" s="633"/>
      <c r="ALH160" s="633"/>
      <c r="ALI160" s="633"/>
      <c r="ALJ160" s="633"/>
      <c r="ALK160" s="633"/>
      <c r="ALL160" s="633"/>
      <c r="ALM160" s="633"/>
      <c r="ALN160" s="633"/>
      <c r="ALO160" s="633"/>
      <c r="ALP160" s="633"/>
      <c r="ALQ160" s="633"/>
      <c r="ALR160" s="633"/>
      <c r="ALS160" s="633"/>
      <c r="ALT160" s="633"/>
      <c r="ALU160" s="633"/>
      <c r="ALV160" s="633"/>
      <c r="ALW160" s="633"/>
      <c r="ALX160" s="633"/>
      <c r="ALY160" s="633"/>
      <c r="ALZ160" s="633"/>
      <c r="AMA160" s="633"/>
      <c r="AMB160" s="633"/>
      <c r="AMC160" s="633"/>
      <c r="AMD160" s="633"/>
      <c r="AME160" s="633"/>
      <c r="AMF160" s="633"/>
      <c r="AMG160" s="633"/>
      <c r="AMH160" s="633"/>
      <c r="AMI160" s="633"/>
      <c r="AMJ160" s="633"/>
      <c r="AMK160" s="633"/>
      <c r="AML160" s="633"/>
      <c r="AMM160" s="633"/>
      <c r="AMN160" s="633"/>
      <c r="AMO160" s="633"/>
      <c r="AMP160" s="633"/>
      <c r="AMQ160" s="633"/>
      <c r="AMR160" s="633"/>
      <c r="AMS160" s="633"/>
      <c r="AMT160" s="633"/>
      <c r="AMU160" s="633"/>
      <c r="AMV160" s="633"/>
      <c r="AMW160" s="633"/>
      <c r="AMX160" s="633"/>
      <c r="AMY160" s="633"/>
      <c r="AMZ160" s="633"/>
      <c r="ANA160" s="633"/>
      <c r="ANB160" s="633"/>
      <c r="ANC160" s="633"/>
      <c r="AND160" s="633"/>
      <c r="ANE160" s="633"/>
      <c r="ANF160" s="633"/>
      <c r="ANG160" s="633"/>
      <c r="ANH160" s="633"/>
      <c r="ANI160" s="633"/>
      <c r="ANJ160" s="633"/>
      <c r="ANK160" s="633"/>
      <c r="ANL160" s="633"/>
      <c r="ANM160" s="633"/>
      <c r="ANN160" s="633"/>
      <c r="ANO160" s="633"/>
      <c r="ANP160" s="633"/>
      <c r="ANQ160" s="633"/>
      <c r="ANR160" s="633"/>
      <c r="ANS160" s="633"/>
      <c r="ANT160" s="633"/>
      <c r="ANU160" s="633"/>
      <c r="ANV160" s="633"/>
      <c r="ANW160" s="633"/>
      <c r="ANX160" s="633"/>
      <c r="ANY160" s="633"/>
      <c r="ANZ160" s="633"/>
      <c r="AOA160" s="633"/>
      <c r="AOB160" s="633"/>
      <c r="AOC160" s="633"/>
      <c r="AOD160" s="633"/>
      <c r="AOE160" s="633"/>
      <c r="AOF160" s="633"/>
      <c r="AOG160" s="633"/>
      <c r="AOH160" s="633"/>
      <c r="AOI160" s="633"/>
      <c r="AOJ160" s="633"/>
      <c r="AOK160" s="633"/>
      <c r="AOL160" s="633"/>
      <c r="AOM160" s="633"/>
      <c r="AON160" s="633"/>
      <c r="AOO160" s="633"/>
      <c r="AOP160" s="633"/>
      <c r="AOQ160" s="633"/>
      <c r="AOR160" s="633"/>
      <c r="AOS160" s="633"/>
      <c r="AOT160" s="633"/>
      <c r="AOU160" s="633"/>
      <c r="AOV160" s="633"/>
      <c r="AOW160" s="633"/>
      <c r="AOX160" s="633"/>
      <c r="AOY160" s="633"/>
      <c r="AOZ160" s="633"/>
      <c r="APA160" s="633"/>
      <c r="APB160" s="633"/>
      <c r="APC160" s="633"/>
      <c r="APD160" s="633"/>
      <c r="APE160" s="633"/>
      <c r="APF160" s="633"/>
      <c r="APG160" s="633"/>
      <c r="APH160" s="633"/>
      <c r="API160" s="633"/>
      <c r="APJ160" s="633"/>
      <c r="APK160" s="633"/>
      <c r="APL160" s="633"/>
      <c r="APM160" s="633"/>
      <c r="APN160" s="633"/>
      <c r="APO160" s="633"/>
      <c r="APP160" s="633"/>
      <c r="APQ160" s="633"/>
      <c r="APR160" s="633"/>
      <c r="APS160" s="633"/>
      <c r="APT160" s="633"/>
      <c r="APU160" s="633"/>
      <c r="APV160" s="633"/>
      <c r="APW160" s="633"/>
      <c r="APX160" s="633"/>
      <c r="APY160" s="633"/>
      <c r="APZ160" s="633"/>
      <c r="AQA160" s="633"/>
      <c r="AQB160" s="633"/>
      <c r="AQC160" s="633"/>
      <c r="AQD160" s="633"/>
      <c r="AQE160" s="633"/>
      <c r="AQF160" s="633"/>
      <c r="AQG160" s="633"/>
      <c r="AQH160" s="633"/>
      <c r="AQI160" s="633"/>
      <c r="AQJ160" s="633"/>
      <c r="AQK160" s="633"/>
      <c r="AQL160" s="633"/>
      <c r="AQM160" s="633"/>
      <c r="AQN160" s="633"/>
      <c r="AQO160" s="633"/>
      <c r="AQP160" s="633"/>
      <c r="AQQ160" s="633"/>
      <c r="AQR160" s="633"/>
      <c r="AQS160" s="633"/>
      <c r="AQT160" s="633"/>
      <c r="AQU160" s="633"/>
      <c r="AQV160" s="633"/>
      <c r="AQW160" s="633"/>
      <c r="AQX160" s="633"/>
      <c r="AQY160" s="633"/>
      <c r="AQZ160" s="633"/>
      <c r="ARA160" s="633"/>
      <c r="ARB160" s="633"/>
      <c r="ARC160" s="633"/>
      <c r="ARD160" s="633"/>
      <c r="ARE160" s="633"/>
      <c r="ARF160" s="633"/>
      <c r="ARG160" s="633"/>
      <c r="ARH160" s="633"/>
      <c r="ARI160" s="633"/>
      <c r="ARJ160" s="633"/>
      <c r="ARK160" s="633"/>
      <c r="ARL160" s="633"/>
      <c r="ARM160" s="633"/>
      <c r="ARN160" s="633"/>
      <c r="ARO160" s="633"/>
      <c r="ARP160" s="633"/>
      <c r="ARQ160" s="633"/>
      <c r="ARR160" s="633"/>
      <c r="ARS160" s="633"/>
      <c r="ART160" s="633"/>
      <c r="ARU160" s="633"/>
      <c r="ARV160" s="633"/>
      <c r="ARW160" s="633"/>
      <c r="ARX160" s="633"/>
      <c r="ARY160" s="633"/>
      <c r="ARZ160" s="633"/>
      <c r="ASA160" s="633"/>
      <c r="ASB160" s="633"/>
      <c r="ASC160" s="633"/>
      <c r="ASD160" s="633"/>
      <c r="ASE160" s="633"/>
      <c r="ASF160" s="633"/>
      <c r="ASG160" s="633"/>
      <c r="ASH160" s="633"/>
      <c r="ASI160" s="633"/>
      <c r="ASJ160" s="633"/>
      <c r="ASK160" s="633"/>
      <c r="ASL160" s="633"/>
      <c r="ASM160" s="633"/>
      <c r="ASN160" s="633"/>
      <c r="ASO160" s="633"/>
      <c r="ASP160" s="633"/>
      <c r="ASQ160" s="633"/>
      <c r="ASR160" s="633"/>
      <c r="ASS160" s="633"/>
      <c r="AST160" s="633"/>
      <c r="ASU160" s="633"/>
      <c r="ASV160" s="633"/>
      <c r="ASW160" s="633"/>
      <c r="ASX160" s="633"/>
      <c r="ASY160" s="633"/>
      <c r="ASZ160" s="633"/>
      <c r="ATA160" s="633"/>
      <c r="ATB160" s="633"/>
      <c r="ATC160" s="633"/>
      <c r="ATD160" s="633"/>
      <c r="ATE160" s="633"/>
      <c r="ATF160" s="633"/>
      <c r="ATG160" s="633"/>
      <c r="ATH160" s="633"/>
      <c r="ATI160" s="633"/>
      <c r="ATJ160" s="633"/>
      <c r="ATK160" s="633"/>
      <c r="ATL160" s="633"/>
      <c r="ATM160" s="633"/>
      <c r="ATN160" s="633"/>
      <c r="ATO160" s="633"/>
      <c r="ATP160" s="633"/>
      <c r="ATQ160" s="633"/>
      <c r="ATR160" s="633"/>
      <c r="ATS160" s="633"/>
      <c r="ATT160" s="633"/>
      <c r="ATU160" s="633"/>
      <c r="ATV160" s="633"/>
      <c r="ATW160" s="633"/>
      <c r="ATX160" s="633"/>
      <c r="ATY160" s="633"/>
      <c r="ATZ160" s="633"/>
      <c r="AUA160" s="633"/>
      <c r="AUB160" s="633"/>
      <c r="AUC160" s="633"/>
      <c r="AUD160" s="633"/>
      <c r="AUE160" s="633"/>
      <c r="AUF160" s="633"/>
      <c r="AUG160" s="633"/>
      <c r="AUH160" s="633"/>
      <c r="AUI160" s="633"/>
      <c r="AUJ160" s="633"/>
      <c r="AUK160" s="633"/>
      <c r="AUL160" s="633"/>
      <c r="AUM160" s="633"/>
      <c r="AUN160" s="633"/>
      <c r="AUO160" s="633"/>
      <c r="AUP160" s="633"/>
      <c r="AUQ160" s="633"/>
      <c r="AUR160" s="633"/>
      <c r="AUS160" s="633"/>
      <c r="AUT160" s="633"/>
      <c r="AUU160" s="633"/>
      <c r="AUV160" s="633"/>
      <c r="AUW160" s="633"/>
      <c r="AUX160" s="633"/>
      <c r="AUY160" s="633"/>
      <c r="AUZ160" s="633"/>
      <c r="AVA160" s="633"/>
      <c r="AVB160" s="633"/>
      <c r="AVC160" s="633"/>
      <c r="AVD160" s="633"/>
      <c r="AVE160" s="633"/>
      <c r="AVF160" s="633"/>
      <c r="AVG160" s="633"/>
      <c r="AVH160" s="633"/>
      <c r="AVI160" s="633"/>
      <c r="AVJ160" s="633"/>
      <c r="AVK160" s="633"/>
      <c r="AVL160" s="633"/>
      <c r="AVM160" s="633"/>
      <c r="AVN160" s="633"/>
      <c r="AVO160" s="633"/>
      <c r="AVP160" s="633"/>
      <c r="AVQ160" s="633"/>
      <c r="AVR160" s="633"/>
      <c r="AVS160" s="633"/>
      <c r="AVT160" s="633"/>
      <c r="AVU160" s="633"/>
      <c r="AVV160" s="633"/>
      <c r="AVW160" s="633"/>
      <c r="AVX160" s="633"/>
      <c r="AVY160" s="633"/>
      <c r="AVZ160" s="633"/>
      <c r="AWA160" s="633"/>
      <c r="AWB160" s="633"/>
      <c r="AWC160" s="633"/>
      <c r="AWD160" s="633"/>
      <c r="AWE160" s="633"/>
      <c r="AWF160" s="633"/>
      <c r="AWG160" s="633"/>
      <c r="AWH160" s="633"/>
      <c r="AWI160" s="633"/>
      <c r="AWJ160" s="633"/>
      <c r="AWK160" s="633"/>
      <c r="AWL160" s="633"/>
      <c r="AWM160" s="633"/>
      <c r="AWN160" s="633"/>
      <c r="AWO160" s="633"/>
      <c r="AWP160" s="633"/>
      <c r="AWQ160" s="633"/>
      <c r="AWR160" s="633"/>
      <c r="AWS160" s="633"/>
      <c r="AWT160" s="633"/>
      <c r="AWU160" s="633"/>
      <c r="AWV160" s="633"/>
      <c r="AWW160" s="633"/>
      <c r="AWX160" s="633"/>
      <c r="AWY160" s="633"/>
      <c r="AWZ160" s="633"/>
      <c r="AXA160" s="633"/>
      <c r="AXB160" s="633"/>
      <c r="AXC160" s="633"/>
      <c r="AXD160" s="633"/>
      <c r="AXE160" s="633"/>
      <c r="AXF160" s="633"/>
      <c r="AXG160" s="633"/>
      <c r="AXH160" s="633"/>
      <c r="AXI160" s="633"/>
      <c r="AXJ160" s="633"/>
      <c r="AXK160" s="633"/>
      <c r="AXL160" s="633"/>
      <c r="AXM160" s="633"/>
      <c r="AXN160" s="633"/>
      <c r="AXO160" s="633"/>
      <c r="AXP160" s="633"/>
      <c r="AXQ160" s="633"/>
      <c r="AXR160" s="633"/>
      <c r="AXS160" s="633"/>
      <c r="AXT160" s="633"/>
      <c r="AXU160" s="633"/>
      <c r="AXV160" s="633"/>
      <c r="AXW160" s="633"/>
      <c r="AXX160" s="633"/>
      <c r="AXY160" s="633"/>
      <c r="AXZ160" s="633"/>
      <c r="AYA160" s="633"/>
      <c r="AYB160" s="633"/>
      <c r="AYC160" s="633"/>
      <c r="AYD160" s="633"/>
      <c r="AYE160" s="633"/>
      <c r="AYF160" s="633"/>
      <c r="AYG160" s="633"/>
      <c r="AYH160" s="633"/>
      <c r="AYI160" s="633"/>
      <c r="AYJ160" s="633"/>
      <c r="AYK160" s="633"/>
      <c r="AYL160" s="633"/>
      <c r="AYM160" s="633"/>
      <c r="AYN160" s="633"/>
      <c r="AYO160" s="633"/>
      <c r="AYP160" s="633"/>
      <c r="AYQ160" s="633"/>
      <c r="AYR160" s="633"/>
      <c r="AYS160" s="633"/>
      <c r="AYT160" s="633"/>
      <c r="AYU160" s="633"/>
      <c r="AYV160" s="633"/>
      <c r="AYW160" s="633"/>
      <c r="AYX160" s="633"/>
      <c r="AYY160" s="633"/>
      <c r="AYZ160" s="633"/>
      <c r="AZA160" s="633"/>
      <c r="AZB160" s="633"/>
      <c r="AZC160" s="633"/>
      <c r="AZD160" s="633"/>
      <c r="AZE160" s="633"/>
      <c r="AZF160" s="633"/>
      <c r="AZG160" s="633"/>
      <c r="AZH160" s="633"/>
      <c r="AZI160" s="633"/>
      <c r="AZJ160" s="633"/>
      <c r="AZK160" s="633"/>
      <c r="AZL160" s="633"/>
      <c r="AZM160" s="633"/>
      <c r="AZN160" s="633"/>
      <c r="AZO160" s="633"/>
      <c r="AZP160" s="633"/>
      <c r="AZQ160" s="633"/>
      <c r="AZR160" s="633"/>
      <c r="AZS160" s="633"/>
      <c r="AZT160" s="633"/>
      <c r="AZU160" s="633"/>
      <c r="AZV160" s="633"/>
      <c r="AZW160" s="633"/>
      <c r="AZX160" s="633"/>
      <c r="AZY160" s="633"/>
      <c r="AZZ160" s="633"/>
      <c r="BAA160" s="633"/>
      <c r="BAB160" s="633"/>
      <c r="BAC160" s="633"/>
      <c r="BAD160" s="633"/>
      <c r="BAE160" s="633"/>
      <c r="BAF160" s="633"/>
      <c r="BAG160" s="633"/>
      <c r="BAH160" s="633"/>
      <c r="BAI160" s="633"/>
      <c r="BAJ160" s="633"/>
      <c r="BAK160" s="633"/>
      <c r="BAL160" s="633"/>
      <c r="BAM160" s="633"/>
      <c r="BAN160" s="633"/>
      <c r="BAO160" s="633"/>
      <c r="BAP160" s="633"/>
      <c r="BAQ160" s="633"/>
      <c r="BAR160" s="633"/>
      <c r="BAS160" s="633"/>
      <c r="BAT160" s="633"/>
      <c r="BAU160" s="633"/>
      <c r="BAV160" s="633"/>
      <c r="BAW160" s="633"/>
      <c r="BAX160" s="633"/>
      <c r="BAY160" s="633"/>
      <c r="BAZ160" s="633"/>
      <c r="BBA160" s="633"/>
      <c r="BBB160" s="633"/>
      <c r="BBC160" s="633"/>
      <c r="BBD160" s="633"/>
      <c r="BBE160" s="633"/>
      <c r="BBF160" s="633"/>
      <c r="BBG160" s="633"/>
      <c r="BBH160" s="633"/>
      <c r="BBI160" s="633"/>
      <c r="BBJ160" s="633"/>
      <c r="BBK160" s="633"/>
      <c r="BBL160" s="633"/>
      <c r="BBM160" s="633"/>
      <c r="BBN160" s="633"/>
      <c r="BBO160" s="633"/>
      <c r="BBP160" s="633"/>
      <c r="BBQ160" s="633"/>
      <c r="BBR160" s="633"/>
      <c r="BBS160" s="633"/>
      <c r="BBT160" s="633"/>
      <c r="BBU160" s="633"/>
      <c r="BBV160" s="633"/>
      <c r="BBW160" s="633"/>
      <c r="BBX160" s="633"/>
      <c r="BBY160" s="633"/>
      <c r="BBZ160" s="633"/>
      <c r="BCA160" s="633"/>
      <c r="BCB160" s="633"/>
      <c r="BCC160" s="633"/>
      <c r="BCD160" s="633"/>
      <c r="BCE160" s="633"/>
      <c r="BCF160" s="633"/>
      <c r="BCG160" s="633"/>
      <c r="BCH160" s="633"/>
      <c r="BCI160" s="633"/>
      <c r="BCJ160" s="633"/>
      <c r="BCK160" s="633"/>
      <c r="BCL160" s="633"/>
      <c r="BCM160" s="633"/>
      <c r="BCN160" s="633"/>
      <c r="BCO160" s="633"/>
      <c r="BCP160" s="633"/>
      <c r="BCQ160" s="633"/>
      <c r="BCR160" s="633"/>
      <c r="BCS160" s="633"/>
      <c r="BCT160" s="633"/>
      <c r="BCU160" s="633"/>
      <c r="BCV160" s="633"/>
      <c r="BCW160" s="633"/>
      <c r="BCX160" s="633"/>
      <c r="BCY160" s="633"/>
      <c r="BCZ160" s="633"/>
      <c r="BDA160" s="633"/>
      <c r="BDB160" s="633"/>
      <c r="BDC160" s="633"/>
      <c r="BDD160" s="633"/>
      <c r="BDE160" s="633"/>
      <c r="BDF160" s="633"/>
      <c r="BDG160" s="633"/>
      <c r="BDH160" s="633"/>
      <c r="BDI160" s="633"/>
      <c r="BDJ160" s="633"/>
      <c r="BDK160" s="633"/>
      <c r="BDL160" s="633"/>
      <c r="BDM160" s="633"/>
      <c r="BDN160" s="633"/>
      <c r="BDO160" s="633"/>
      <c r="BDP160" s="633"/>
      <c r="BDQ160" s="633"/>
      <c r="BDR160" s="633"/>
      <c r="BDS160" s="633"/>
      <c r="BDT160" s="633"/>
      <c r="BDU160" s="633"/>
      <c r="BDV160" s="633"/>
      <c r="BDW160" s="633"/>
      <c r="BDX160" s="633"/>
      <c r="BDY160" s="633"/>
      <c r="BDZ160" s="633"/>
      <c r="BEA160" s="633"/>
      <c r="BEB160" s="633"/>
      <c r="BEC160" s="633"/>
      <c r="BED160" s="633"/>
      <c r="BEE160" s="633"/>
      <c r="BEF160" s="633"/>
      <c r="BEG160" s="633"/>
      <c r="BEH160" s="633"/>
      <c r="BEI160" s="633"/>
      <c r="BEJ160" s="633"/>
      <c r="BEK160" s="633"/>
      <c r="BEL160" s="633"/>
      <c r="BEM160" s="633"/>
      <c r="BEN160" s="633"/>
      <c r="BEO160" s="633"/>
      <c r="BEP160" s="633"/>
      <c r="BEQ160" s="633"/>
      <c r="BER160" s="633"/>
      <c r="BES160" s="633"/>
      <c r="BET160" s="633"/>
      <c r="BEU160" s="633"/>
      <c r="BEV160" s="633"/>
      <c r="BEW160" s="633"/>
      <c r="BEX160" s="633"/>
      <c r="BEY160" s="633"/>
      <c r="BEZ160" s="633"/>
      <c r="BFA160" s="633"/>
      <c r="BFB160" s="633"/>
      <c r="BFC160" s="633"/>
      <c r="BFD160" s="633"/>
      <c r="BFE160" s="633"/>
      <c r="BFF160" s="633"/>
      <c r="BFG160" s="633"/>
      <c r="BFH160" s="633"/>
      <c r="BFI160" s="633"/>
      <c r="BFJ160" s="633"/>
      <c r="BFK160" s="633"/>
      <c r="BFL160" s="633"/>
      <c r="BFM160" s="633"/>
      <c r="BFN160" s="633"/>
      <c r="BFO160" s="633"/>
      <c r="BFP160" s="633"/>
      <c r="BFQ160" s="633"/>
      <c r="BFR160" s="633"/>
      <c r="BFS160" s="633"/>
      <c r="BFT160" s="633"/>
      <c r="BFU160" s="633"/>
      <c r="BFV160" s="633"/>
      <c r="BFW160" s="633"/>
      <c r="BFX160" s="633"/>
      <c r="BFY160" s="633"/>
      <c r="BFZ160" s="633"/>
      <c r="BGA160" s="633"/>
      <c r="BGB160" s="633"/>
      <c r="BGC160" s="633"/>
      <c r="BGD160" s="633"/>
      <c r="BGE160" s="633"/>
      <c r="BGF160" s="633"/>
      <c r="BGG160" s="633"/>
      <c r="BGH160" s="633"/>
      <c r="BGI160" s="633"/>
      <c r="BGJ160" s="633"/>
      <c r="BGK160" s="633"/>
      <c r="BGL160" s="633"/>
      <c r="BGM160" s="633"/>
      <c r="BGN160" s="633"/>
      <c r="BGO160" s="633"/>
      <c r="BGP160" s="633"/>
      <c r="BGQ160" s="633"/>
      <c r="BGR160" s="633"/>
      <c r="BGS160" s="633"/>
      <c r="BGT160" s="633"/>
      <c r="BGU160" s="633"/>
      <c r="BGV160" s="633"/>
      <c r="BGW160" s="633"/>
      <c r="BGX160" s="633"/>
      <c r="BGY160" s="633"/>
      <c r="BGZ160" s="633"/>
      <c r="BHA160" s="633"/>
      <c r="BHB160" s="633"/>
      <c r="BHC160" s="633"/>
      <c r="BHD160" s="633"/>
      <c r="BHE160" s="633"/>
      <c r="BHF160" s="633"/>
      <c r="BHG160" s="633"/>
      <c r="BHH160" s="633"/>
      <c r="BHI160" s="633"/>
      <c r="BHJ160" s="633"/>
      <c r="BHK160" s="633"/>
      <c r="BHL160" s="633"/>
      <c r="BHM160" s="633"/>
      <c r="BHN160" s="633"/>
      <c r="BHO160" s="633"/>
      <c r="BHP160" s="633"/>
      <c r="BHQ160" s="633"/>
      <c r="BHR160" s="633"/>
      <c r="BHS160" s="633"/>
      <c r="BHT160" s="633"/>
      <c r="BHU160" s="633"/>
      <c r="BHV160" s="633"/>
      <c r="BHW160" s="633"/>
      <c r="BHX160" s="633"/>
      <c r="BHY160" s="633"/>
      <c r="BHZ160" s="633"/>
      <c r="BIA160" s="633"/>
      <c r="BIB160" s="633"/>
      <c r="BIC160" s="633"/>
      <c r="BID160" s="633"/>
      <c r="BIE160" s="633"/>
      <c r="BIF160" s="633"/>
      <c r="BIG160" s="633"/>
      <c r="BIH160" s="633"/>
      <c r="BII160" s="633"/>
      <c r="BIJ160" s="633"/>
      <c r="BIK160" s="633"/>
      <c r="BIL160" s="633"/>
      <c r="BIM160" s="633"/>
      <c r="BIN160" s="633"/>
      <c r="BIO160" s="633"/>
      <c r="BIP160" s="633"/>
      <c r="BIQ160" s="633"/>
      <c r="BIR160" s="633"/>
      <c r="BIS160" s="633"/>
      <c r="BIT160" s="633"/>
      <c r="BIU160" s="633"/>
      <c r="BIV160" s="633"/>
      <c r="BIW160" s="633"/>
      <c r="BIX160" s="633"/>
      <c r="BIY160" s="633"/>
      <c r="BIZ160" s="633"/>
      <c r="BJA160" s="633"/>
      <c r="BJB160" s="633"/>
      <c r="BJC160" s="633"/>
      <c r="BJD160" s="633"/>
      <c r="BJE160" s="633"/>
      <c r="BJF160" s="633"/>
      <c r="BJG160" s="633"/>
      <c r="BJH160" s="633"/>
      <c r="BJI160" s="633"/>
      <c r="BJJ160" s="633"/>
      <c r="BJK160" s="633"/>
      <c r="BJL160" s="633"/>
      <c r="BJM160" s="633"/>
      <c r="BJN160" s="633"/>
      <c r="BJO160" s="633"/>
      <c r="BJP160" s="633"/>
      <c r="BJQ160" s="633"/>
      <c r="BJR160" s="633"/>
      <c r="BJS160" s="633"/>
      <c r="BJT160" s="633"/>
      <c r="BJU160" s="633"/>
      <c r="BJV160" s="633"/>
      <c r="BJW160" s="633"/>
      <c r="BJX160" s="633"/>
      <c r="BJY160" s="633"/>
      <c r="BJZ160" s="633"/>
      <c r="BKA160" s="633"/>
      <c r="BKB160" s="633"/>
      <c r="BKC160" s="633"/>
      <c r="BKD160" s="633"/>
      <c r="BKE160" s="633"/>
      <c r="BKF160" s="633"/>
      <c r="BKG160" s="633"/>
      <c r="BKH160" s="633"/>
      <c r="BKI160" s="633"/>
      <c r="BKJ160" s="633"/>
      <c r="BKK160" s="633"/>
      <c r="BKL160" s="633"/>
      <c r="BKM160" s="633"/>
      <c r="BKN160" s="633"/>
      <c r="BKO160" s="633"/>
      <c r="BKP160" s="633"/>
      <c r="BKQ160" s="633"/>
      <c r="BKR160" s="633"/>
      <c r="BKS160" s="633"/>
      <c r="BKT160" s="633"/>
      <c r="BKU160" s="633"/>
      <c r="BKV160" s="633"/>
      <c r="BKW160" s="633"/>
      <c r="BKX160" s="633"/>
      <c r="BKY160" s="633"/>
      <c r="BKZ160" s="633"/>
      <c r="BLA160" s="633"/>
      <c r="BLB160" s="633"/>
      <c r="BLC160" s="633"/>
      <c r="BLD160" s="633"/>
      <c r="BLE160" s="633"/>
      <c r="BLF160" s="633"/>
      <c r="BLG160" s="633"/>
      <c r="BLH160" s="633"/>
      <c r="BLI160" s="633"/>
      <c r="BLJ160" s="633"/>
      <c r="BLK160" s="633"/>
      <c r="BLL160" s="633"/>
      <c r="BLM160" s="633"/>
      <c r="BLN160" s="633"/>
      <c r="BLO160" s="633"/>
      <c r="BLP160" s="633"/>
      <c r="BLQ160" s="633"/>
      <c r="BLR160" s="633"/>
      <c r="BLS160" s="633"/>
      <c r="BLT160" s="633"/>
      <c r="BLU160" s="633"/>
      <c r="BLV160" s="633"/>
      <c r="BLW160" s="633"/>
      <c r="BLX160" s="633"/>
      <c r="BLY160" s="633"/>
      <c r="BLZ160" s="633"/>
      <c r="BMA160" s="633"/>
      <c r="BMB160" s="633"/>
      <c r="BMC160" s="633"/>
      <c r="BMD160" s="633"/>
      <c r="BME160" s="633"/>
      <c r="BMF160" s="633"/>
      <c r="BMG160" s="633"/>
      <c r="BMH160" s="633"/>
      <c r="BMI160" s="633"/>
      <c r="BMJ160" s="633"/>
      <c r="BMK160" s="633"/>
      <c r="BML160" s="633"/>
      <c r="BMM160" s="633"/>
      <c r="BMN160" s="633"/>
      <c r="BMO160" s="633"/>
      <c r="BMP160" s="633"/>
      <c r="BMQ160" s="633"/>
      <c r="BMR160" s="633"/>
      <c r="BMS160" s="633"/>
      <c r="BMT160" s="633"/>
      <c r="BMU160" s="633"/>
      <c r="BMV160" s="633"/>
      <c r="BMW160" s="633"/>
      <c r="BMX160" s="633"/>
      <c r="BMY160" s="633"/>
      <c r="BMZ160" s="633"/>
      <c r="BNA160" s="633"/>
      <c r="BNB160" s="633"/>
      <c r="BNC160" s="633"/>
      <c r="BND160" s="633"/>
      <c r="BNE160" s="633"/>
      <c r="BNF160" s="633"/>
      <c r="BNG160" s="633"/>
      <c r="BNH160" s="633"/>
      <c r="BNI160" s="633"/>
      <c r="BNJ160" s="633"/>
      <c r="BNK160" s="633"/>
      <c r="BNL160" s="633"/>
      <c r="BNM160" s="633"/>
      <c r="BNN160" s="633"/>
      <c r="BNO160" s="633"/>
      <c r="BNP160" s="633"/>
      <c r="BNQ160" s="633"/>
      <c r="BNR160" s="633"/>
      <c r="BNS160" s="633"/>
      <c r="BNT160" s="633"/>
      <c r="BNU160" s="633"/>
      <c r="BNV160" s="633"/>
      <c r="BNW160" s="633"/>
      <c r="BNX160" s="633"/>
      <c r="BNY160" s="633"/>
      <c r="BNZ160" s="633"/>
      <c r="BOA160" s="633"/>
      <c r="BOB160" s="633"/>
      <c r="BOC160" s="633"/>
      <c r="BOD160" s="633"/>
      <c r="BOE160" s="633"/>
      <c r="BOF160" s="633"/>
      <c r="BOG160" s="633"/>
      <c r="BOH160" s="633"/>
      <c r="BOI160" s="633"/>
      <c r="BOJ160" s="633"/>
      <c r="BOK160" s="633"/>
      <c r="BOL160" s="633"/>
      <c r="BOM160" s="633"/>
      <c r="BON160" s="633"/>
      <c r="BOO160" s="633"/>
      <c r="BOP160" s="633"/>
      <c r="BOQ160" s="633"/>
      <c r="BOR160" s="633"/>
      <c r="BOS160" s="633"/>
      <c r="BOT160" s="633"/>
      <c r="BOU160" s="633"/>
      <c r="BOV160" s="633"/>
      <c r="BOW160" s="633"/>
      <c r="BOX160" s="633"/>
      <c r="BOY160" s="633"/>
      <c r="BOZ160" s="633"/>
      <c r="BPA160" s="633"/>
      <c r="BPB160" s="633"/>
      <c r="BPC160" s="633"/>
      <c r="BPD160" s="633"/>
      <c r="BPE160" s="633"/>
      <c r="BPF160" s="633"/>
      <c r="BPG160" s="633"/>
      <c r="BPH160" s="633"/>
      <c r="BPI160" s="633"/>
      <c r="BPJ160" s="633"/>
      <c r="BPK160" s="633"/>
      <c r="BPL160" s="633"/>
      <c r="BPM160" s="633"/>
      <c r="BPN160" s="633"/>
      <c r="BPO160" s="633"/>
      <c r="BPP160" s="633"/>
      <c r="BPQ160" s="633"/>
      <c r="BPR160" s="633"/>
      <c r="BPS160" s="633"/>
      <c r="BPT160" s="633"/>
      <c r="BPU160" s="633"/>
      <c r="BPV160" s="633"/>
      <c r="BPW160" s="633"/>
      <c r="BPX160" s="633"/>
      <c r="BPY160" s="633"/>
      <c r="BPZ160" s="633"/>
      <c r="BQA160" s="633"/>
      <c r="BQB160" s="633"/>
      <c r="BQC160" s="633"/>
      <c r="BQD160" s="633"/>
      <c r="BQE160" s="633"/>
      <c r="BQF160" s="633"/>
      <c r="BQG160" s="633"/>
      <c r="BQH160" s="633"/>
      <c r="BQI160" s="633"/>
      <c r="BQJ160" s="633"/>
      <c r="BQK160" s="633"/>
      <c r="BQL160" s="633"/>
      <c r="BQM160" s="633"/>
      <c r="BQN160" s="633"/>
      <c r="BQO160" s="633"/>
      <c r="BQP160" s="633"/>
      <c r="BQQ160" s="633"/>
      <c r="BQR160" s="633"/>
      <c r="BQS160" s="633"/>
      <c r="BQT160" s="633"/>
      <c r="BQU160" s="633"/>
      <c r="BQV160" s="633"/>
      <c r="BQW160" s="633"/>
      <c r="BQX160" s="633"/>
      <c r="BQY160" s="633"/>
      <c r="BQZ160" s="633"/>
      <c r="BRA160" s="633"/>
      <c r="BRB160" s="633"/>
      <c r="BRC160" s="633"/>
      <c r="BRD160" s="633"/>
      <c r="BRE160" s="633"/>
      <c r="BRF160" s="633"/>
      <c r="BRG160" s="633"/>
      <c r="BRH160" s="633"/>
      <c r="BRI160" s="633"/>
      <c r="BRJ160" s="633"/>
      <c r="BRK160" s="633"/>
      <c r="BRL160" s="633"/>
      <c r="BRM160" s="633"/>
      <c r="BRN160" s="633"/>
      <c r="BRO160" s="633"/>
      <c r="BRP160" s="633"/>
      <c r="BRQ160" s="633"/>
      <c r="BRR160" s="633"/>
      <c r="BRS160" s="633"/>
      <c r="BRT160" s="633"/>
      <c r="BRU160" s="633"/>
      <c r="BRV160" s="633"/>
      <c r="BRW160" s="633"/>
      <c r="BRX160" s="633"/>
      <c r="BRY160" s="633"/>
      <c r="BRZ160" s="633"/>
      <c r="BSA160" s="633"/>
      <c r="BSB160" s="633"/>
      <c r="BSC160" s="633"/>
      <c r="BSD160" s="633"/>
      <c r="BSE160" s="633"/>
      <c r="BSF160" s="633"/>
      <c r="BSG160" s="633"/>
      <c r="BSH160" s="633"/>
      <c r="BSI160" s="633"/>
      <c r="BSJ160" s="633"/>
      <c r="BSK160" s="633"/>
      <c r="BSL160" s="633"/>
      <c r="BSM160" s="633"/>
      <c r="BSN160" s="633"/>
      <c r="BSO160" s="633"/>
      <c r="BSP160" s="633"/>
      <c r="BSQ160" s="633"/>
      <c r="BSR160" s="633"/>
      <c r="BSS160" s="633"/>
      <c r="BST160" s="633"/>
      <c r="BSU160" s="633"/>
      <c r="BSV160" s="633"/>
      <c r="BSW160" s="633"/>
      <c r="BSX160" s="633"/>
      <c r="BSY160" s="633"/>
      <c r="BSZ160" s="633"/>
      <c r="BTA160" s="633"/>
      <c r="BTB160" s="633"/>
      <c r="BTC160" s="633"/>
      <c r="BTD160" s="633"/>
      <c r="BTE160" s="633"/>
      <c r="BTF160" s="633"/>
      <c r="BTG160" s="633"/>
      <c r="BTH160" s="633"/>
      <c r="BTI160" s="633"/>
    </row>
    <row r="161" spans="1:1881" s="632" customFormat="1" ht="59.25" customHeight="1" x14ac:dyDescent="0.25">
      <c r="A161" s="473">
        <v>656</v>
      </c>
      <c r="B161" s="473"/>
      <c r="C161" s="473"/>
      <c r="D161" s="476" t="s">
        <v>991</v>
      </c>
      <c r="E161" s="472" t="s">
        <v>837</v>
      </c>
      <c r="F161" s="609"/>
      <c r="G161" s="634"/>
      <c r="H161" s="635"/>
      <c r="I161" s="636"/>
      <c r="J161" s="368"/>
      <c r="K161" s="633"/>
      <c r="L161" s="633"/>
      <c r="M161" s="633"/>
      <c r="N161"/>
      <c r="O161" s="633"/>
      <c r="P161" s="633"/>
      <c r="Q161" s="633"/>
      <c r="R161" s="633"/>
      <c r="S161" s="633"/>
      <c r="T161" s="633"/>
      <c r="U161" s="633"/>
      <c r="V161" s="633"/>
      <c r="W161" s="633"/>
      <c r="X161" s="633"/>
      <c r="Y161" s="633"/>
      <c r="Z161" s="633"/>
      <c r="AA161" s="633"/>
      <c r="AB161" s="633"/>
      <c r="AC161" s="633"/>
      <c r="AD161" s="633"/>
      <c r="AE161" s="633"/>
      <c r="AF161" s="633"/>
      <c r="AG161" s="633"/>
      <c r="AH161" s="633"/>
      <c r="AI161" s="633"/>
      <c r="AJ161" s="633"/>
      <c r="AK161" s="633"/>
      <c r="AL161" s="633"/>
      <c r="AM161" s="633"/>
      <c r="AN161" s="633"/>
      <c r="AO161" s="633"/>
      <c r="AP161" s="633"/>
      <c r="AQ161" s="633"/>
      <c r="AR161" s="633"/>
      <c r="AS161" s="633"/>
      <c r="AT161" s="633"/>
      <c r="AU161" s="633"/>
      <c r="AV161" s="633"/>
      <c r="AW161" s="633"/>
      <c r="AX161" s="633"/>
      <c r="AY161" s="633"/>
      <c r="AZ161" s="633"/>
      <c r="BA161" s="633"/>
      <c r="BB161" s="633"/>
      <c r="BC161" s="633"/>
      <c r="BD161" s="633"/>
      <c r="BE161" s="633"/>
      <c r="BF161" s="633"/>
      <c r="BG161" s="633"/>
      <c r="BH161" s="633"/>
      <c r="BI161" s="633"/>
      <c r="BJ161" s="633"/>
      <c r="BK161" s="633"/>
      <c r="BL161" s="633"/>
      <c r="BM161" s="633"/>
      <c r="BN161" s="633"/>
      <c r="BO161" s="633"/>
      <c r="BP161" s="633"/>
      <c r="BQ161" s="633"/>
      <c r="BR161" s="633"/>
      <c r="BS161" s="633"/>
      <c r="BT161" s="633"/>
      <c r="BU161" s="633"/>
      <c r="BV161" s="633"/>
      <c r="BW161" s="633"/>
      <c r="BX161" s="633"/>
      <c r="BY161" s="633"/>
      <c r="BZ161" s="633"/>
      <c r="CA161" s="633"/>
      <c r="CB161" s="633"/>
      <c r="CC161" s="633"/>
      <c r="CD161" s="633"/>
      <c r="CE161" s="633"/>
      <c r="CF161" s="633"/>
      <c r="CG161" s="633"/>
      <c r="CH161" s="633"/>
      <c r="CI161" s="633"/>
      <c r="CJ161" s="633"/>
      <c r="CK161" s="633"/>
      <c r="CL161" s="633"/>
      <c r="CM161" s="633"/>
      <c r="CN161" s="633"/>
      <c r="CO161" s="633"/>
      <c r="CP161" s="633"/>
      <c r="CQ161" s="633"/>
      <c r="CR161" s="633"/>
      <c r="CS161" s="633"/>
      <c r="CT161" s="633"/>
      <c r="CU161" s="633"/>
      <c r="CV161" s="633"/>
      <c r="CW161" s="633"/>
      <c r="CX161" s="633"/>
      <c r="CY161" s="633"/>
      <c r="CZ161" s="633"/>
      <c r="DA161" s="633"/>
      <c r="DB161" s="633"/>
      <c r="DC161" s="633"/>
      <c r="DD161" s="633"/>
      <c r="DE161" s="633"/>
      <c r="DF161" s="633"/>
      <c r="DG161" s="633"/>
      <c r="DH161" s="633"/>
      <c r="DI161" s="633"/>
      <c r="DJ161" s="633"/>
      <c r="DK161" s="633"/>
      <c r="DL161" s="633"/>
      <c r="DM161" s="633"/>
      <c r="DN161" s="633"/>
      <c r="DO161" s="633"/>
      <c r="DP161" s="633"/>
      <c r="DQ161" s="633"/>
      <c r="DR161" s="633"/>
      <c r="DS161" s="633"/>
      <c r="DT161" s="633"/>
      <c r="DU161" s="633"/>
      <c r="DV161" s="633"/>
      <c r="DW161" s="633"/>
      <c r="DX161" s="633"/>
      <c r="DY161" s="633"/>
      <c r="DZ161" s="633"/>
      <c r="EA161" s="633"/>
      <c r="EB161" s="633"/>
      <c r="EC161" s="633"/>
      <c r="ED161" s="633"/>
      <c r="EE161" s="633"/>
      <c r="EF161" s="633"/>
      <c r="EG161" s="633"/>
      <c r="EH161" s="633"/>
      <c r="EI161" s="633"/>
      <c r="EJ161" s="633"/>
      <c r="EK161" s="633"/>
      <c r="EL161" s="633"/>
      <c r="EM161" s="633"/>
      <c r="EN161" s="633"/>
      <c r="EO161" s="633"/>
      <c r="EP161" s="633"/>
      <c r="EQ161" s="633"/>
      <c r="ER161" s="633"/>
      <c r="ES161" s="633"/>
      <c r="ET161" s="633"/>
      <c r="EU161" s="633"/>
      <c r="EV161" s="633"/>
      <c r="EW161" s="633"/>
      <c r="EX161" s="633"/>
      <c r="EY161" s="633"/>
      <c r="EZ161" s="633"/>
      <c r="FA161" s="633"/>
      <c r="FB161" s="633"/>
      <c r="FC161" s="633"/>
      <c r="FD161" s="633"/>
      <c r="FE161" s="633"/>
      <c r="FF161" s="633"/>
      <c r="FG161" s="633"/>
      <c r="FH161" s="633"/>
      <c r="FI161" s="633"/>
      <c r="FJ161" s="633"/>
      <c r="FK161" s="633"/>
      <c r="FL161" s="633"/>
      <c r="FM161" s="633"/>
      <c r="FN161" s="633"/>
      <c r="FO161" s="633"/>
      <c r="FP161" s="633"/>
      <c r="FQ161" s="633"/>
      <c r="FR161" s="633"/>
      <c r="FS161" s="633"/>
      <c r="FT161" s="633"/>
      <c r="FU161" s="633"/>
      <c r="FV161" s="633"/>
      <c r="FW161" s="633"/>
      <c r="FX161" s="633"/>
      <c r="FY161" s="633"/>
      <c r="FZ161" s="633"/>
      <c r="GA161" s="633"/>
      <c r="GB161" s="633"/>
      <c r="GC161" s="633"/>
      <c r="GD161" s="633"/>
      <c r="GE161" s="633"/>
      <c r="GF161" s="633"/>
      <c r="GG161" s="633"/>
      <c r="GH161" s="633"/>
      <c r="GI161" s="633"/>
      <c r="GJ161" s="633"/>
      <c r="GK161" s="633"/>
      <c r="GL161" s="633"/>
      <c r="GM161" s="633"/>
      <c r="GN161" s="633"/>
      <c r="GO161" s="633"/>
      <c r="GP161" s="633"/>
      <c r="GQ161" s="633"/>
      <c r="GR161" s="633"/>
      <c r="GS161" s="633"/>
      <c r="GT161" s="633"/>
      <c r="GU161" s="633"/>
      <c r="GV161" s="633"/>
      <c r="GW161" s="633"/>
      <c r="GX161" s="633"/>
      <c r="GY161" s="633"/>
      <c r="GZ161" s="633"/>
      <c r="HA161" s="633"/>
      <c r="HB161" s="633"/>
      <c r="HC161" s="633"/>
      <c r="HD161" s="633"/>
      <c r="HE161" s="633"/>
      <c r="HF161" s="633"/>
      <c r="HG161" s="633"/>
      <c r="HH161" s="633"/>
      <c r="HI161" s="633"/>
      <c r="HJ161" s="633"/>
      <c r="HK161" s="633"/>
      <c r="HL161" s="633"/>
      <c r="HM161" s="633"/>
      <c r="HN161" s="633"/>
      <c r="HO161" s="633"/>
      <c r="HP161" s="633"/>
      <c r="HQ161" s="633"/>
      <c r="HR161" s="633"/>
      <c r="HS161" s="633"/>
      <c r="HT161" s="633"/>
      <c r="HU161" s="633"/>
      <c r="HV161" s="633"/>
      <c r="HW161" s="633"/>
      <c r="HX161" s="633"/>
      <c r="HY161" s="633"/>
      <c r="HZ161" s="633"/>
      <c r="IA161" s="633"/>
      <c r="IB161" s="633"/>
      <c r="IC161" s="633"/>
      <c r="ID161" s="633"/>
      <c r="IE161" s="633"/>
      <c r="IF161" s="633"/>
      <c r="IG161" s="633"/>
      <c r="IH161" s="633"/>
      <c r="II161" s="633"/>
      <c r="IJ161" s="633"/>
      <c r="IK161" s="633"/>
      <c r="IL161" s="633"/>
      <c r="IM161" s="633"/>
      <c r="IN161" s="633"/>
      <c r="IO161" s="633"/>
      <c r="IP161" s="633"/>
      <c r="IQ161" s="633"/>
      <c r="IR161" s="633"/>
      <c r="IS161" s="633"/>
      <c r="IT161" s="633"/>
      <c r="IU161" s="633"/>
      <c r="IV161" s="633"/>
      <c r="IW161" s="633"/>
      <c r="IX161" s="633"/>
      <c r="IY161" s="633"/>
      <c r="IZ161" s="633"/>
      <c r="JA161" s="633"/>
      <c r="JB161" s="633"/>
      <c r="JC161" s="633"/>
      <c r="JD161" s="633"/>
      <c r="JE161" s="633"/>
      <c r="JF161" s="633"/>
      <c r="JG161" s="633"/>
      <c r="JH161" s="633"/>
      <c r="JI161" s="633"/>
      <c r="JJ161" s="633"/>
      <c r="JK161" s="633"/>
      <c r="JL161" s="633"/>
      <c r="JM161" s="633"/>
      <c r="JN161" s="633"/>
      <c r="JO161" s="633"/>
      <c r="JP161" s="633"/>
      <c r="JQ161" s="633"/>
      <c r="JR161" s="633"/>
      <c r="JS161" s="633"/>
      <c r="JT161" s="633"/>
      <c r="JU161" s="633"/>
      <c r="JV161" s="633"/>
      <c r="JW161" s="633"/>
      <c r="JX161" s="633"/>
      <c r="JY161" s="633"/>
      <c r="JZ161" s="633"/>
      <c r="KA161" s="633"/>
      <c r="KB161" s="633"/>
      <c r="KC161" s="633"/>
      <c r="KD161" s="633"/>
      <c r="KE161" s="633"/>
      <c r="KF161" s="633"/>
      <c r="KG161" s="633"/>
      <c r="KH161" s="633"/>
      <c r="KI161" s="633"/>
      <c r="KJ161" s="633"/>
      <c r="KK161" s="633"/>
      <c r="KL161" s="633"/>
      <c r="KM161" s="633"/>
      <c r="KN161" s="633"/>
      <c r="KO161" s="633"/>
      <c r="KP161" s="633"/>
      <c r="KQ161" s="633"/>
      <c r="KR161" s="633"/>
      <c r="KS161" s="633"/>
      <c r="KT161" s="633"/>
      <c r="KU161" s="633"/>
      <c r="KV161" s="633"/>
      <c r="KW161" s="633"/>
      <c r="KX161" s="633"/>
      <c r="KY161" s="633"/>
      <c r="KZ161" s="633"/>
      <c r="LA161" s="633"/>
      <c r="LB161" s="633"/>
      <c r="LC161" s="633"/>
      <c r="LD161" s="633"/>
      <c r="LE161" s="633"/>
      <c r="LF161" s="633"/>
      <c r="LG161" s="633"/>
      <c r="LH161" s="633"/>
      <c r="LI161" s="633"/>
      <c r="LJ161" s="633"/>
      <c r="LK161" s="633"/>
      <c r="LL161" s="633"/>
      <c r="LM161" s="633"/>
      <c r="LN161" s="633"/>
      <c r="LO161" s="633"/>
      <c r="LP161" s="633"/>
      <c r="LQ161" s="633"/>
      <c r="LR161" s="633"/>
      <c r="LS161" s="633"/>
      <c r="LT161" s="633"/>
      <c r="LU161" s="633"/>
      <c r="LV161" s="633"/>
      <c r="LW161" s="633"/>
      <c r="LX161" s="633"/>
      <c r="LY161" s="633"/>
      <c r="LZ161" s="633"/>
      <c r="MA161" s="633"/>
      <c r="MB161" s="633"/>
      <c r="MC161" s="633"/>
      <c r="MD161" s="633"/>
      <c r="ME161" s="633"/>
      <c r="MF161" s="633"/>
      <c r="MG161" s="633"/>
      <c r="MH161" s="633"/>
      <c r="MI161" s="633"/>
      <c r="MJ161" s="633"/>
      <c r="MK161" s="633"/>
      <c r="ML161" s="633"/>
      <c r="MM161" s="633"/>
      <c r="MN161" s="633"/>
      <c r="MO161" s="633"/>
      <c r="MP161" s="633"/>
      <c r="MQ161" s="633"/>
      <c r="MR161" s="633"/>
      <c r="MS161" s="633"/>
      <c r="MT161" s="633"/>
      <c r="MU161" s="633"/>
      <c r="MV161" s="633"/>
      <c r="MW161" s="633"/>
      <c r="MX161" s="633"/>
      <c r="MY161" s="633"/>
      <c r="MZ161" s="633"/>
      <c r="NA161" s="633"/>
      <c r="NB161" s="633"/>
      <c r="NC161" s="633"/>
      <c r="ND161" s="633"/>
      <c r="NE161" s="633"/>
      <c r="NF161" s="633"/>
      <c r="NG161" s="633"/>
      <c r="NH161" s="633"/>
      <c r="NI161" s="633"/>
      <c r="NJ161" s="633"/>
      <c r="NK161" s="633"/>
      <c r="NL161" s="633"/>
      <c r="NM161" s="633"/>
      <c r="NN161" s="633"/>
      <c r="NO161" s="633"/>
      <c r="NP161" s="633"/>
      <c r="NQ161" s="633"/>
      <c r="NR161" s="633"/>
      <c r="NS161" s="633"/>
      <c r="NT161" s="633"/>
      <c r="NU161" s="633"/>
      <c r="NV161" s="633"/>
      <c r="NW161" s="633"/>
      <c r="NX161" s="633"/>
      <c r="NY161" s="633"/>
      <c r="NZ161" s="633"/>
      <c r="OA161" s="633"/>
      <c r="OB161" s="633"/>
      <c r="OC161" s="633"/>
      <c r="OD161" s="633"/>
      <c r="OE161" s="633"/>
      <c r="OF161" s="633"/>
      <c r="OG161" s="633"/>
      <c r="OH161" s="633"/>
      <c r="OI161" s="633"/>
      <c r="OJ161" s="633"/>
      <c r="OK161" s="633"/>
      <c r="OL161" s="633"/>
      <c r="OM161" s="633"/>
      <c r="ON161" s="633"/>
      <c r="OO161" s="633"/>
      <c r="OP161" s="633"/>
      <c r="OQ161" s="633"/>
      <c r="OR161" s="633"/>
      <c r="OS161" s="633"/>
      <c r="OT161" s="633"/>
      <c r="OU161" s="633"/>
      <c r="OV161" s="633"/>
      <c r="OW161" s="633"/>
      <c r="OX161" s="633"/>
      <c r="OY161" s="633"/>
      <c r="OZ161" s="633"/>
      <c r="PA161" s="633"/>
      <c r="PB161" s="633"/>
      <c r="PC161" s="633"/>
      <c r="PD161" s="633"/>
      <c r="PE161" s="633"/>
      <c r="PF161" s="633"/>
      <c r="PG161" s="633"/>
      <c r="PH161" s="633"/>
      <c r="PI161" s="633"/>
      <c r="PJ161" s="633"/>
      <c r="PK161" s="633"/>
      <c r="PL161" s="633"/>
      <c r="PM161" s="633"/>
      <c r="PN161" s="633"/>
      <c r="PO161" s="633"/>
      <c r="PP161" s="633"/>
      <c r="PQ161" s="633"/>
      <c r="PR161" s="633"/>
      <c r="PS161" s="633"/>
      <c r="PT161" s="633"/>
      <c r="PU161" s="633"/>
      <c r="PV161" s="633"/>
      <c r="PW161" s="633"/>
      <c r="PX161" s="633"/>
      <c r="PY161" s="633"/>
      <c r="PZ161" s="633"/>
      <c r="QA161" s="633"/>
      <c r="QB161" s="633"/>
      <c r="QC161" s="633"/>
      <c r="QD161" s="633"/>
      <c r="QE161" s="633"/>
      <c r="QF161" s="633"/>
      <c r="QG161" s="633"/>
      <c r="QH161" s="633"/>
      <c r="QI161" s="633"/>
      <c r="QJ161" s="633"/>
      <c r="QK161" s="633"/>
      <c r="QL161" s="633"/>
      <c r="QM161" s="633"/>
      <c r="QN161" s="633"/>
      <c r="QO161" s="633"/>
      <c r="QP161" s="633"/>
      <c r="QQ161" s="633"/>
      <c r="QR161" s="633"/>
      <c r="QS161" s="633"/>
      <c r="QT161" s="633"/>
      <c r="QU161" s="633"/>
      <c r="QV161" s="633"/>
      <c r="QW161" s="633"/>
      <c r="QX161" s="633"/>
      <c r="QY161" s="633"/>
      <c r="QZ161" s="633"/>
      <c r="RA161" s="633"/>
      <c r="RB161" s="633"/>
      <c r="RC161" s="633"/>
      <c r="RD161" s="633"/>
      <c r="RE161" s="633"/>
      <c r="RF161" s="633"/>
      <c r="RG161" s="633"/>
      <c r="RH161" s="633"/>
      <c r="RI161" s="633"/>
      <c r="RJ161" s="633"/>
      <c r="RK161" s="633"/>
      <c r="RL161" s="633"/>
      <c r="RM161" s="633"/>
      <c r="RN161" s="633"/>
      <c r="RO161" s="633"/>
      <c r="RP161" s="633"/>
      <c r="RQ161" s="633"/>
      <c r="RR161" s="633"/>
      <c r="RS161" s="633"/>
      <c r="RT161" s="633"/>
      <c r="RU161" s="633"/>
      <c r="RV161" s="633"/>
      <c r="RW161" s="633"/>
      <c r="RX161" s="633"/>
      <c r="RY161" s="633"/>
      <c r="RZ161" s="633"/>
      <c r="SA161" s="633"/>
      <c r="SB161" s="633"/>
      <c r="SC161" s="633"/>
      <c r="SD161" s="633"/>
      <c r="SE161" s="633"/>
      <c r="SF161" s="633"/>
      <c r="SG161" s="633"/>
      <c r="SH161" s="633"/>
      <c r="SI161" s="633"/>
      <c r="SJ161" s="633"/>
      <c r="SK161" s="633"/>
      <c r="SL161" s="633"/>
      <c r="SM161" s="633"/>
      <c r="SN161" s="633"/>
      <c r="SO161" s="633"/>
      <c r="SP161" s="633"/>
      <c r="SQ161" s="633"/>
      <c r="SR161" s="633"/>
      <c r="SS161" s="633"/>
      <c r="ST161" s="633"/>
      <c r="SU161" s="633"/>
      <c r="SV161" s="633"/>
      <c r="SW161" s="633"/>
      <c r="SX161" s="633"/>
      <c r="SY161" s="633"/>
      <c r="SZ161" s="633"/>
      <c r="TA161" s="633"/>
      <c r="TB161" s="633"/>
      <c r="TC161" s="633"/>
      <c r="TD161" s="633"/>
      <c r="TE161" s="633"/>
      <c r="TF161" s="633"/>
      <c r="TG161" s="633"/>
      <c r="TH161" s="633"/>
      <c r="TI161" s="633"/>
      <c r="TJ161" s="633"/>
      <c r="TK161" s="633"/>
      <c r="TL161" s="633"/>
      <c r="TM161" s="633"/>
      <c r="TN161" s="633"/>
      <c r="TO161" s="633"/>
      <c r="TP161" s="633"/>
      <c r="TQ161" s="633"/>
      <c r="TR161" s="633"/>
      <c r="TS161" s="633"/>
      <c r="TT161" s="633"/>
      <c r="TU161" s="633"/>
      <c r="TV161" s="633"/>
      <c r="TW161" s="633"/>
      <c r="TX161" s="633"/>
      <c r="TY161" s="633"/>
      <c r="TZ161" s="633"/>
      <c r="UA161" s="633"/>
      <c r="UB161" s="633"/>
      <c r="UC161" s="633"/>
      <c r="UD161" s="633"/>
      <c r="UE161" s="633"/>
      <c r="UF161" s="633"/>
      <c r="UG161" s="633"/>
      <c r="UH161" s="633"/>
      <c r="UI161" s="633"/>
      <c r="UJ161" s="633"/>
      <c r="UK161" s="633"/>
      <c r="UL161" s="633"/>
      <c r="UM161" s="633"/>
      <c r="UN161" s="633"/>
      <c r="UO161" s="633"/>
      <c r="UP161" s="633"/>
      <c r="UQ161" s="633"/>
      <c r="UR161" s="633"/>
      <c r="US161" s="633"/>
      <c r="UT161" s="633"/>
      <c r="UU161" s="633"/>
      <c r="UV161" s="633"/>
      <c r="UW161" s="633"/>
      <c r="UX161" s="633"/>
      <c r="UY161" s="633"/>
      <c r="UZ161" s="633"/>
      <c r="VA161" s="633"/>
      <c r="VB161" s="633"/>
      <c r="VC161" s="633"/>
      <c r="VD161" s="633"/>
      <c r="VE161" s="633"/>
      <c r="VF161" s="633"/>
      <c r="VG161" s="633"/>
      <c r="VH161" s="633"/>
      <c r="VI161" s="633"/>
      <c r="VJ161" s="633"/>
      <c r="VK161" s="633"/>
      <c r="VL161" s="633"/>
      <c r="VM161" s="633"/>
      <c r="VN161" s="633"/>
      <c r="VO161" s="633"/>
      <c r="VP161" s="633"/>
      <c r="VQ161" s="633"/>
      <c r="VR161" s="633"/>
      <c r="VS161" s="633"/>
      <c r="VT161" s="633"/>
      <c r="VU161" s="633"/>
      <c r="VV161" s="633"/>
      <c r="VW161" s="633"/>
      <c r="VX161" s="633"/>
      <c r="VY161" s="633"/>
      <c r="VZ161" s="633"/>
      <c r="WA161" s="633"/>
      <c r="WB161" s="633"/>
      <c r="WC161" s="633"/>
      <c r="WD161" s="633"/>
      <c r="WE161" s="633"/>
      <c r="WF161" s="633"/>
      <c r="WG161" s="633"/>
      <c r="WH161" s="633"/>
      <c r="WI161" s="633"/>
      <c r="WJ161" s="633"/>
      <c r="WK161" s="633"/>
      <c r="WL161" s="633"/>
      <c r="WM161" s="633"/>
      <c r="WN161" s="633"/>
      <c r="WO161" s="633"/>
      <c r="WP161" s="633"/>
      <c r="WQ161" s="633"/>
      <c r="WR161" s="633"/>
      <c r="WS161" s="633"/>
      <c r="WT161" s="633"/>
      <c r="WU161" s="633"/>
      <c r="WV161" s="633"/>
      <c r="WW161" s="633"/>
      <c r="WX161" s="633"/>
      <c r="WY161" s="633"/>
      <c r="WZ161" s="633"/>
      <c r="XA161" s="633"/>
      <c r="XB161" s="633"/>
      <c r="XC161" s="633"/>
      <c r="XD161" s="633"/>
      <c r="XE161" s="633"/>
      <c r="XF161" s="633"/>
      <c r="XG161" s="633"/>
      <c r="XH161" s="633"/>
      <c r="XI161" s="633"/>
      <c r="XJ161" s="633"/>
      <c r="XK161" s="633"/>
      <c r="XL161" s="633"/>
      <c r="XM161" s="633"/>
      <c r="XN161" s="633"/>
      <c r="XO161" s="633"/>
      <c r="XP161" s="633"/>
      <c r="XQ161" s="633"/>
      <c r="XR161" s="633"/>
      <c r="XS161" s="633"/>
      <c r="XT161" s="633"/>
      <c r="XU161" s="633"/>
      <c r="XV161" s="633"/>
      <c r="XW161" s="633"/>
      <c r="XX161" s="633"/>
      <c r="XY161" s="633"/>
      <c r="XZ161" s="633"/>
      <c r="YA161" s="633"/>
      <c r="YB161" s="633"/>
      <c r="YC161" s="633"/>
      <c r="YD161" s="633"/>
      <c r="YE161" s="633"/>
      <c r="YF161" s="633"/>
      <c r="YG161" s="633"/>
      <c r="YH161" s="633"/>
      <c r="YI161" s="633"/>
      <c r="YJ161" s="633"/>
      <c r="YK161" s="633"/>
      <c r="YL161" s="633"/>
      <c r="YM161" s="633"/>
      <c r="YN161" s="633"/>
      <c r="YO161" s="633"/>
      <c r="YP161" s="633"/>
      <c r="YQ161" s="633"/>
      <c r="YR161" s="633"/>
      <c r="YS161" s="633"/>
      <c r="YT161" s="633"/>
      <c r="YU161" s="633"/>
      <c r="YV161" s="633"/>
      <c r="YW161" s="633"/>
      <c r="YX161" s="633"/>
      <c r="YY161" s="633"/>
      <c r="YZ161" s="633"/>
      <c r="ZA161" s="633"/>
      <c r="ZB161" s="633"/>
      <c r="ZC161" s="633"/>
      <c r="ZD161" s="633"/>
      <c r="ZE161" s="633"/>
      <c r="ZF161" s="633"/>
      <c r="ZG161" s="633"/>
      <c r="ZH161" s="633"/>
      <c r="ZI161" s="633"/>
      <c r="ZJ161" s="633"/>
      <c r="ZK161" s="633"/>
      <c r="ZL161" s="633"/>
      <c r="ZM161" s="633"/>
      <c r="ZN161" s="633"/>
      <c r="ZO161" s="633"/>
      <c r="ZP161" s="633"/>
      <c r="ZQ161" s="633"/>
      <c r="ZR161" s="633"/>
      <c r="ZS161" s="633"/>
      <c r="ZT161" s="633"/>
      <c r="ZU161" s="633"/>
      <c r="ZV161" s="633"/>
      <c r="ZW161" s="633"/>
      <c r="ZX161" s="633"/>
      <c r="ZY161" s="633"/>
      <c r="ZZ161" s="633"/>
      <c r="AAA161" s="633"/>
      <c r="AAB161" s="633"/>
      <c r="AAC161" s="633"/>
      <c r="AAD161" s="633"/>
      <c r="AAE161" s="633"/>
      <c r="AAF161" s="633"/>
      <c r="AAG161" s="633"/>
      <c r="AAH161" s="633"/>
      <c r="AAI161" s="633"/>
      <c r="AAJ161" s="633"/>
      <c r="AAK161" s="633"/>
      <c r="AAL161" s="633"/>
      <c r="AAM161" s="633"/>
      <c r="AAN161" s="633"/>
      <c r="AAO161" s="633"/>
      <c r="AAP161" s="633"/>
      <c r="AAQ161" s="633"/>
      <c r="AAR161" s="633"/>
      <c r="AAS161" s="633"/>
      <c r="AAT161" s="633"/>
      <c r="AAU161" s="633"/>
      <c r="AAV161" s="633"/>
      <c r="AAW161" s="633"/>
      <c r="AAX161" s="633"/>
      <c r="AAY161" s="633"/>
      <c r="AAZ161" s="633"/>
      <c r="ABA161" s="633"/>
      <c r="ABB161" s="633"/>
      <c r="ABC161" s="633"/>
      <c r="ABD161" s="633"/>
      <c r="ABE161" s="633"/>
      <c r="ABF161" s="633"/>
      <c r="ABG161" s="633"/>
      <c r="ABH161" s="633"/>
      <c r="ABI161" s="633"/>
      <c r="ABJ161" s="633"/>
      <c r="ABK161" s="633"/>
      <c r="ABL161" s="633"/>
      <c r="ABM161" s="633"/>
      <c r="ABN161" s="633"/>
      <c r="ABO161" s="633"/>
      <c r="ABP161" s="633"/>
      <c r="ABQ161" s="633"/>
      <c r="ABR161" s="633"/>
      <c r="ABS161" s="633"/>
      <c r="ABT161" s="633"/>
      <c r="ABU161" s="633"/>
      <c r="ABV161" s="633"/>
      <c r="ABW161" s="633"/>
      <c r="ABX161" s="633"/>
      <c r="ABY161" s="633"/>
      <c r="ABZ161" s="633"/>
      <c r="ACA161" s="633"/>
      <c r="ACB161" s="633"/>
      <c r="ACC161" s="633"/>
      <c r="ACD161" s="633"/>
      <c r="ACE161" s="633"/>
      <c r="ACF161" s="633"/>
      <c r="ACG161" s="633"/>
      <c r="ACH161" s="633"/>
      <c r="ACI161" s="633"/>
      <c r="ACJ161" s="633"/>
      <c r="ACK161" s="633"/>
      <c r="ACL161" s="633"/>
      <c r="ACM161" s="633"/>
      <c r="ACN161" s="633"/>
      <c r="ACO161" s="633"/>
      <c r="ACP161" s="633"/>
      <c r="ACQ161" s="633"/>
      <c r="ACR161" s="633"/>
      <c r="ACS161" s="633"/>
      <c r="ACT161" s="633"/>
      <c r="ACU161" s="633"/>
      <c r="ACV161" s="633"/>
      <c r="ACW161" s="633"/>
      <c r="ACX161" s="633"/>
      <c r="ACY161" s="633"/>
      <c r="ACZ161" s="633"/>
      <c r="ADA161" s="633"/>
      <c r="ADB161" s="633"/>
      <c r="ADC161" s="633"/>
      <c r="ADD161" s="633"/>
      <c r="ADE161" s="633"/>
      <c r="ADF161" s="633"/>
      <c r="ADG161" s="633"/>
      <c r="ADH161" s="633"/>
      <c r="ADI161" s="633"/>
      <c r="ADJ161" s="633"/>
      <c r="ADK161" s="633"/>
      <c r="ADL161" s="633"/>
      <c r="ADM161" s="633"/>
      <c r="ADN161" s="633"/>
      <c r="ADO161" s="633"/>
      <c r="ADP161" s="633"/>
      <c r="ADQ161" s="633"/>
      <c r="ADR161" s="633"/>
      <c r="ADS161" s="633"/>
      <c r="ADT161" s="633"/>
      <c r="ADU161" s="633"/>
      <c r="ADV161" s="633"/>
      <c r="ADW161" s="633"/>
      <c r="ADX161" s="633"/>
      <c r="ADY161" s="633"/>
      <c r="ADZ161" s="633"/>
      <c r="AEA161" s="633"/>
      <c r="AEB161" s="633"/>
      <c r="AEC161" s="633"/>
      <c r="AED161" s="633"/>
      <c r="AEE161" s="633"/>
      <c r="AEF161" s="633"/>
      <c r="AEG161" s="633"/>
      <c r="AEH161" s="633"/>
      <c r="AEI161" s="633"/>
      <c r="AEJ161" s="633"/>
      <c r="AEK161" s="633"/>
      <c r="AEL161" s="633"/>
      <c r="AEM161" s="633"/>
      <c r="AEN161" s="633"/>
      <c r="AEO161" s="633"/>
      <c r="AEP161" s="633"/>
      <c r="AEQ161" s="633"/>
      <c r="AER161" s="633"/>
      <c r="AES161" s="633"/>
      <c r="AET161" s="633"/>
      <c r="AEU161" s="633"/>
      <c r="AEV161" s="633"/>
      <c r="AEW161" s="633"/>
      <c r="AEX161" s="633"/>
      <c r="AEY161" s="633"/>
      <c r="AEZ161" s="633"/>
      <c r="AFA161" s="633"/>
      <c r="AFB161" s="633"/>
      <c r="AFC161" s="633"/>
      <c r="AFD161" s="633"/>
      <c r="AFE161" s="633"/>
      <c r="AFF161" s="633"/>
      <c r="AFG161" s="633"/>
      <c r="AFH161" s="633"/>
      <c r="AFI161" s="633"/>
      <c r="AFJ161" s="633"/>
      <c r="AFK161" s="633"/>
      <c r="AFL161" s="633"/>
      <c r="AFM161" s="633"/>
      <c r="AFN161" s="633"/>
      <c r="AFO161" s="633"/>
      <c r="AFP161" s="633"/>
      <c r="AFQ161" s="633"/>
      <c r="AFR161" s="633"/>
      <c r="AFS161" s="633"/>
      <c r="AFT161" s="633"/>
      <c r="AFU161" s="633"/>
      <c r="AFV161" s="633"/>
      <c r="AFW161" s="633"/>
      <c r="AFX161" s="633"/>
      <c r="AFY161" s="633"/>
      <c r="AFZ161" s="633"/>
      <c r="AGA161" s="633"/>
      <c r="AGB161" s="633"/>
      <c r="AGC161" s="633"/>
      <c r="AGD161" s="633"/>
      <c r="AGE161" s="633"/>
      <c r="AGF161" s="633"/>
      <c r="AGG161" s="633"/>
      <c r="AGH161" s="633"/>
      <c r="AGI161" s="633"/>
      <c r="AGJ161" s="633"/>
      <c r="AGK161" s="633"/>
      <c r="AGL161" s="633"/>
      <c r="AGM161" s="633"/>
      <c r="AGN161" s="633"/>
      <c r="AGO161" s="633"/>
      <c r="AGP161" s="633"/>
      <c r="AGQ161" s="633"/>
      <c r="AGR161" s="633"/>
      <c r="AGS161" s="633"/>
      <c r="AGT161" s="633"/>
      <c r="AGU161" s="633"/>
      <c r="AGV161" s="633"/>
      <c r="AGW161" s="633"/>
      <c r="AGX161" s="633"/>
      <c r="AGY161" s="633"/>
      <c r="AGZ161" s="633"/>
      <c r="AHA161" s="633"/>
      <c r="AHB161" s="633"/>
      <c r="AHC161" s="633"/>
      <c r="AHD161" s="633"/>
      <c r="AHE161" s="633"/>
      <c r="AHF161" s="633"/>
      <c r="AHG161" s="633"/>
      <c r="AHH161" s="633"/>
      <c r="AHI161" s="633"/>
      <c r="AHJ161" s="633"/>
      <c r="AHK161" s="633"/>
      <c r="AHL161" s="633"/>
      <c r="AHM161" s="633"/>
      <c r="AHN161" s="633"/>
      <c r="AHO161" s="633"/>
      <c r="AHP161" s="633"/>
      <c r="AHQ161" s="633"/>
      <c r="AHR161" s="633"/>
      <c r="AHS161" s="633"/>
      <c r="AHT161" s="633"/>
      <c r="AHU161" s="633"/>
      <c r="AHV161" s="633"/>
      <c r="AHW161" s="633"/>
      <c r="AHX161" s="633"/>
      <c r="AHY161" s="633"/>
      <c r="AHZ161" s="633"/>
      <c r="AIA161" s="633"/>
      <c r="AIB161" s="633"/>
      <c r="AIC161" s="633"/>
      <c r="AID161" s="633"/>
      <c r="AIE161" s="633"/>
      <c r="AIF161" s="633"/>
      <c r="AIG161" s="633"/>
      <c r="AIH161" s="633"/>
      <c r="AII161" s="633"/>
      <c r="AIJ161" s="633"/>
      <c r="AIK161" s="633"/>
      <c r="AIL161" s="633"/>
      <c r="AIM161" s="633"/>
      <c r="AIN161" s="633"/>
      <c r="AIO161" s="633"/>
      <c r="AIP161" s="633"/>
      <c r="AIQ161" s="633"/>
      <c r="AIR161" s="633"/>
      <c r="AIS161" s="633"/>
      <c r="AIT161" s="633"/>
      <c r="AIU161" s="633"/>
      <c r="AIV161" s="633"/>
      <c r="AIW161" s="633"/>
      <c r="AIX161" s="633"/>
      <c r="AIY161" s="633"/>
      <c r="AIZ161" s="633"/>
      <c r="AJA161" s="633"/>
      <c r="AJB161" s="633"/>
      <c r="AJC161" s="633"/>
      <c r="AJD161" s="633"/>
      <c r="AJE161" s="633"/>
      <c r="AJF161" s="633"/>
      <c r="AJG161" s="633"/>
      <c r="AJH161" s="633"/>
      <c r="AJI161" s="633"/>
      <c r="AJJ161" s="633"/>
      <c r="AJK161" s="633"/>
      <c r="AJL161" s="633"/>
      <c r="AJM161" s="633"/>
      <c r="AJN161" s="633"/>
      <c r="AJO161" s="633"/>
      <c r="AJP161" s="633"/>
      <c r="AJQ161" s="633"/>
      <c r="AJR161" s="633"/>
      <c r="AJS161" s="633"/>
      <c r="AJT161" s="633"/>
      <c r="AJU161" s="633"/>
      <c r="AJV161" s="633"/>
      <c r="AJW161" s="633"/>
      <c r="AJX161" s="633"/>
      <c r="AJY161" s="633"/>
      <c r="AJZ161" s="633"/>
      <c r="AKA161" s="633"/>
      <c r="AKB161" s="633"/>
      <c r="AKC161" s="633"/>
      <c r="AKD161" s="633"/>
      <c r="AKE161" s="633"/>
      <c r="AKF161" s="633"/>
      <c r="AKG161" s="633"/>
      <c r="AKH161" s="633"/>
      <c r="AKI161" s="633"/>
      <c r="AKJ161" s="633"/>
      <c r="AKK161" s="633"/>
      <c r="AKL161" s="633"/>
      <c r="AKM161" s="633"/>
      <c r="AKN161" s="633"/>
      <c r="AKO161" s="633"/>
      <c r="AKP161" s="633"/>
      <c r="AKQ161" s="633"/>
      <c r="AKR161" s="633"/>
      <c r="AKS161" s="633"/>
      <c r="AKT161" s="633"/>
      <c r="AKU161" s="633"/>
      <c r="AKV161" s="633"/>
      <c r="AKW161" s="633"/>
      <c r="AKX161" s="633"/>
      <c r="AKY161" s="633"/>
      <c r="AKZ161" s="633"/>
      <c r="ALA161" s="633"/>
      <c r="ALB161" s="633"/>
      <c r="ALC161" s="633"/>
      <c r="ALD161" s="633"/>
      <c r="ALE161" s="633"/>
      <c r="ALF161" s="633"/>
      <c r="ALG161" s="633"/>
      <c r="ALH161" s="633"/>
      <c r="ALI161" s="633"/>
      <c r="ALJ161" s="633"/>
      <c r="ALK161" s="633"/>
      <c r="ALL161" s="633"/>
      <c r="ALM161" s="633"/>
      <c r="ALN161" s="633"/>
      <c r="ALO161" s="633"/>
      <c r="ALP161" s="633"/>
      <c r="ALQ161" s="633"/>
      <c r="ALR161" s="633"/>
      <c r="ALS161" s="633"/>
      <c r="ALT161" s="633"/>
      <c r="ALU161" s="633"/>
      <c r="ALV161" s="633"/>
      <c r="ALW161" s="633"/>
      <c r="ALX161" s="633"/>
      <c r="ALY161" s="633"/>
      <c r="ALZ161" s="633"/>
      <c r="AMA161" s="633"/>
      <c r="AMB161" s="633"/>
      <c r="AMC161" s="633"/>
      <c r="AMD161" s="633"/>
      <c r="AME161" s="633"/>
      <c r="AMF161" s="633"/>
      <c r="AMG161" s="633"/>
      <c r="AMH161" s="633"/>
      <c r="AMI161" s="633"/>
      <c r="AMJ161" s="633"/>
      <c r="AMK161" s="633"/>
      <c r="AML161" s="633"/>
      <c r="AMM161" s="633"/>
      <c r="AMN161" s="633"/>
      <c r="AMO161" s="633"/>
      <c r="AMP161" s="633"/>
      <c r="AMQ161" s="633"/>
      <c r="AMR161" s="633"/>
      <c r="AMS161" s="633"/>
      <c r="AMT161" s="633"/>
      <c r="AMU161" s="633"/>
      <c r="AMV161" s="633"/>
      <c r="AMW161" s="633"/>
      <c r="AMX161" s="633"/>
      <c r="AMY161" s="633"/>
      <c r="AMZ161" s="633"/>
      <c r="ANA161" s="633"/>
      <c r="ANB161" s="633"/>
      <c r="ANC161" s="633"/>
      <c r="AND161" s="633"/>
      <c r="ANE161" s="633"/>
      <c r="ANF161" s="633"/>
      <c r="ANG161" s="633"/>
      <c r="ANH161" s="633"/>
      <c r="ANI161" s="633"/>
      <c r="ANJ161" s="633"/>
      <c r="ANK161" s="633"/>
      <c r="ANL161" s="633"/>
      <c r="ANM161" s="633"/>
      <c r="ANN161" s="633"/>
      <c r="ANO161" s="633"/>
      <c r="ANP161" s="633"/>
      <c r="ANQ161" s="633"/>
      <c r="ANR161" s="633"/>
      <c r="ANS161" s="633"/>
      <c r="ANT161" s="633"/>
      <c r="ANU161" s="633"/>
      <c r="ANV161" s="633"/>
      <c r="ANW161" s="633"/>
      <c r="ANX161" s="633"/>
      <c r="ANY161" s="633"/>
      <c r="ANZ161" s="633"/>
      <c r="AOA161" s="633"/>
      <c r="AOB161" s="633"/>
      <c r="AOC161" s="633"/>
      <c r="AOD161" s="633"/>
      <c r="AOE161" s="633"/>
      <c r="AOF161" s="633"/>
      <c r="AOG161" s="633"/>
      <c r="AOH161" s="633"/>
      <c r="AOI161" s="633"/>
      <c r="AOJ161" s="633"/>
      <c r="AOK161" s="633"/>
      <c r="AOL161" s="633"/>
      <c r="AOM161" s="633"/>
      <c r="AON161" s="633"/>
      <c r="AOO161" s="633"/>
      <c r="AOP161" s="633"/>
      <c r="AOQ161" s="633"/>
      <c r="AOR161" s="633"/>
      <c r="AOS161" s="633"/>
      <c r="AOT161" s="633"/>
      <c r="AOU161" s="633"/>
      <c r="AOV161" s="633"/>
      <c r="AOW161" s="633"/>
      <c r="AOX161" s="633"/>
      <c r="AOY161" s="633"/>
      <c r="AOZ161" s="633"/>
      <c r="APA161" s="633"/>
      <c r="APB161" s="633"/>
      <c r="APC161" s="633"/>
      <c r="APD161" s="633"/>
      <c r="APE161" s="633"/>
      <c r="APF161" s="633"/>
      <c r="APG161" s="633"/>
      <c r="APH161" s="633"/>
      <c r="API161" s="633"/>
      <c r="APJ161" s="633"/>
      <c r="APK161" s="633"/>
      <c r="APL161" s="633"/>
      <c r="APM161" s="633"/>
      <c r="APN161" s="633"/>
      <c r="APO161" s="633"/>
      <c r="APP161" s="633"/>
      <c r="APQ161" s="633"/>
      <c r="APR161" s="633"/>
      <c r="APS161" s="633"/>
      <c r="APT161" s="633"/>
      <c r="APU161" s="633"/>
      <c r="APV161" s="633"/>
      <c r="APW161" s="633"/>
      <c r="APX161" s="633"/>
      <c r="APY161" s="633"/>
      <c r="APZ161" s="633"/>
      <c r="AQA161" s="633"/>
      <c r="AQB161" s="633"/>
      <c r="AQC161" s="633"/>
      <c r="AQD161" s="633"/>
      <c r="AQE161" s="633"/>
      <c r="AQF161" s="633"/>
      <c r="AQG161" s="633"/>
      <c r="AQH161" s="633"/>
      <c r="AQI161" s="633"/>
      <c r="AQJ161" s="633"/>
      <c r="AQK161" s="633"/>
      <c r="AQL161" s="633"/>
      <c r="AQM161" s="633"/>
      <c r="AQN161" s="633"/>
      <c r="AQO161" s="633"/>
      <c r="AQP161" s="633"/>
      <c r="AQQ161" s="633"/>
      <c r="AQR161" s="633"/>
      <c r="AQS161" s="633"/>
      <c r="AQT161" s="633"/>
      <c r="AQU161" s="633"/>
      <c r="AQV161" s="633"/>
      <c r="AQW161" s="633"/>
      <c r="AQX161" s="633"/>
      <c r="AQY161" s="633"/>
      <c r="AQZ161" s="633"/>
      <c r="ARA161" s="633"/>
      <c r="ARB161" s="633"/>
      <c r="ARC161" s="633"/>
      <c r="ARD161" s="633"/>
      <c r="ARE161" s="633"/>
      <c r="ARF161" s="633"/>
      <c r="ARG161" s="633"/>
      <c r="ARH161" s="633"/>
      <c r="ARI161" s="633"/>
      <c r="ARJ161" s="633"/>
      <c r="ARK161" s="633"/>
      <c r="ARL161" s="633"/>
      <c r="ARM161" s="633"/>
      <c r="ARN161" s="633"/>
      <c r="ARO161" s="633"/>
      <c r="ARP161" s="633"/>
      <c r="ARQ161" s="633"/>
      <c r="ARR161" s="633"/>
      <c r="ARS161" s="633"/>
      <c r="ART161" s="633"/>
      <c r="ARU161" s="633"/>
      <c r="ARV161" s="633"/>
      <c r="ARW161" s="633"/>
      <c r="ARX161" s="633"/>
      <c r="ARY161" s="633"/>
      <c r="ARZ161" s="633"/>
      <c r="ASA161" s="633"/>
      <c r="ASB161" s="633"/>
      <c r="ASC161" s="633"/>
      <c r="ASD161" s="633"/>
      <c r="ASE161" s="633"/>
      <c r="ASF161" s="633"/>
      <c r="ASG161" s="633"/>
      <c r="ASH161" s="633"/>
      <c r="ASI161" s="633"/>
      <c r="ASJ161" s="633"/>
      <c r="ASK161" s="633"/>
      <c r="ASL161" s="633"/>
      <c r="ASM161" s="633"/>
      <c r="ASN161" s="633"/>
      <c r="ASO161" s="633"/>
      <c r="ASP161" s="633"/>
      <c r="ASQ161" s="633"/>
      <c r="ASR161" s="633"/>
      <c r="ASS161" s="633"/>
      <c r="AST161" s="633"/>
      <c r="ASU161" s="633"/>
      <c r="ASV161" s="633"/>
      <c r="ASW161" s="633"/>
      <c r="ASX161" s="633"/>
      <c r="ASY161" s="633"/>
      <c r="ASZ161" s="633"/>
      <c r="ATA161" s="633"/>
      <c r="ATB161" s="633"/>
      <c r="ATC161" s="633"/>
      <c r="ATD161" s="633"/>
      <c r="ATE161" s="633"/>
      <c r="ATF161" s="633"/>
      <c r="ATG161" s="633"/>
      <c r="ATH161" s="633"/>
      <c r="ATI161" s="633"/>
      <c r="ATJ161" s="633"/>
      <c r="ATK161" s="633"/>
      <c r="ATL161" s="633"/>
      <c r="ATM161" s="633"/>
      <c r="ATN161" s="633"/>
      <c r="ATO161" s="633"/>
      <c r="ATP161" s="633"/>
      <c r="ATQ161" s="633"/>
      <c r="ATR161" s="633"/>
      <c r="ATS161" s="633"/>
      <c r="ATT161" s="633"/>
      <c r="ATU161" s="633"/>
      <c r="ATV161" s="633"/>
      <c r="ATW161" s="633"/>
      <c r="ATX161" s="633"/>
      <c r="ATY161" s="633"/>
      <c r="ATZ161" s="633"/>
      <c r="AUA161" s="633"/>
      <c r="AUB161" s="633"/>
      <c r="AUC161" s="633"/>
      <c r="AUD161" s="633"/>
      <c r="AUE161" s="633"/>
      <c r="AUF161" s="633"/>
      <c r="AUG161" s="633"/>
      <c r="AUH161" s="633"/>
      <c r="AUI161" s="633"/>
      <c r="AUJ161" s="633"/>
      <c r="AUK161" s="633"/>
      <c r="AUL161" s="633"/>
      <c r="AUM161" s="633"/>
      <c r="AUN161" s="633"/>
      <c r="AUO161" s="633"/>
      <c r="AUP161" s="633"/>
      <c r="AUQ161" s="633"/>
      <c r="AUR161" s="633"/>
      <c r="AUS161" s="633"/>
      <c r="AUT161" s="633"/>
      <c r="AUU161" s="633"/>
      <c r="AUV161" s="633"/>
      <c r="AUW161" s="633"/>
      <c r="AUX161" s="633"/>
      <c r="AUY161" s="633"/>
      <c r="AUZ161" s="633"/>
      <c r="AVA161" s="633"/>
      <c r="AVB161" s="633"/>
      <c r="AVC161" s="633"/>
      <c r="AVD161" s="633"/>
      <c r="AVE161" s="633"/>
      <c r="AVF161" s="633"/>
      <c r="AVG161" s="633"/>
      <c r="AVH161" s="633"/>
      <c r="AVI161" s="633"/>
      <c r="AVJ161" s="633"/>
      <c r="AVK161" s="633"/>
      <c r="AVL161" s="633"/>
      <c r="AVM161" s="633"/>
      <c r="AVN161" s="633"/>
      <c r="AVO161" s="633"/>
      <c r="AVP161" s="633"/>
      <c r="AVQ161" s="633"/>
      <c r="AVR161" s="633"/>
      <c r="AVS161" s="633"/>
      <c r="AVT161" s="633"/>
      <c r="AVU161" s="633"/>
      <c r="AVV161" s="633"/>
      <c r="AVW161" s="633"/>
      <c r="AVX161" s="633"/>
      <c r="AVY161" s="633"/>
      <c r="AVZ161" s="633"/>
      <c r="AWA161" s="633"/>
      <c r="AWB161" s="633"/>
      <c r="AWC161" s="633"/>
      <c r="AWD161" s="633"/>
      <c r="AWE161" s="633"/>
      <c r="AWF161" s="633"/>
      <c r="AWG161" s="633"/>
      <c r="AWH161" s="633"/>
      <c r="AWI161" s="633"/>
      <c r="AWJ161" s="633"/>
      <c r="AWK161" s="633"/>
      <c r="AWL161" s="633"/>
      <c r="AWM161" s="633"/>
      <c r="AWN161" s="633"/>
      <c r="AWO161" s="633"/>
      <c r="AWP161" s="633"/>
      <c r="AWQ161" s="633"/>
      <c r="AWR161" s="633"/>
      <c r="AWS161" s="633"/>
      <c r="AWT161" s="633"/>
      <c r="AWU161" s="633"/>
      <c r="AWV161" s="633"/>
      <c r="AWW161" s="633"/>
      <c r="AWX161" s="633"/>
      <c r="AWY161" s="633"/>
      <c r="AWZ161" s="633"/>
      <c r="AXA161" s="633"/>
      <c r="AXB161" s="633"/>
      <c r="AXC161" s="633"/>
      <c r="AXD161" s="633"/>
      <c r="AXE161" s="633"/>
      <c r="AXF161" s="633"/>
      <c r="AXG161" s="633"/>
      <c r="AXH161" s="633"/>
      <c r="AXI161" s="633"/>
      <c r="AXJ161" s="633"/>
      <c r="AXK161" s="633"/>
      <c r="AXL161" s="633"/>
      <c r="AXM161" s="633"/>
      <c r="AXN161" s="633"/>
      <c r="AXO161" s="633"/>
      <c r="AXP161" s="633"/>
      <c r="AXQ161" s="633"/>
      <c r="AXR161" s="633"/>
      <c r="AXS161" s="633"/>
      <c r="AXT161" s="633"/>
      <c r="AXU161" s="633"/>
      <c r="AXV161" s="633"/>
      <c r="AXW161" s="633"/>
      <c r="AXX161" s="633"/>
      <c r="AXY161" s="633"/>
      <c r="AXZ161" s="633"/>
      <c r="AYA161" s="633"/>
      <c r="AYB161" s="633"/>
      <c r="AYC161" s="633"/>
      <c r="AYD161" s="633"/>
      <c r="AYE161" s="633"/>
      <c r="AYF161" s="633"/>
      <c r="AYG161" s="633"/>
      <c r="AYH161" s="633"/>
      <c r="AYI161" s="633"/>
      <c r="AYJ161" s="633"/>
      <c r="AYK161" s="633"/>
      <c r="AYL161" s="633"/>
      <c r="AYM161" s="633"/>
      <c r="AYN161" s="633"/>
      <c r="AYO161" s="633"/>
      <c r="AYP161" s="633"/>
      <c r="AYQ161" s="633"/>
      <c r="AYR161" s="633"/>
      <c r="AYS161" s="633"/>
      <c r="AYT161" s="633"/>
      <c r="AYU161" s="633"/>
      <c r="AYV161" s="633"/>
      <c r="AYW161" s="633"/>
      <c r="AYX161" s="633"/>
      <c r="AYY161" s="633"/>
      <c r="AYZ161" s="633"/>
      <c r="AZA161" s="633"/>
      <c r="AZB161" s="633"/>
      <c r="AZC161" s="633"/>
      <c r="AZD161" s="633"/>
      <c r="AZE161" s="633"/>
      <c r="AZF161" s="633"/>
      <c r="AZG161" s="633"/>
      <c r="AZH161" s="633"/>
      <c r="AZI161" s="633"/>
      <c r="AZJ161" s="633"/>
      <c r="AZK161" s="633"/>
      <c r="AZL161" s="633"/>
      <c r="AZM161" s="633"/>
      <c r="AZN161" s="633"/>
      <c r="AZO161" s="633"/>
      <c r="AZP161" s="633"/>
      <c r="AZQ161" s="633"/>
      <c r="AZR161" s="633"/>
      <c r="AZS161" s="633"/>
      <c r="AZT161" s="633"/>
      <c r="AZU161" s="633"/>
      <c r="AZV161" s="633"/>
      <c r="AZW161" s="633"/>
      <c r="AZX161" s="633"/>
      <c r="AZY161" s="633"/>
      <c r="AZZ161" s="633"/>
      <c r="BAA161" s="633"/>
      <c r="BAB161" s="633"/>
      <c r="BAC161" s="633"/>
      <c r="BAD161" s="633"/>
      <c r="BAE161" s="633"/>
      <c r="BAF161" s="633"/>
      <c r="BAG161" s="633"/>
      <c r="BAH161" s="633"/>
      <c r="BAI161" s="633"/>
      <c r="BAJ161" s="633"/>
      <c r="BAK161" s="633"/>
      <c r="BAL161" s="633"/>
      <c r="BAM161" s="633"/>
      <c r="BAN161" s="633"/>
      <c r="BAO161" s="633"/>
      <c r="BAP161" s="633"/>
      <c r="BAQ161" s="633"/>
      <c r="BAR161" s="633"/>
      <c r="BAS161" s="633"/>
      <c r="BAT161" s="633"/>
      <c r="BAU161" s="633"/>
      <c r="BAV161" s="633"/>
      <c r="BAW161" s="633"/>
      <c r="BAX161" s="633"/>
      <c r="BAY161" s="633"/>
      <c r="BAZ161" s="633"/>
      <c r="BBA161" s="633"/>
      <c r="BBB161" s="633"/>
      <c r="BBC161" s="633"/>
      <c r="BBD161" s="633"/>
      <c r="BBE161" s="633"/>
      <c r="BBF161" s="633"/>
      <c r="BBG161" s="633"/>
      <c r="BBH161" s="633"/>
      <c r="BBI161" s="633"/>
      <c r="BBJ161" s="633"/>
      <c r="BBK161" s="633"/>
      <c r="BBL161" s="633"/>
      <c r="BBM161" s="633"/>
      <c r="BBN161" s="633"/>
      <c r="BBO161" s="633"/>
      <c r="BBP161" s="633"/>
      <c r="BBQ161" s="633"/>
      <c r="BBR161" s="633"/>
      <c r="BBS161" s="633"/>
      <c r="BBT161" s="633"/>
      <c r="BBU161" s="633"/>
      <c r="BBV161" s="633"/>
      <c r="BBW161" s="633"/>
      <c r="BBX161" s="633"/>
      <c r="BBY161" s="633"/>
      <c r="BBZ161" s="633"/>
      <c r="BCA161" s="633"/>
      <c r="BCB161" s="633"/>
      <c r="BCC161" s="633"/>
      <c r="BCD161" s="633"/>
      <c r="BCE161" s="633"/>
      <c r="BCF161" s="633"/>
      <c r="BCG161" s="633"/>
      <c r="BCH161" s="633"/>
      <c r="BCI161" s="633"/>
      <c r="BCJ161" s="633"/>
      <c r="BCK161" s="633"/>
      <c r="BCL161" s="633"/>
      <c r="BCM161" s="633"/>
      <c r="BCN161" s="633"/>
      <c r="BCO161" s="633"/>
      <c r="BCP161" s="633"/>
      <c r="BCQ161" s="633"/>
      <c r="BCR161" s="633"/>
      <c r="BCS161" s="633"/>
      <c r="BCT161" s="633"/>
      <c r="BCU161" s="633"/>
      <c r="BCV161" s="633"/>
      <c r="BCW161" s="633"/>
      <c r="BCX161" s="633"/>
      <c r="BCY161" s="633"/>
      <c r="BCZ161" s="633"/>
      <c r="BDA161" s="633"/>
      <c r="BDB161" s="633"/>
      <c r="BDC161" s="633"/>
      <c r="BDD161" s="633"/>
      <c r="BDE161" s="633"/>
      <c r="BDF161" s="633"/>
      <c r="BDG161" s="633"/>
      <c r="BDH161" s="633"/>
      <c r="BDI161" s="633"/>
      <c r="BDJ161" s="633"/>
      <c r="BDK161" s="633"/>
      <c r="BDL161" s="633"/>
      <c r="BDM161" s="633"/>
      <c r="BDN161" s="633"/>
      <c r="BDO161" s="633"/>
      <c r="BDP161" s="633"/>
      <c r="BDQ161" s="633"/>
      <c r="BDR161" s="633"/>
      <c r="BDS161" s="633"/>
      <c r="BDT161" s="633"/>
      <c r="BDU161" s="633"/>
      <c r="BDV161" s="633"/>
      <c r="BDW161" s="633"/>
      <c r="BDX161" s="633"/>
      <c r="BDY161" s="633"/>
      <c r="BDZ161" s="633"/>
      <c r="BEA161" s="633"/>
      <c r="BEB161" s="633"/>
      <c r="BEC161" s="633"/>
      <c r="BED161" s="633"/>
      <c r="BEE161" s="633"/>
      <c r="BEF161" s="633"/>
      <c r="BEG161" s="633"/>
      <c r="BEH161" s="633"/>
      <c r="BEI161" s="633"/>
      <c r="BEJ161" s="633"/>
      <c r="BEK161" s="633"/>
      <c r="BEL161" s="633"/>
      <c r="BEM161" s="633"/>
      <c r="BEN161" s="633"/>
      <c r="BEO161" s="633"/>
      <c r="BEP161" s="633"/>
      <c r="BEQ161" s="633"/>
      <c r="BER161" s="633"/>
      <c r="BES161" s="633"/>
      <c r="BET161" s="633"/>
      <c r="BEU161" s="633"/>
      <c r="BEV161" s="633"/>
      <c r="BEW161" s="633"/>
      <c r="BEX161" s="633"/>
      <c r="BEY161" s="633"/>
      <c r="BEZ161" s="633"/>
      <c r="BFA161" s="633"/>
      <c r="BFB161" s="633"/>
      <c r="BFC161" s="633"/>
      <c r="BFD161" s="633"/>
      <c r="BFE161" s="633"/>
      <c r="BFF161" s="633"/>
      <c r="BFG161" s="633"/>
      <c r="BFH161" s="633"/>
      <c r="BFI161" s="633"/>
      <c r="BFJ161" s="633"/>
      <c r="BFK161" s="633"/>
      <c r="BFL161" s="633"/>
      <c r="BFM161" s="633"/>
      <c r="BFN161" s="633"/>
      <c r="BFO161" s="633"/>
      <c r="BFP161" s="633"/>
      <c r="BFQ161" s="633"/>
      <c r="BFR161" s="633"/>
      <c r="BFS161" s="633"/>
      <c r="BFT161" s="633"/>
      <c r="BFU161" s="633"/>
      <c r="BFV161" s="633"/>
      <c r="BFW161" s="633"/>
      <c r="BFX161" s="633"/>
      <c r="BFY161" s="633"/>
      <c r="BFZ161" s="633"/>
      <c r="BGA161" s="633"/>
      <c r="BGB161" s="633"/>
      <c r="BGC161" s="633"/>
      <c r="BGD161" s="633"/>
      <c r="BGE161" s="633"/>
      <c r="BGF161" s="633"/>
      <c r="BGG161" s="633"/>
      <c r="BGH161" s="633"/>
      <c r="BGI161" s="633"/>
      <c r="BGJ161" s="633"/>
      <c r="BGK161" s="633"/>
      <c r="BGL161" s="633"/>
      <c r="BGM161" s="633"/>
      <c r="BGN161" s="633"/>
      <c r="BGO161" s="633"/>
      <c r="BGP161" s="633"/>
      <c r="BGQ161" s="633"/>
      <c r="BGR161" s="633"/>
      <c r="BGS161" s="633"/>
      <c r="BGT161" s="633"/>
      <c r="BGU161" s="633"/>
      <c r="BGV161" s="633"/>
      <c r="BGW161" s="633"/>
      <c r="BGX161" s="633"/>
      <c r="BGY161" s="633"/>
      <c r="BGZ161" s="633"/>
      <c r="BHA161" s="633"/>
      <c r="BHB161" s="633"/>
      <c r="BHC161" s="633"/>
      <c r="BHD161" s="633"/>
      <c r="BHE161" s="633"/>
      <c r="BHF161" s="633"/>
      <c r="BHG161" s="633"/>
      <c r="BHH161" s="633"/>
      <c r="BHI161" s="633"/>
      <c r="BHJ161" s="633"/>
      <c r="BHK161" s="633"/>
      <c r="BHL161" s="633"/>
      <c r="BHM161" s="633"/>
      <c r="BHN161" s="633"/>
      <c r="BHO161" s="633"/>
      <c r="BHP161" s="633"/>
      <c r="BHQ161" s="633"/>
      <c r="BHR161" s="633"/>
      <c r="BHS161" s="633"/>
      <c r="BHT161" s="633"/>
      <c r="BHU161" s="633"/>
      <c r="BHV161" s="633"/>
      <c r="BHW161" s="633"/>
      <c r="BHX161" s="633"/>
      <c r="BHY161" s="633"/>
      <c r="BHZ161" s="633"/>
      <c r="BIA161" s="633"/>
      <c r="BIB161" s="633"/>
      <c r="BIC161" s="633"/>
      <c r="BID161" s="633"/>
      <c r="BIE161" s="633"/>
      <c r="BIF161" s="633"/>
      <c r="BIG161" s="633"/>
      <c r="BIH161" s="633"/>
      <c r="BII161" s="633"/>
      <c r="BIJ161" s="633"/>
      <c r="BIK161" s="633"/>
      <c r="BIL161" s="633"/>
      <c r="BIM161" s="633"/>
      <c r="BIN161" s="633"/>
      <c r="BIO161" s="633"/>
      <c r="BIP161" s="633"/>
      <c r="BIQ161" s="633"/>
      <c r="BIR161" s="633"/>
      <c r="BIS161" s="633"/>
      <c r="BIT161" s="633"/>
      <c r="BIU161" s="633"/>
      <c r="BIV161" s="633"/>
      <c r="BIW161" s="633"/>
      <c r="BIX161" s="633"/>
      <c r="BIY161" s="633"/>
      <c r="BIZ161" s="633"/>
      <c r="BJA161" s="633"/>
      <c r="BJB161" s="633"/>
      <c r="BJC161" s="633"/>
      <c r="BJD161" s="633"/>
      <c r="BJE161" s="633"/>
      <c r="BJF161" s="633"/>
      <c r="BJG161" s="633"/>
      <c r="BJH161" s="633"/>
      <c r="BJI161" s="633"/>
      <c r="BJJ161" s="633"/>
      <c r="BJK161" s="633"/>
      <c r="BJL161" s="633"/>
      <c r="BJM161" s="633"/>
      <c r="BJN161" s="633"/>
      <c r="BJO161" s="633"/>
      <c r="BJP161" s="633"/>
      <c r="BJQ161" s="633"/>
      <c r="BJR161" s="633"/>
      <c r="BJS161" s="633"/>
      <c r="BJT161" s="633"/>
      <c r="BJU161" s="633"/>
      <c r="BJV161" s="633"/>
      <c r="BJW161" s="633"/>
      <c r="BJX161" s="633"/>
      <c r="BJY161" s="633"/>
      <c r="BJZ161" s="633"/>
      <c r="BKA161" s="633"/>
      <c r="BKB161" s="633"/>
      <c r="BKC161" s="633"/>
      <c r="BKD161" s="633"/>
      <c r="BKE161" s="633"/>
      <c r="BKF161" s="633"/>
      <c r="BKG161" s="633"/>
      <c r="BKH161" s="633"/>
      <c r="BKI161" s="633"/>
      <c r="BKJ161" s="633"/>
      <c r="BKK161" s="633"/>
      <c r="BKL161" s="633"/>
      <c r="BKM161" s="633"/>
      <c r="BKN161" s="633"/>
      <c r="BKO161" s="633"/>
      <c r="BKP161" s="633"/>
      <c r="BKQ161" s="633"/>
      <c r="BKR161" s="633"/>
      <c r="BKS161" s="633"/>
      <c r="BKT161" s="633"/>
      <c r="BKU161" s="633"/>
      <c r="BKV161" s="633"/>
      <c r="BKW161" s="633"/>
      <c r="BKX161" s="633"/>
      <c r="BKY161" s="633"/>
      <c r="BKZ161" s="633"/>
      <c r="BLA161" s="633"/>
      <c r="BLB161" s="633"/>
      <c r="BLC161" s="633"/>
      <c r="BLD161" s="633"/>
      <c r="BLE161" s="633"/>
      <c r="BLF161" s="633"/>
      <c r="BLG161" s="633"/>
      <c r="BLH161" s="633"/>
      <c r="BLI161" s="633"/>
      <c r="BLJ161" s="633"/>
      <c r="BLK161" s="633"/>
      <c r="BLL161" s="633"/>
      <c r="BLM161" s="633"/>
      <c r="BLN161" s="633"/>
      <c r="BLO161" s="633"/>
      <c r="BLP161" s="633"/>
      <c r="BLQ161" s="633"/>
      <c r="BLR161" s="633"/>
      <c r="BLS161" s="633"/>
      <c r="BLT161" s="633"/>
      <c r="BLU161" s="633"/>
      <c r="BLV161" s="633"/>
      <c r="BLW161" s="633"/>
      <c r="BLX161" s="633"/>
      <c r="BLY161" s="633"/>
      <c r="BLZ161" s="633"/>
      <c r="BMA161" s="633"/>
      <c r="BMB161" s="633"/>
      <c r="BMC161" s="633"/>
      <c r="BMD161" s="633"/>
      <c r="BME161" s="633"/>
      <c r="BMF161" s="633"/>
      <c r="BMG161" s="633"/>
      <c r="BMH161" s="633"/>
      <c r="BMI161" s="633"/>
      <c r="BMJ161" s="633"/>
      <c r="BMK161" s="633"/>
      <c r="BML161" s="633"/>
      <c r="BMM161" s="633"/>
      <c r="BMN161" s="633"/>
      <c r="BMO161" s="633"/>
      <c r="BMP161" s="633"/>
      <c r="BMQ161" s="633"/>
      <c r="BMR161" s="633"/>
      <c r="BMS161" s="633"/>
      <c r="BMT161" s="633"/>
      <c r="BMU161" s="633"/>
      <c r="BMV161" s="633"/>
      <c r="BMW161" s="633"/>
      <c r="BMX161" s="633"/>
      <c r="BMY161" s="633"/>
      <c r="BMZ161" s="633"/>
      <c r="BNA161" s="633"/>
      <c r="BNB161" s="633"/>
      <c r="BNC161" s="633"/>
      <c r="BND161" s="633"/>
      <c r="BNE161" s="633"/>
      <c r="BNF161" s="633"/>
      <c r="BNG161" s="633"/>
      <c r="BNH161" s="633"/>
      <c r="BNI161" s="633"/>
      <c r="BNJ161" s="633"/>
      <c r="BNK161" s="633"/>
      <c r="BNL161" s="633"/>
      <c r="BNM161" s="633"/>
      <c r="BNN161" s="633"/>
      <c r="BNO161" s="633"/>
      <c r="BNP161" s="633"/>
      <c r="BNQ161" s="633"/>
      <c r="BNR161" s="633"/>
      <c r="BNS161" s="633"/>
      <c r="BNT161" s="633"/>
      <c r="BNU161" s="633"/>
      <c r="BNV161" s="633"/>
      <c r="BNW161" s="633"/>
      <c r="BNX161" s="633"/>
      <c r="BNY161" s="633"/>
      <c r="BNZ161" s="633"/>
      <c r="BOA161" s="633"/>
      <c r="BOB161" s="633"/>
      <c r="BOC161" s="633"/>
      <c r="BOD161" s="633"/>
      <c r="BOE161" s="633"/>
      <c r="BOF161" s="633"/>
      <c r="BOG161" s="633"/>
      <c r="BOH161" s="633"/>
      <c r="BOI161" s="633"/>
      <c r="BOJ161" s="633"/>
      <c r="BOK161" s="633"/>
      <c r="BOL161" s="633"/>
      <c r="BOM161" s="633"/>
      <c r="BON161" s="633"/>
      <c r="BOO161" s="633"/>
      <c r="BOP161" s="633"/>
      <c r="BOQ161" s="633"/>
      <c r="BOR161" s="633"/>
      <c r="BOS161" s="633"/>
      <c r="BOT161" s="633"/>
      <c r="BOU161" s="633"/>
      <c r="BOV161" s="633"/>
      <c r="BOW161" s="633"/>
      <c r="BOX161" s="633"/>
      <c r="BOY161" s="633"/>
      <c r="BOZ161" s="633"/>
      <c r="BPA161" s="633"/>
      <c r="BPB161" s="633"/>
      <c r="BPC161" s="633"/>
      <c r="BPD161" s="633"/>
      <c r="BPE161" s="633"/>
      <c r="BPF161" s="633"/>
      <c r="BPG161" s="633"/>
      <c r="BPH161" s="633"/>
      <c r="BPI161" s="633"/>
      <c r="BPJ161" s="633"/>
      <c r="BPK161" s="633"/>
      <c r="BPL161" s="633"/>
      <c r="BPM161" s="633"/>
      <c r="BPN161" s="633"/>
      <c r="BPO161" s="633"/>
      <c r="BPP161" s="633"/>
      <c r="BPQ161" s="633"/>
      <c r="BPR161" s="633"/>
      <c r="BPS161" s="633"/>
      <c r="BPT161" s="633"/>
      <c r="BPU161" s="633"/>
      <c r="BPV161" s="633"/>
      <c r="BPW161" s="633"/>
      <c r="BPX161" s="633"/>
      <c r="BPY161" s="633"/>
      <c r="BPZ161" s="633"/>
      <c r="BQA161" s="633"/>
      <c r="BQB161" s="633"/>
      <c r="BQC161" s="633"/>
      <c r="BQD161" s="633"/>
      <c r="BQE161" s="633"/>
      <c r="BQF161" s="633"/>
      <c r="BQG161" s="633"/>
      <c r="BQH161" s="633"/>
      <c r="BQI161" s="633"/>
      <c r="BQJ161" s="633"/>
      <c r="BQK161" s="633"/>
      <c r="BQL161" s="633"/>
      <c r="BQM161" s="633"/>
      <c r="BQN161" s="633"/>
      <c r="BQO161" s="633"/>
      <c r="BQP161" s="633"/>
      <c r="BQQ161" s="633"/>
      <c r="BQR161" s="633"/>
      <c r="BQS161" s="633"/>
      <c r="BQT161" s="633"/>
      <c r="BQU161" s="633"/>
      <c r="BQV161" s="633"/>
      <c r="BQW161" s="633"/>
      <c r="BQX161" s="633"/>
      <c r="BQY161" s="633"/>
      <c r="BQZ161" s="633"/>
      <c r="BRA161" s="633"/>
      <c r="BRB161" s="633"/>
      <c r="BRC161" s="633"/>
      <c r="BRD161" s="633"/>
      <c r="BRE161" s="633"/>
      <c r="BRF161" s="633"/>
      <c r="BRG161" s="633"/>
      <c r="BRH161" s="633"/>
      <c r="BRI161" s="633"/>
      <c r="BRJ161" s="633"/>
      <c r="BRK161" s="633"/>
      <c r="BRL161" s="633"/>
      <c r="BRM161" s="633"/>
      <c r="BRN161" s="633"/>
      <c r="BRO161" s="633"/>
      <c r="BRP161" s="633"/>
      <c r="BRQ161" s="633"/>
      <c r="BRR161" s="633"/>
      <c r="BRS161" s="633"/>
      <c r="BRT161" s="633"/>
      <c r="BRU161" s="633"/>
      <c r="BRV161" s="633"/>
      <c r="BRW161" s="633"/>
      <c r="BRX161" s="633"/>
      <c r="BRY161" s="633"/>
      <c r="BRZ161" s="633"/>
      <c r="BSA161" s="633"/>
      <c r="BSB161" s="633"/>
      <c r="BSC161" s="633"/>
      <c r="BSD161" s="633"/>
      <c r="BSE161" s="633"/>
      <c r="BSF161" s="633"/>
      <c r="BSG161" s="633"/>
      <c r="BSH161" s="633"/>
      <c r="BSI161" s="633"/>
      <c r="BSJ161" s="633"/>
      <c r="BSK161" s="633"/>
      <c r="BSL161" s="633"/>
      <c r="BSM161" s="633"/>
      <c r="BSN161" s="633"/>
      <c r="BSO161" s="633"/>
      <c r="BSP161" s="633"/>
      <c r="BSQ161" s="633"/>
      <c r="BSR161" s="633"/>
      <c r="BSS161" s="633"/>
      <c r="BST161" s="633"/>
      <c r="BSU161" s="633"/>
      <c r="BSV161" s="633"/>
      <c r="BSW161" s="633"/>
      <c r="BSX161" s="633"/>
      <c r="BSY161" s="633"/>
      <c r="BSZ161" s="633"/>
      <c r="BTA161" s="633"/>
      <c r="BTB161" s="633"/>
      <c r="BTC161" s="633"/>
      <c r="BTD161" s="633"/>
      <c r="BTE161" s="633"/>
      <c r="BTF161" s="633"/>
      <c r="BTG161" s="633"/>
      <c r="BTH161" s="633"/>
      <c r="BTI161" s="633"/>
    </row>
    <row r="162" spans="1:1881" x14ac:dyDescent="0.25">
      <c r="A162" s="189"/>
      <c r="B162" s="162" t="s">
        <v>606</v>
      </c>
      <c r="C162" s="161"/>
      <c r="D162" s="155"/>
      <c r="E162" s="147"/>
      <c r="F162" s="756"/>
      <c r="G162" s="154"/>
      <c r="H162" s="17"/>
      <c r="I162" s="298"/>
    </row>
    <row r="163" spans="1:1881" ht="85.5" customHeight="1" x14ac:dyDescent="0.25">
      <c r="A163" s="189">
        <v>535</v>
      </c>
      <c r="B163" s="183" t="s">
        <v>62</v>
      </c>
      <c r="C163" s="183" t="s">
        <v>214</v>
      </c>
      <c r="D163" s="139" t="s">
        <v>655</v>
      </c>
      <c r="E163" s="32" t="e">
        <f>HLOOKUP($D$2,'2019 Data(H)'!$C$1:$CG$300,185,FALSE)</f>
        <v>#N/A</v>
      </c>
      <c r="F163" s="609"/>
      <c r="G163" s="601" t="str">
        <f>IF(F163&lt;1,"Reminder: Please make sure you have entered all cash and investments from bond/Debt proceeds, if applicable.",)</f>
        <v>Reminder: Please make sure you have entered all cash and investments from bond/Debt proceeds, if applicable.</v>
      </c>
      <c r="H163" s="17"/>
      <c r="I163" s="298"/>
    </row>
    <row r="164" spans="1:1881" ht="18.75" x14ac:dyDescent="0.3">
      <c r="A164" s="190"/>
      <c r="B164" s="162" t="s">
        <v>31</v>
      </c>
      <c r="C164" s="161"/>
      <c r="D164" s="163"/>
      <c r="E164" s="163"/>
      <c r="F164" s="754"/>
      <c r="G164" s="575"/>
      <c r="H164" s="13"/>
      <c r="I164" s="31"/>
    </row>
    <row r="165" spans="1:1881" ht="37.5" x14ac:dyDescent="0.3">
      <c r="A165" s="190"/>
      <c r="B165" s="180"/>
      <c r="C165" s="180"/>
      <c r="D165" s="167" t="s">
        <v>2</v>
      </c>
      <c r="E165" s="6"/>
      <c r="F165" s="757"/>
      <c r="G165" s="319"/>
      <c r="H165" s="13"/>
      <c r="I165" s="31"/>
    </row>
    <row r="166" spans="1:1881" ht="36" customHeight="1" x14ac:dyDescent="0.25">
      <c r="A166" s="190"/>
      <c r="B166" s="180"/>
      <c r="C166" s="180"/>
      <c r="D166" s="164" t="s">
        <v>7</v>
      </c>
      <c r="E166" s="6"/>
      <c r="F166" s="757"/>
      <c r="G166" s="319"/>
      <c r="H166" s="13"/>
      <c r="I166" s="31"/>
    </row>
    <row r="167" spans="1:1881" ht="36.75" customHeight="1" x14ac:dyDescent="0.25">
      <c r="A167" s="189">
        <v>334</v>
      </c>
      <c r="B167" s="64" t="s">
        <v>63</v>
      </c>
      <c r="C167" s="165" t="s">
        <v>229</v>
      </c>
      <c r="D167" s="166" t="s">
        <v>227</v>
      </c>
      <c r="E167" s="32" t="e">
        <f>HLOOKUP($D$2,'2019 Data(H)'!$C$1:$CG$300,100,FALSE)</f>
        <v>#N/A</v>
      </c>
      <c r="F167" s="609"/>
      <c r="G167" s="319"/>
      <c r="H167" s="13"/>
      <c r="I167" s="31"/>
    </row>
    <row r="168" spans="1:1881" ht="36.75" customHeight="1" x14ac:dyDescent="0.25">
      <c r="A168" s="189">
        <v>373</v>
      </c>
      <c r="B168" s="64" t="s">
        <v>63</v>
      </c>
      <c r="C168" s="165" t="s">
        <v>229</v>
      </c>
      <c r="D168" s="176" t="s">
        <v>228</v>
      </c>
      <c r="E168" s="32" t="e">
        <f>HLOOKUP($D$2,'2019 Data(H)'!$C$1:$CG$300,133,FALSE)</f>
        <v>#N/A</v>
      </c>
      <c r="F168" s="609"/>
      <c r="G168" s="601">
        <f>IF(F168&lt;0,"Error: Enter as positive.",)</f>
        <v>0</v>
      </c>
      <c r="H168" s="13"/>
      <c r="I168" s="31"/>
    </row>
    <row r="169" spans="1:1881" ht="18.75" x14ac:dyDescent="0.3">
      <c r="A169" s="190"/>
      <c r="B169" s="181"/>
      <c r="C169" s="181"/>
      <c r="D169" s="168"/>
      <c r="E169" s="9"/>
      <c r="F169" s="758"/>
      <c r="G169" s="319"/>
      <c r="H169" s="13"/>
      <c r="I169" s="31"/>
    </row>
    <row r="170" spans="1:1881" ht="73.5" x14ac:dyDescent="0.25">
      <c r="A170" s="190"/>
      <c r="B170" s="180"/>
      <c r="C170" s="186"/>
      <c r="D170" s="174" t="s">
        <v>245</v>
      </c>
      <c r="E170" s="6"/>
      <c r="F170" s="757"/>
      <c r="G170" s="319"/>
      <c r="H170" s="13"/>
      <c r="I170" s="31"/>
    </row>
    <row r="171" spans="1:1881" ht="30" x14ac:dyDescent="0.25">
      <c r="A171" s="190"/>
      <c r="B171" s="180"/>
      <c r="C171" s="186"/>
      <c r="D171" s="166" t="s">
        <v>32</v>
      </c>
      <c r="E171" s="6"/>
      <c r="F171" s="757"/>
      <c r="G171" s="319"/>
      <c r="H171" s="13"/>
      <c r="I171" s="31"/>
    </row>
    <row r="172" spans="1:1881" ht="51.75" customHeight="1" x14ac:dyDescent="0.25">
      <c r="A172" s="189">
        <v>327</v>
      </c>
      <c r="B172" s="151" t="s">
        <v>42</v>
      </c>
      <c r="C172" s="185" t="s">
        <v>233</v>
      </c>
      <c r="D172" s="169" t="s">
        <v>230</v>
      </c>
      <c r="E172" s="32" t="e">
        <f>HLOOKUP($D$2,'2019 Data(H)'!$C$1:$CG$300,94,FALSE)</f>
        <v>#N/A</v>
      </c>
      <c r="F172" s="759"/>
      <c r="G172" s="319"/>
      <c r="H172" s="13"/>
      <c r="I172" s="298"/>
    </row>
    <row r="173" spans="1:1881" ht="51.75" customHeight="1" x14ac:dyDescent="0.25">
      <c r="A173" s="189">
        <v>328</v>
      </c>
      <c r="B173" s="151" t="s">
        <v>42</v>
      </c>
      <c r="C173" s="185" t="s">
        <v>233</v>
      </c>
      <c r="D173" s="177" t="s">
        <v>8</v>
      </c>
      <c r="E173" s="32" t="e">
        <f>HLOOKUP($D$2,'2019 Data(H)'!$C$1:$CG$300,95,FALSE)</f>
        <v>#N/A</v>
      </c>
      <c r="F173" s="759"/>
      <c r="G173" s="319"/>
      <c r="H173" s="13"/>
      <c r="I173" s="298"/>
    </row>
    <row r="174" spans="1:1881" ht="30" x14ac:dyDescent="0.25">
      <c r="A174" s="190"/>
      <c r="B174" s="180"/>
      <c r="C174" s="186"/>
      <c r="D174" s="178" t="s">
        <v>231</v>
      </c>
      <c r="E174" s="378" t="e">
        <f>SUM(E172:E173)</f>
        <v>#N/A</v>
      </c>
      <c r="F174" s="378">
        <f>SUM(F172:F173)</f>
        <v>0</v>
      </c>
      <c r="G174" s="319"/>
      <c r="H174" s="13"/>
      <c r="I174" s="31"/>
    </row>
    <row r="175" spans="1:1881" ht="30" x14ac:dyDescent="0.25">
      <c r="A175" s="190"/>
      <c r="B175" s="180"/>
      <c r="C175" s="186"/>
      <c r="D175" s="166" t="s">
        <v>33</v>
      </c>
      <c r="E175" s="6"/>
      <c r="F175" s="757"/>
      <c r="G175" s="319"/>
      <c r="H175" s="13"/>
      <c r="I175" s="31"/>
    </row>
    <row r="176" spans="1:1881" ht="24" customHeight="1" x14ac:dyDescent="0.25">
      <c r="A176" s="190"/>
      <c r="B176" s="180"/>
      <c r="C176" s="186"/>
      <c r="D176" s="173" t="s">
        <v>10</v>
      </c>
      <c r="E176" s="69"/>
      <c r="F176" s="760"/>
      <c r="G176" s="319"/>
      <c r="H176" s="13"/>
      <c r="I176" s="31"/>
    </row>
    <row r="177" spans="1:1881" ht="40.5" customHeight="1" x14ac:dyDescent="0.25">
      <c r="A177" s="189">
        <v>515</v>
      </c>
      <c r="B177" s="151" t="s">
        <v>595</v>
      </c>
      <c r="C177" s="185" t="s">
        <v>234</v>
      </c>
      <c r="D177" s="179" t="s">
        <v>3</v>
      </c>
      <c r="E177" s="32" t="e">
        <f>HLOOKUP($D$2,'2019 Data(H)'!$C$1:$CG$300,165,FALSE)</f>
        <v>#N/A</v>
      </c>
      <c r="F177" s="609"/>
      <c r="G177" s="413"/>
      <c r="H177" s="13"/>
      <c r="I177" s="31"/>
    </row>
    <row r="178" spans="1:1881" ht="40.5" customHeight="1" x14ac:dyDescent="0.25">
      <c r="A178" s="189">
        <v>516</v>
      </c>
      <c r="B178" s="151" t="s">
        <v>595</v>
      </c>
      <c r="C178" s="185" t="s">
        <v>234</v>
      </c>
      <c r="D178" s="179" t="s">
        <v>4</v>
      </c>
      <c r="E178" s="32" t="e">
        <f>HLOOKUP($D$2,'2019 Data(H)'!$C$1:$CG$300,166,FALSE)</f>
        <v>#N/A</v>
      </c>
      <c r="F178" s="609"/>
      <c r="G178" s="413"/>
      <c r="H178" s="13"/>
      <c r="I178" s="31"/>
    </row>
    <row r="179" spans="1:1881" ht="40.5" customHeight="1" x14ac:dyDescent="0.25">
      <c r="A179" s="189">
        <v>517</v>
      </c>
      <c r="B179" s="151" t="s">
        <v>595</v>
      </c>
      <c r="C179" s="185" t="s">
        <v>234</v>
      </c>
      <c r="D179" s="179" t="s">
        <v>5</v>
      </c>
      <c r="E179" s="32" t="e">
        <f>HLOOKUP($D$2,'2019 Data(H)'!$C$1:$CG$300,167,FALSE)</f>
        <v>#N/A</v>
      </c>
      <c r="F179" s="609"/>
      <c r="G179" s="413"/>
      <c r="H179" s="13"/>
      <c r="I179" s="31"/>
    </row>
    <row r="180" spans="1:1881" ht="40.5" customHeight="1" x14ac:dyDescent="0.25">
      <c r="A180" s="189">
        <v>518</v>
      </c>
      <c r="B180" s="151" t="s">
        <v>595</v>
      </c>
      <c r="C180" s="185" t="s">
        <v>234</v>
      </c>
      <c r="D180" s="179" t="s">
        <v>44</v>
      </c>
      <c r="E180" s="32" t="e">
        <f>HLOOKUP($D$2,'2019 Data(H)'!$C$1:$CG$300,168,FALSE)</f>
        <v>#N/A</v>
      </c>
      <c r="F180" s="609"/>
      <c r="G180" s="413"/>
      <c r="H180" s="13"/>
      <c r="I180" s="31"/>
    </row>
    <row r="181" spans="1:1881" ht="30" x14ac:dyDescent="0.25">
      <c r="A181"/>
      <c r="B181" s="180"/>
      <c r="C181" s="184"/>
      <c r="D181" s="172" t="s">
        <v>34</v>
      </c>
      <c r="E181" s="378" t="e">
        <f>SUM(E177:E180)</f>
        <v>#N/A</v>
      </c>
      <c r="F181" s="378">
        <f>SUM(F177:F180)</f>
        <v>0</v>
      </c>
      <c r="G181" s="319"/>
      <c r="H181" s="13"/>
      <c r="I181" s="31"/>
    </row>
    <row r="182" spans="1:1881" ht="30.75" customHeight="1" x14ac:dyDescent="0.25">
      <c r="A182" s="190"/>
      <c r="B182" s="180"/>
      <c r="C182" s="184"/>
      <c r="D182" s="173" t="s">
        <v>55</v>
      </c>
      <c r="E182" s="6"/>
      <c r="F182" s="757"/>
      <c r="G182" s="319"/>
      <c r="H182" s="13"/>
      <c r="I182" s="31"/>
    </row>
    <row r="183" spans="1:1881" ht="45" customHeight="1" x14ac:dyDescent="0.25">
      <c r="A183" s="189">
        <v>519</v>
      </c>
      <c r="B183" s="151" t="s">
        <v>42</v>
      </c>
      <c r="C183" s="185" t="s">
        <v>235</v>
      </c>
      <c r="D183" s="179" t="s">
        <v>16</v>
      </c>
      <c r="E183" s="32" t="e">
        <f>HLOOKUP($D$2,'2019 Data(H)'!$C$1:$CG$300,169,FALSE)</f>
        <v>#N/A</v>
      </c>
      <c r="F183" s="609"/>
      <c r="G183" s="601">
        <f>IF(F183&lt;0,"Error: Enter as positive.",)</f>
        <v>0</v>
      </c>
      <c r="H183" s="13"/>
      <c r="I183" s="31"/>
    </row>
    <row r="184" spans="1:1881" ht="45" customHeight="1" x14ac:dyDescent="0.25">
      <c r="A184" s="189">
        <v>520</v>
      </c>
      <c r="B184" s="151" t="s">
        <v>42</v>
      </c>
      <c r="C184" s="185" t="s">
        <v>235</v>
      </c>
      <c r="D184" s="179" t="s">
        <v>18</v>
      </c>
      <c r="E184" s="32" t="e">
        <f>HLOOKUP($D$2,'2019 Data(H)'!$C$1:$CG$300,170,FALSE)</f>
        <v>#N/A</v>
      </c>
      <c r="F184" s="609"/>
      <c r="G184" s="601">
        <f>IF(F184&lt;0,"Error: Enter as positive.",)</f>
        <v>0</v>
      </c>
      <c r="H184" s="13"/>
      <c r="I184" s="31"/>
    </row>
    <row r="185" spans="1:1881" ht="45" customHeight="1" x14ac:dyDescent="0.25">
      <c r="A185" s="189">
        <v>521</v>
      </c>
      <c r="B185" s="151" t="s">
        <v>42</v>
      </c>
      <c r="C185" s="185" t="s">
        <v>235</v>
      </c>
      <c r="D185" s="179" t="s">
        <v>20</v>
      </c>
      <c r="E185" s="32" t="e">
        <f>HLOOKUP($D$2,'2019 Data(H)'!$C$1:$CG$300,171,FALSE)</f>
        <v>#N/A</v>
      </c>
      <c r="F185" s="609"/>
      <c r="G185" s="601">
        <f>IF(F185&lt;0,"Error: Enter as positive.",)</f>
        <v>0</v>
      </c>
      <c r="H185" s="13"/>
      <c r="I185" s="31"/>
    </row>
    <row r="186" spans="1:1881" ht="38.25" x14ac:dyDescent="0.25">
      <c r="A186" s="189">
        <v>522</v>
      </c>
      <c r="B186" s="151" t="s">
        <v>42</v>
      </c>
      <c r="C186" s="185" t="s">
        <v>235</v>
      </c>
      <c r="D186" s="179" t="s">
        <v>45</v>
      </c>
      <c r="E186" s="32" t="e">
        <f>HLOOKUP($D$2,'2019 Data(H)'!$C$1:$CG$300,172,FALSE)</f>
        <v>#N/A</v>
      </c>
      <c r="F186" s="609"/>
      <c r="G186" s="601">
        <f>IF(F186&lt;0,"Error: Enter as positive.",)</f>
        <v>0</v>
      </c>
      <c r="H186" s="13"/>
      <c r="I186" s="31"/>
    </row>
    <row r="187" spans="1:1881" ht="17.25" customHeight="1" x14ac:dyDescent="0.25">
      <c r="A187" s="25"/>
      <c r="B187" s="180"/>
      <c r="C187" s="184"/>
      <c r="D187" s="170" t="s">
        <v>39</v>
      </c>
      <c r="E187" s="378" t="e">
        <f>SUM(E183:E186)</f>
        <v>#N/A</v>
      </c>
      <c r="F187" s="378">
        <f>SUM(F183:F186)</f>
        <v>0</v>
      </c>
      <c r="G187" s="579"/>
      <c r="H187" s="13"/>
      <c r="I187" s="31"/>
    </row>
    <row r="188" spans="1:1881" ht="17.25" customHeight="1" x14ac:dyDescent="0.25">
      <c r="A188" s="25"/>
      <c r="B188" s="180"/>
      <c r="C188" s="184"/>
      <c r="D188" s="173" t="s">
        <v>37</v>
      </c>
      <c r="E188" s="21"/>
      <c r="F188" s="761"/>
      <c r="G188" s="579"/>
      <c r="H188" s="13"/>
      <c r="I188" s="31"/>
    </row>
    <row r="189" spans="1:1881" ht="57.75" customHeight="1" x14ac:dyDescent="0.25">
      <c r="A189" s="189">
        <v>523</v>
      </c>
      <c r="B189" s="151" t="s">
        <v>595</v>
      </c>
      <c r="C189" s="185" t="s">
        <v>236</v>
      </c>
      <c r="D189" s="179" t="s">
        <v>17</v>
      </c>
      <c r="E189" s="32" t="e">
        <f>HLOOKUP($D$2,'2019 Data(H)'!$C$1:$CG$300,173,FALSE)</f>
        <v>#N/A</v>
      </c>
      <c r="F189" s="609"/>
      <c r="G189" s="601">
        <f>IF(F189&lt;0,"Error: Enter as positive.",)</f>
        <v>0</v>
      </c>
      <c r="H189" s="13"/>
      <c r="I189" s="31"/>
    </row>
    <row r="190" spans="1:1881" s="320" customFormat="1" ht="57.75" customHeight="1" x14ac:dyDescent="0.25">
      <c r="A190" s="189">
        <v>524</v>
      </c>
      <c r="B190" s="151" t="s">
        <v>595</v>
      </c>
      <c r="C190" s="185" t="s">
        <v>236</v>
      </c>
      <c r="D190" s="179" t="s">
        <v>19</v>
      </c>
      <c r="E190" s="32" t="e">
        <f>HLOOKUP($D$2,'2019 Data(H)'!$C$1:$CG$300,174,FALSE)</f>
        <v>#N/A</v>
      </c>
      <c r="F190" s="609"/>
      <c r="G190" s="601">
        <f>IF(F190&lt;0,"Error: Enter as positive.",)</f>
        <v>0</v>
      </c>
      <c r="H190" s="13"/>
      <c r="I190" s="31"/>
      <c r="J190" s="412"/>
      <c r="K190" s="412"/>
      <c r="L190" s="412"/>
      <c r="M190" s="412"/>
      <c r="N190"/>
      <c r="O190" s="412"/>
      <c r="P190" s="412"/>
      <c r="Q190" s="412"/>
      <c r="R190" s="412"/>
      <c r="S190" s="412"/>
      <c r="T190" s="412"/>
      <c r="U190" s="412"/>
      <c r="V190" s="412"/>
      <c r="W190" s="412"/>
      <c r="X190" s="412"/>
      <c r="Y190" s="412"/>
      <c r="Z190" s="412"/>
      <c r="AA190" s="412"/>
      <c r="AB190" s="412"/>
      <c r="AC190" s="412"/>
      <c r="AD190" s="412"/>
      <c r="AE190" s="412"/>
      <c r="AF190" s="412"/>
      <c r="AG190" s="412"/>
      <c r="AH190" s="412"/>
      <c r="AI190" s="412"/>
      <c r="AJ190" s="412"/>
      <c r="AK190" s="412"/>
      <c r="AL190" s="412"/>
      <c r="AM190" s="412"/>
      <c r="AN190" s="412"/>
      <c r="AO190" s="412"/>
      <c r="AP190" s="412"/>
      <c r="AQ190" s="412"/>
      <c r="AR190" s="412"/>
      <c r="AS190" s="412"/>
      <c r="AT190" s="412"/>
      <c r="AU190" s="412"/>
      <c r="AV190" s="412"/>
      <c r="AW190" s="412"/>
      <c r="AX190" s="412"/>
      <c r="AY190" s="412"/>
      <c r="AZ190" s="412"/>
      <c r="BA190" s="412"/>
      <c r="BB190" s="412"/>
      <c r="BC190" s="412"/>
      <c r="BD190" s="412"/>
      <c r="BE190" s="412"/>
      <c r="BF190" s="412"/>
      <c r="BG190" s="412"/>
      <c r="BH190" s="412"/>
      <c r="BI190" s="412"/>
      <c r="BJ190" s="412"/>
      <c r="BK190" s="412"/>
      <c r="BL190" s="412"/>
      <c r="BM190" s="412"/>
      <c r="BN190" s="412"/>
      <c r="BO190" s="412"/>
      <c r="BP190" s="412"/>
      <c r="BQ190" s="412"/>
      <c r="BR190" s="412"/>
      <c r="BS190" s="412"/>
      <c r="BT190" s="412"/>
      <c r="BU190" s="412"/>
      <c r="BV190" s="412"/>
      <c r="BW190" s="412"/>
      <c r="BX190" s="412"/>
      <c r="BY190" s="412"/>
      <c r="BZ190" s="412"/>
      <c r="CA190" s="412"/>
      <c r="CB190" s="412"/>
      <c r="CC190" s="412"/>
      <c r="CD190" s="412"/>
      <c r="CE190" s="412"/>
      <c r="CF190" s="412"/>
      <c r="CG190" s="412"/>
      <c r="CH190" s="412"/>
      <c r="CI190" s="412"/>
      <c r="CJ190" s="412"/>
      <c r="CK190" s="412"/>
      <c r="CL190" s="412"/>
      <c r="CM190" s="412"/>
      <c r="CN190" s="412"/>
      <c r="CO190" s="412"/>
      <c r="CP190" s="412"/>
      <c r="CQ190" s="412"/>
      <c r="CR190" s="412"/>
      <c r="CS190" s="412"/>
      <c r="CT190" s="412"/>
      <c r="CU190" s="412"/>
      <c r="CV190" s="412"/>
      <c r="CW190" s="412"/>
      <c r="CX190" s="412"/>
      <c r="CY190" s="412"/>
      <c r="CZ190" s="412"/>
      <c r="DA190" s="412"/>
      <c r="DB190" s="412"/>
      <c r="DC190" s="412"/>
      <c r="DD190" s="412"/>
      <c r="DE190" s="412"/>
      <c r="DF190" s="412"/>
      <c r="DG190" s="412"/>
      <c r="DH190" s="412"/>
      <c r="DI190" s="412"/>
      <c r="DJ190" s="412"/>
      <c r="DK190" s="412"/>
      <c r="DL190" s="412"/>
      <c r="DM190" s="412"/>
      <c r="DN190" s="412"/>
      <c r="DO190" s="412"/>
      <c r="DP190" s="412"/>
      <c r="DQ190" s="412"/>
      <c r="DR190" s="412"/>
      <c r="DS190" s="412"/>
      <c r="DT190" s="412"/>
      <c r="DU190" s="412"/>
      <c r="DV190" s="412"/>
      <c r="DW190" s="412"/>
      <c r="DX190" s="412"/>
      <c r="DY190" s="412"/>
      <c r="DZ190" s="412"/>
      <c r="EA190" s="412"/>
      <c r="EB190" s="412"/>
      <c r="EC190" s="412"/>
      <c r="ED190" s="412"/>
      <c r="EE190" s="412"/>
      <c r="EF190" s="412"/>
      <c r="EG190" s="412"/>
      <c r="EH190" s="412"/>
      <c r="EI190" s="412"/>
      <c r="EJ190" s="412"/>
      <c r="EK190" s="412"/>
      <c r="EL190" s="412"/>
      <c r="EM190" s="412"/>
      <c r="EN190" s="412"/>
      <c r="EO190" s="412"/>
      <c r="EP190" s="412"/>
      <c r="EQ190" s="412"/>
      <c r="ER190" s="412"/>
      <c r="ES190" s="412"/>
      <c r="ET190" s="412"/>
      <c r="EU190" s="412"/>
      <c r="EV190" s="412"/>
      <c r="EW190" s="412"/>
      <c r="EX190" s="412"/>
      <c r="EY190" s="412"/>
      <c r="EZ190" s="412"/>
      <c r="FA190" s="412"/>
      <c r="FB190" s="412"/>
      <c r="FC190" s="412"/>
      <c r="FD190" s="412"/>
      <c r="FE190" s="412"/>
      <c r="FF190" s="412"/>
      <c r="FG190" s="412"/>
      <c r="FH190" s="412"/>
      <c r="FI190" s="412"/>
      <c r="FJ190" s="412"/>
      <c r="FK190" s="412"/>
      <c r="FL190" s="412"/>
      <c r="FM190" s="412"/>
      <c r="FN190" s="412"/>
      <c r="FO190" s="412"/>
      <c r="FP190" s="412"/>
      <c r="FQ190" s="412"/>
      <c r="FR190" s="412"/>
      <c r="FS190" s="412"/>
      <c r="FT190" s="412"/>
      <c r="FU190" s="412"/>
      <c r="FV190" s="412"/>
      <c r="FW190" s="412"/>
      <c r="FX190" s="412"/>
      <c r="FY190" s="412"/>
      <c r="FZ190" s="412"/>
      <c r="GA190" s="412"/>
      <c r="GB190" s="412"/>
      <c r="GC190" s="412"/>
      <c r="GD190" s="412"/>
      <c r="GE190" s="412"/>
      <c r="GF190" s="412"/>
      <c r="GG190" s="412"/>
      <c r="GH190" s="412"/>
      <c r="GI190" s="412"/>
      <c r="GJ190" s="412"/>
      <c r="GK190" s="412"/>
      <c r="GL190" s="412"/>
      <c r="GM190" s="412"/>
      <c r="GN190" s="412"/>
      <c r="GO190" s="412"/>
      <c r="GP190" s="412"/>
      <c r="GQ190" s="412"/>
      <c r="GR190" s="412"/>
      <c r="GS190" s="412"/>
      <c r="GT190" s="412"/>
      <c r="GU190" s="412"/>
      <c r="GV190" s="412"/>
      <c r="GW190" s="412"/>
      <c r="GX190" s="412"/>
      <c r="GY190" s="412"/>
      <c r="GZ190" s="412"/>
      <c r="HA190" s="412"/>
      <c r="HB190" s="412"/>
      <c r="HC190" s="412"/>
      <c r="HD190" s="412"/>
      <c r="HE190" s="412"/>
      <c r="HF190" s="412"/>
      <c r="HG190" s="412"/>
      <c r="HH190" s="412"/>
      <c r="HI190" s="412"/>
      <c r="HJ190" s="412"/>
      <c r="HK190" s="412"/>
      <c r="HL190" s="412"/>
      <c r="HM190" s="412"/>
      <c r="HN190" s="412"/>
      <c r="HO190" s="412"/>
      <c r="HP190" s="412"/>
      <c r="HQ190" s="412"/>
      <c r="HR190" s="412"/>
      <c r="HS190" s="412"/>
      <c r="HT190" s="412"/>
      <c r="HU190" s="412"/>
      <c r="HV190" s="412"/>
      <c r="HW190" s="412"/>
      <c r="HX190" s="412"/>
      <c r="HY190" s="412"/>
      <c r="HZ190" s="412"/>
      <c r="IA190" s="412"/>
      <c r="IB190" s="412"/>
      <c r="IC190" s="412"/>
      <c r="ID190" s="412"/>
      <c r="IE190" s="412"/>
      <c r="IF190" s="412"/>
      <c r="IG190" s="412"/>
      <c r="IH190" s="412"/>
      <c r="II190" s="412"/>
      <c r="IJ190" s="412"/>
      <c r="IK190" s="412"/>
      <c r="IL190" s="412"/>
      <c r="IM190" s="412"/>
      <c r="IN190" s="412"/>
      <c r="IO190" s="412"/>
      <c r="IP190" s="412"/>
      <c r="IQ190" s="412"/>
      <c r="IR190" s="412"/>
      <c r="IS190" s="412"/>
      <c r="IT190" s="412"/>
      <c r="IU190" s="412"/>
      <c r="IV190" s="412"/>
      <c r="IW190" s="412"/>
      <c r="IX190" s="412"/>
      <c r="IY190" s="412"/>
      <c r="IZ190" s="412"/>
      <c r="JA190" s="412"/>
      <c r="JB190" s="412"/>
      <c r="JC190" s="412"/>
      <c r="JD190" s="412"/>
      <c r="JE190" s="412"/>
      <c r="JF190" s="412"/>
      <c r="JG190" s="412"/>
      <c r="JH190" s="412"/>
      <c r="JI190" s="412"/>
      <c r="JJ190" s="412"/>
      <c r="JK190" s="412"/>
      <c r="JL190" s="412"/>
      <c r="JM190" s="412"/>
      <c r="JN190" s="412"/>
      <c r="JO190" s="412"/>
      <c r="JP190" s="412"/>
      <c r="JQ190" s="412"/>
      <c r="JR190" s="412"/>
      <c r="JS190" s="412"/>
      <c r="JT190" s="412"/>
      <c r="JU190" s="412"/>
      <c r="JV190" s="412"/>
      <c r="JW190" s="412"/>
      <c r="JX190" s="412"/>
      <c r="JY190" s="412"/>
      <c r="JZ190" s="412"/>
      <c r="KA190" s="412"/>
      <c r="KB190" s="412"/>
      <c r="KC190" s="412"/>
      <c r="KD190" s="412"/>
      <c r="KE190" s="412"/>
      <c r="KF190" s="412"/>
      <c r="KG190" s="412"/>
      <c r="KH190" s="412"/>
      <c r="KI190" s="412"/>
      <c r="KJ190" s="412"/>
      <c r="KK190" s="412"/>
      <c r="KL190" s="412"/>
      <c r="KM190" s="412"/>
      <c r="KN190" s="412"/>
      <c r="KO190" s="412"/>
      <c r="KP190" s="412"/>
      <c r="KQ190" s="412"/>
      <c r="KR190" s="412"/>
      <c r="KS190" s="412"/>
      <c r="KT190" s="412"/>
      <c r="KU190" s="412"/>
      <c r="KV190" s="412"/>
      <c r="KW190" s="412"/>
      <c r="KX190" s="412"/>
      <c r="KY190" s="412"/>
      <c r="KZ190" s="412"/>
      <c r="LA190" s="412"/>
      <c r="LB190" s="412"/>
      <c r="LC190" s="412"/>
      <c r="LD190" s="412"/>
      <c r="LE190" s="412"/>
      <c r="LF190" s="412"/>
      <c r="LG190" s="412"/>
      <c r="LH190" s="412"/>
      <c r="LI190" s="412"/>
      <c r="LJ190" s="412"/>
      <c r="LK190" s="412"/>
      <c r="LL190" s="412"/>
      <c r="LM190" s="412"/>
      <c r="LN190" s="412"/>
      <c r="LO190" s="412"/>
      <c r="LP190" s="412"/>
      <c r="LQ190" s="412"/>
      <c r="LR190" s="412"/>
      <c r="LS190" s="412"/>
      <c r="LT190" s="412"/>
      <c r="LU190" s="412"/>
      <c r="LV190" s="412"/>
      <c r="LW190" s="412"/>
      <c r="LX190" s="412"/>
      <c r="LY190" s="412"/>
      <c r="LZ190" s="412"/>
      <c r="MA190" s="412"/>
      <c r="MB190" s="412"/>
      <c r="MC190" s="412"/>
      <c r="MD190" s="412"/>
      <c r="ME190" s="412"/>
      <c r="MF190" s="412"/>
      <c r="MG190" s="412"/>
      <c r="MH190" s="412"/>
      <c r="MI190" s="412"/>
      <c r="MJ190" s="412"/>
      <c r="MK190" s="412"/>
      <c r="ML190" s="412"/>
      <c r="MM190" s="412"/>
      <c r="MN190" s="412"/>
      <c r="MO190" s="412"/>
      <c r="MP190" s="412"/>
      <c r="MQ190" s="412"/>
      <c r="MR190" s="412"/>
      <c r="MS190" s="412"/>
      <c r="MT190" s="412"/>
      <c r="MU190" s="412"/>
      <c r="MV190" s="412"/>
      <c r="MW190" s="412"/>
      <c r="MX190" s="412"/>
      <c r="MY190" s="412"/>
      <c r="MZ190" s="412"/>
      <c r="NA190" s="412"/>
      <c r="NB190" s="412"/>
      <c r="NC190" s="412"/>
      <c r="ND190" s="412"/>
      <c r="NE190" s="412"/>
      <c r="NF190" s="412"/>
      <c r="NG190" s="412"/>
      <c r="NH190" s="412"/>
      <c r="NI190" s="412"/>
      <c r="NJ190" s="412"/>
      <c r="NK190" s="412"/>
      <c r="NL190" s="412"/>
      <c r="NM190" s="412"/>
      <c r="NN190" s="412"/>
      <c r="NO190" s="412"/>
      <c r="NP190" s="412"/>
      <c r="NQ190" s="412"/>
      <c r="NR190" s="412"/>
      <c r="NS190" s="412"/>
      <c r="NT190" s="412"/>
      <c r="NU190" s="412"/>
      <c r="NV190" s="412"/>
      <c r="NW190" s="412"/>
      <c r="NX190" s="412"/>
      <c r="NY190" s="412"/>
      <c r="NZ190" s="412"/>
      <c r="OA190" s="412"/>
      <c r="OB190" s="412"/>
      <c r="OC190" s="412"/>
      <c r="OD190" s="412"/>
      <c r="OE190" s="412"/>
      <c r="OF190" s="412"/>
      <c r="OG190" s="412"/>
      <c r="OH190" s="412"/>
      <c r="OI190" s="412"/>
      <c r="OJ190" s="412"/>
      <c r="OK190" s="412"/>
      <c r="OL190" s="412"/>
      <c r="OM190" s="412"/>
      <c r="ON190" s="412"/>
      <c r="OO190" s="412"/>
      <c r="OP190" s="412"/>
      <c r="OQ190" s="412"/>
      <c r="OR190" s="412"/>
      <c r="OS190" s="412"/>
      <c r="OT190" s="412"/>
      <c r="OU190" s="412"/>
      <c r="OV190" s="412"/>
      <c r="OW190" s="412"/>
      <c r="OX190" s="412"/>
      <c r="OY190" s="412"/>
      <c r="OZ190" s="412"/>
      <c r="PA190" s="412"/>
      <c r="PB190" s="412"/>
      <c r="PC190" s="412"/>
      <c r="PD190" s="412"/>
      <c r="PE190" s="412"/>
      <c r="PF190" s="412"/>
      <c r="PG190" s="412"/>
      <c r="PH190" s="412"/>
      <c r="PI190" s="412"/>
      <c r="PJ190" s="412"/>
      <c r="PK190" s="412"/>
      <c r="PL190" s="412"/>
      <c r="PM190" s="412"/>
      <c r="PN190" s="412"/>
      <c r="PO190" s="412"/>
      <c r="PP190" s="412"/>
      <c r="PQ190" s="412"/>
      <c r="PR190" s="412"/>
      <c r="PS190" s="412"/>
      <c r="PT190" s="412"/>
      <c r="PU190" s="412"/>
      <c r="PV190" s="412"/>
      <c r="PW190" s="412"/>
      <c r="PX190" s="412"/>
      <c r="PY190" s="412"/>
      <c r="PZ190" s="412"/>
      <c r="QA190" s="412"/>
      <c r="QB190" s="412"/>
      <c r="QC190" s="412"/>
      <c r="QD190" s="412"/>
      <c r="QE190" s="412"/>
      <c r="QF190" s="412"/>
      <c r="QG190" s="412"/>
      <c r="QH190" s="412"/>
      <c r="QI190" s="412"/>
      <c r="QJ190" s="412"/>
      <c r="QK190" s="412"/>
      <c r="QL190" s="412"/>
      <c r="QM190" s="412"/>
      <c r="QN190" s="412"/>
      <c r="QO190" s="412"/>
      <c r="QP190" s="412"/>
      <c r="QQ190" s="412"/>
      <c r="QR190" s="412"/>
      <c r="QS190" s="412"/>
      <c r="QT190" s="412"/>
      <c r="QU190" s="412"/>
      <c r="QV190" s="412"/>
      <c r="QW190" s="412"/>
      <c r="QX190" s="412"/>
      <c r="QY190" s="412"/>
      <c r="QZ190" s="412"/>
      <c r="RA190" s="412"/>
      <c r="RB190" s="412"/>
      <c r="RC190" s="412"/>
      <c r="RD190" s="412"/>
      <c r="RE190" s="412"/>
      <c r="RF190" s="412"/>
      <c r="RG190" s="412"/>
      <c r="RH190" s="412"/>
      <c r="RI190" s="412"/>
      <c r="RJ190" s="412"/>
      <c r="RK190" s="412"/>
      <c r="RL190" s="412"/>
      <c r="RM190" s="412"/>
      <c r="RN190" s="412"/>
      <c r="RO190" s="412"/>
      <c r="RP190" s="412"/>
      <c r="RQ190" s="412"/>
      <c r="RR190" s="412"/>
      <c r="RS190" s="412"/>
      <c r="RT190" s="412"/>
      <c r="RU190" s="412"/>
      <c r="RV190" s="412"/>
      <c r="RW190" s="412"/>
      <c r="RX190" s="412"/>
      <c r="RY190" s="412"/>
      <c r="RZ190" s="412"/>
      <c r="SA190" s="412"/>
      <c r="SB190" s="412"/>
      <c r="SC190" s="412"/>
      <c r="SD190" s="412"/>
      <c r="SE190" s="412"/>
      <c r="SF190" s="412"/>
      <c r="SG190" s="412"/>
      <c r="SH190" s="412"/>
      <c r="SI190" s="412"/>
      <c r="SJ190" s="412"/>
      <c r="SK190" s="412"/>
      <c r="SL190" s="412"/>
      <c r="SM190" s="412"/>
      <c r="SN190" s="412"/>
      <c r="SO190" s="412"/>
      <c r="SP190" s="412"/>
      <c r="SQ190" s="412"/>
      <c r="SR190" s="412"/>
      <c r="SS190" s="412"/>
      <c r="ST190" s="412"/>
      <c r="SU190" s="412"/>
      <c r="SV190" s="412"/>
      <c r="SW190" s="412"/>
      <c r="SX190" s="412"/>
      <c r="SY190" s="412"/>
      <c r="SZ190" s="412"/>
      <c r="TA190" s="412"/>
      <c r="TB190" s="412"/>
      <c r="TC190" s="412"/>
      <c r="TD190" s="412"/>
      <c r="TE190" s="412"/>
      <c r="TF190" s="412"/>
      <c r="TG190" s="412"/>
      <c r="TH190" s="412"/>
      <c r="TI190" s="412"/>
      <c r="TJ190" s="412"/>
      <c r="TK190" s="412"/>
      <c r="TL190" s="412"/>
      <c r="TM190" s="412"/>
      <c r="TN190" s="412"/>
      <c r="TO190" s="412"/>
      <c r="TP190" s="412"/>
      <c r="TQ190" s="412"/>
      <c r="TR190" s="412"/>
      <c r="TS190" s="412"/>
      <c r="TT190" s="412"/>
      <c r="TU190" s="412"/>
      <c r="TV190" s="412"/>
      <c r="TW190" s="412"/>
      <c r="TX190" s="412"/>
      <c r="TY190" s="412"/>
      <c r="TZ190" s="412"/>
      <c r="UA190" s="412"/>
      <c r="UB190" s="412"/>
      <c r="UC190" s="412"/>
      <c r="UD190" s="412"/>
      <c r="UE190" s="412"/>
      <c r="UF190" s="412"/>
      <c r="UG190" s="412"/>
      <c r="UH190" s="412"/>
      <c r="UI190" s="412"/>
      <c r="UJ190" s="412"/>
      <c r="UK190" s="412"/>
      <c r="UL190" s="412"/>
      <c r="UM190" s="412"/>
      <c r="UN190" s="412"/>
      <c r="UO190" s="412"/>
      <c r="UP190" s="412"/>
      <c r="UQ190" s="412"/>
      <c r="UR190" s="412"/>
      <c r="US190" s="412"/>
      <c r="UT190" s="412"/>
      <c r="UU190" s="412"/>
      <c r="UV190" s="412"/>
      <c r="UW190" s="412"/>
      <c r="UX190" s="412"/>
      <c r="UY190" s="412"/>
      <c r="UZ190" s="412"/>
      <c r="VA190" s="412"/>
      <c r="VB190" s="412"/>
      <c r="VC190" s="412"/>
      <c r="VD190" s="412"/>
      <c r="VE190" s="412"/>
      <c r="VF190" s="412"/>
      <c r="VG190" s="412"/>
      <c r="VH190" s="412"/>
      <c r="VI190" s="412"/>
      <c r="VJ190" s="412"/>
      <c r="VK190" s="412"/>
      <c r="VL190" s="412"/>
      <c r="VM190" s="412"/>
      <c r="VN190" s="412"/>
      <c r="VO190" s="412"/>
      <c r="VP190" s="412"/>
      <c r="VQ190" s="412"/>
      <c r="VR190" s="412"/>
      <c r="VS190" s="412"/>
      <c r="VT190" s="412"/>
      <c r="VU190" s="412"/>
      <c r="VV190" s="412"/>
      <c r="VW190" s="412"/>
      <c r="VX190" s="412"/>
      <c r="VY190" s="412"/>
      <c r="VZ190" s="412"/>
      <c r="WA190" s="412"/>
      <c r="WB190" s="412"/>
      <c r="WC190" s="412"/>
      <c r="WD190" s="412"/>
      <c r="WE190" s="412"/>
      <c r="WF190" s="412"/>
      <c r="WG190" s="412"/>
      <c r="WH190" s="412"/>
      <c r="WI190" s="412"/>
      <c r="WJ190" s="412"/>
      <c r="WK190" s="412"/>
      <c r="WL190" s="412"/>
      <c r="WM190" s="412"/>
      <c r="WN190" s="412"/>
      <c r="WO190" s="412"/>
      <c r="WP190" s="412"/>
      <c r="WQ190" s="412"/>
      <c r="WR190" s="412"/>
      <c r="WS190" s="412"/>
      <c r="WT190" s="412"/>
      <c r="WU190" s="412"/>
      <c r="WV190" s="412"/>
      <c r="WW190" s="412"/>
      <c r="WX190" s="412"/>
      <c r="WY190" s="412"/>
      <c r="WZ190" s="412"/>
      <c r="XA190" s="412"/>
      <c r="XB190" s="412"/>
      <c r="XC190" s="412"/>
      <c r="XD190" s="412"/>
      <c r="XE190" s="412"/>
      <c r="XF190" s="412"/>
      <c r="XG190" s="412"/>
      <c r="XH190" s="412"/>
      <c r="XI190" s="412"/>
      <c r="XJ190" s="412"/>
      <c r="XK190" s="412"/>
      <c r="XL190" s="412"/>
      <c r="XM190" s="412"/>
      <c r="XN190" s="412"/>
      <c r="XO190" s="412"/>
      <c r="XP190" s="412"/>
      <c r="XQ190" s="412"/>
      <c r="XR190" s="412"/>
      <c r="XS190" s="412"/>
      <c r="XT190" s="412"/>
      <c r="XU190" s="412"/>
      <c r="XV190" s="412"/>
      <c r="XW190" s="412"/>
      <c r="XX190" s="412"/>
      <c r="XY190" s="412"/>
      <c r="XZ190" s="412"/>
      <c r="YA190" s="412"/>
      <c r="YB190" s="412"/>
      <c r="YC190" s="412"/>
      <c r="YD190" s="412"/>
      <c r="YE190" s="412"/>
      <c r="YF190" s="412"/>
      <c r="YG190" s="412"/>
      <c r="YH190" s="412"/>
      <c r="YI190" s="412"/>
      <c r="YJ190" s="412"/>
      <c r="YK190" s="412"/>
      <c r="YL190" s="412"/>
      <c r="YM190" s="412"/>
      <c r="YN190" s="412"/>
      <c r="YO190" s="412"/>
      <c r="YP190" s="412"/>
      <c r="YQ190" s="412"/>
      <c r="YR190" s="412"/>
      <c r="YS190" s="412"/>
      <c r="YT190" s="412"/>
      <c r="YU190" s="412"/>
      <c r="YV190" s="412"/>
      <c r="YW190" s="412"/>
      <c r="YX190" s="412"/>
      <c r="YY190" s="412"/>
      <c r="YZ190" s="412"/>
      <c r="ZA190" s="412"/>
      <c r="ZB190" s="412"/>
      <c r="ZC190" s="412"/>
      <c r="ZD190" s="412"/>
      <c r="ZE190" s="412"/>
      <c r="ZF190" s="412"/>
      <c r="ZG190" s="412"/>
      <c r="ZH190" s="412"/>
      <c r="ZI190" s="412"/>
      <c r="ZJ190" s="412"/>
      <c r="ZK190" s="412"/>
      <c r="ZL190" s="412"/>
      <c r="ZM190" s="412"/>
      <c r="ZN190" s="412"/>
      <c r="ZO190" s="412"/>
      <c r="ZP190" s="412"/>
      <c r="ZQ190" s="412"/>
      <c r="ZR190" s="412"/>
      <c r="ZS190" s="412"/>
      <c r="ZT190" s="412"/>
      <c r="ZU190" s="412"/>
      <c r="ZV190" s="412"/>
      <c r="ZW190" s="412"/>
      <c r="ZX190" s="412"/>
      <c r="ZY190" s="412"/>
      <c r="ZZ190" s="412"/>
      <c r="AAA190" s="412"/>
      <c r="AAB190" s="412"/>
      <c r="AAC190" s="412"/>
      <c r="AAD190" s="412"/>
      <c r="AAE190" s="412"/>
      <c r="AAF190" s="412"/>
      <c r="AAG190" s="412"/>
      <c r="AAH190" s="412"/>
      <c r="AAI190" s="412"/>
      <c r="AAJ190" s="412"/>
      <c r="AAK190" s="412"/>
      <c r="AAL190" s="412"/>
      <c r="AAM190" s="412"/>
      <c r="AAN190" s="412"/>
      <c r="AAO190" s="412"/>
      <c r="AAP190" s="412"/>
      <c r="AAQ190" s="412"/>
      <c r="AAR190" s="412"/>
      <c r="AAS190" s="412"/>
      <c r="AAT190" s="412"/>
      <c r="AAU190" s="412"/>
      <c r="AAV190" s="412"/>
      <c r="AAW190" s="412"/>
      <c r="AAX190" s="412"/>
      <c r="AAY190" s="412"/>
      <c r="AAZ190" s="412"/>
      <c r="ABA190" s="412"/>
      <c r="ABB190" s="412"/>
      <c r="ABC190" s="412"/>
      <c r="ABD190" s="412"/>
      <c r="ABE190" s="412"/>
      <c r="ABF190" s="412"/>
      <c r="ABG190" s="412"/>
      <c r="ABH190" s="412"/>
      <c r="ABI190" s="412"/>
      <c r="ABJ190" s="412"/>
      <c r="ABK190" s="412"/>
      <c r="ABL190" s="412"/>
      <c r="ABM190" s="412"/>
      <c r="ABN190" s="412"/>
      <c r="ABO190" s="412"/>
      <c r="ABP190" s="412"/>
      <c r="ABQ190" s="412"/>
      <c r="ABR190" s="412"/>
      <c r="ABS190" s="412"/>
      <c r="ABT190" s="412"/>
      <c r="ABU190" s="412"/>
      <c r="ABV190" s="412"/>
      <c r="ABW190" s="412"/>
      <c r="ABX190" s="412"/>
      <c r="ABY190" s="412"/>
      <c r="ABZ190" s="412"/>
      <c r="ACA190" s="412"/>
      <c r="ACB190" s="412"/>
      <c r="ACC190" s="412"/>
      <c r="ACD190" s="412"/>
      <c r="ACE190" s="412"/>
      <c r="ACF190" s="412"/>
      <c r="ACG190" s="412"/>
      <c r="ACH190" s="412"/>
      <c r="ACI190" s="412"/>
      <c r="ACJ190" s="412"/>
      <c r="ACK190" s="412"/>
      <c r="ACL190" s="412"/>
      <c r="ACM190" s="412"/>
      <c r="ACN190" s="412"/>
      <c r="ACO190" s="412"/>
      <c r="ACP190" s="412"/>
      <c r="ACQ190" s="412"/>
      <c r="ACR190" s="412"/>
      <c r="ACS190" s="412"/>
      <c r="ACT190" s="412"/>
      <c r="ACU190" s="412"/>
      <c r="ACV190" s="412"/>
      <c r="ACW190" s="412"/>
      <c r="ACX190" s="412"/>
      <c r="ACY190" s="412"/>
      <c r="ACZ190" s="412"/>
      <c r="ADA190" s="412"/>
      <c r="ADB190" s="412"/>
      <c r="ADC190" s="412"/>
      <c r="ADD190" s="412"/>
      <c r="ADE190" s="412"/>
      <c r="ADF190" s="412"/>
      <c r="ADG190" s="412"/>
      <c r="ADH190" s="412"/>
      <c r="ADI190" s="412"/>
      <c r="ADJ190" s="412"/>
      <c r="ADK190" s="412"/>
      <c r="ADL190" s="412"/>
      <c r="ADM190" s="412"/>
      <c r="ADN190" s="412"/>
      <c r="ADO190" s="412"/>
      <c r="ADP190" s="412"/>
      <c r="ADQ190" s="412"/>
      <c r="ADR190" s="412"/>
      <c r="ADS190" s="412"/>
      <c r="ADT190" s="412"/>
      <c r="ADU190" s="412"/>
      <c r="ADV190" s="412"/>
      <c r="ADW190" s="412"/>
      <c r="ADX190" s="412"/>
      <c r="ADY190" s="412"/>
      <c r="ADZ190" s="412"/>
      <c r="AEA190" s="412"/>
      <c r="AEB190" s="412"/>
      <c r="AEC190" s="412"/>
      <c r="AED190" s="412"/>
      <c r="AEE190" s="412"/>
      <c r="AEF190" s="412"/>
      <c r="AEG190" s="412"/>
      <c r="AEH190" s="412"/>
      <c r="AEI190" s="412"/>
      <c r="AEJ190" s="412"/>
      <c r="AEK190" s="412"/>
      <c r="AEL190" s="412"/>
      <c r="AEM190" s="412"/>
      <c r="AEN190" s="412"/>
      <c r="AEO190" s="412"/>
      <c r="AEP190" s="412"/>
      <c r="AEQ190" s="412"/>
      <c r="AER190" s="412"/>
      <c r="AES190" s="412"/>
      <c r="AET190" s="412"/>
      <c r="AEU190" s="412"/>
      <c r="AEV190" s="412"/>
      <c r="AEW190" s="412"/>
      <c r="AEX190" s="412"/>
      <c r="AEY190" s="412"/>
      <c r="AEZ190" s="412"/>
      <c r="AFA190" s="412"/>
      <c r="AFB190" s="412"/>
      <c r="AFC190" s="412"/>
      <c r="AFD190" s="412"/>
      <c r="AFE190" s="412"/>
      <c r="AFF190" s="412"/>
      <c r="AFG190" s="412"/>
      <c r="AFH190" s="412"/>
      <c r="AFI190" s="412"/>
      <c r="AFJ190" s="412"/>
      <c r="AFK190" s="412"/>
      <c r="AFL190" s="412"/>
      <c r="AFM190" s="412"/>
      <c r="AFN190" s="412"/>
      <c r="AFO190" s="412"/>
      <c r="AFP190" s="412"/>
      <c r="AFQ190" s="412"/>
      <c r="AFR190" s="412"/>
      <c r="AFS190" s="412"/>
      <c r="AFT190" s="412"/>
      <c r="AFU190" s="412"/>
      <c r="AFV190" s="412"/>
      <c r="AFW190" s="412"/>
      <c r="AFX190" s="412"/>
      <c r="AFY190" s="412"/>
      <c r="AFZ190" s="412"/>
      <c r="AGA190" s="412"/>
      <c r="AGB190" s="412"/>
      <c r="AGC190" s="412"/>
      <c r="AGD190" s="412"/>
      <c r="AGE190" s="412"/>
      <c r="AGF190" s="412"/>
      <c r="AGG190" s="412"/>
      <c r="AGH190" s="412"/>
      <c r="AGI190" s="412"/>
      <c r="AGJ190" s="412"/>
      <c r="AGK190" s="412"/>
      <c r="AGL190" s="412"/>
      <c r="AGM190" s="412"/>
      <c r="AGN190" s="412"/>
      <c r="AGO190" s="412"/>
      <c r="AGP190" s="412"/>
      <c r="AGQ190" s="412"/>
      <c r="AGR190" s="412"/>
      <c r="AGS190" s="412"/>
      <c r="AGT190" s="412"/>
      <c r="AGU190" s="412"/>
      <c r="AGV190" s="412"/>
      <c r="AGW190" s="412"/>
      <c r="AGX190" s="412"/>
      <c r="AGY190" s="412"/>
      <c r="AGZ190" s="412"/>
      <c r="AHA190" s="412"/>
      <c r="AHB190" s="412"/>
      <c r="AHC190" s="412"/>
      <c r="AHD190" s="412"/>
      <c r="AHE190" s="412"/>
      <c r="AHF190" s="412"/>
      <c r="AHG190" s="412"/>
      <c r="AHH190" s="412"/>
      <c r="AHI190" s="412"/>
      <c r="AHJ190" s="412"/>
      <c r="AHK190" s="412"/>
      <c r="AHL190" s="412"/>
      <c r="AHM190" s="412"/>
      <c r="AHN190" s="412"/>
      <c r="AHO190" s="412"/>
      <c r="AHP190" s="412"/>
      <c r="AHQ190" s="412"/>
      <c r="AHR190" s="412"/>
      <c r="AHS190" s="412"/>
      <c r="AHT190" s="412"/>
      <c r="AHU190" s="412"/>
      <c r="AHV190" s="412"/>
      <c r="AHW190" s="412"/>
      <c r="AHX190" s="412"/>
      <c r="AHY190" s="412"/>
      <c r="AHZ190" s="412"/>
      <c r="AIA190" s="412"/>
      <c r="AIB190" s="412"/>
      <c r="AIC190" s="412"/>
      <c r="AID190" s="412"/>
      <c r="AIE190" s="412"/>
      <c r="AIF190" s="412"/>
      <c r="AIG190" s="412"/>
      <c r="AIH190" s="412"/>
      <c r="AII190" s="412"/>
      <c r="AIJ190" s="412"/>
      <c r="AIK190" s="412"/>
      <c r="AIL190" s="412"/>
      <c r="AIM190" s="412"/>
      <c r="AIN190" s="412"/>
      <c r="AIO190" s="412"/>
      <c r="AIP190" s="412"/>
      <c r="AIQ190" s="412"/>
      <c r="AIR190" s="412"/>
      <c r="AIS190" s="412"/>
      <c r="AIT190" s="412"/>
      <c r="AIU190" s="412"/>
      <c r="AIV190" s="412"/>
      <c r="AIW190" s="412"/>
      <c r="AIX190" s="412"/>
      <c r="AIY190" s="412"/>
      <c r="AIZ190" s="412"/>
      <c r="AJA190" s="412"/>
      <c r="AJB190" s="412"/>
      <c r="AJC190" s="412"/>
      <c r="AJD190" s="412"/>
      <c r="AJE190" s="412"/>
      <c r="AJF190" s="412"/>
      <c r="AJG190" s="412"/>
      <c r="AJH190" s="412"/>
      <c r="AJI190" s="412"/>
      <c r="AJJ190" s="412"/>
      <c r="AJK190" s="412"/>
      <c r="AJL190" s="412"/>
      <c r="AJM190" s="412"/>
      <c r="AJN190" s="412"/>
      <c r="AJO190" s="412"/>
      <c r="AJP190" s="412"/>
      <c r="AJQ190" s="412"/>
      <c r="AJR190" s="412"/>
      <c r="AJS190" s="412"/>
      <c r="AJT190" s="412"/>
      <c r="AJU190" s="412"/>
      <c r="AJV190" s="412"/>
      <c r="AJW190" s="412"/>
      <c r="AJX190" s="412"/>
      <c r="AJY190" s="412"/>
      <c r="AJZ190" s="412"/>
      <c r="AKA190" s="412"/>
      <c r="AKB190" s="412"/>
      <c r="AKC190" s="412"/>
      <c r="AKD190" s="412"/>
      <c r="AKE190" s="412"/>
      <c r="AKF190" s="412"/>
      <c r="AKG190" s="412"/>
      <c r="AKH190" s="412"/>
      <c r="AKI190" s="412"/>
      <c r="AKJ190" s="412"/>
      <c r="AKK190" s="412"/>
      <c r="AKL190" s="412"/>
      <c r="AKM190" s="412"/>
      <c r="AKN190" s="412"/>
      <c r="AKO190" s="412"/>
      <c r="AKP190" s="412"/>
      <c r="AKQ190" s="412"/>
      <c r="AKR190" s="412"/>
      <c r="AKS190" s="412"/>
      <c r="AKT190" s="412"/>
      <c r="AKU190" s="412"/>
      <c r="AKV190" s="412"/>
      <c r="AKW190" s="412"/>
      <c r="AKX190" s="412"/>
      <c r="AKY190" s="412"/>
      <c r="AKZ190" s="412"/>
      <c r="ALA190" s="412"/>
      <c r="ALB190" s="412"/>
      <c r="ALC190" s="412"/>
      <c r="ALD190" s="412"/>
      <c r="ALE190" s="412"/>
      <c r="ALF190" s="412"/>
      <c r="ALG190" s="412"/>
      <c r="ALH190" s="412"/>
      <c r="ALI190" s="412"/>
      <c r="ALJ190" s="412"/>
      <c r="ALK190" s="412"/>
      <c r="ALL190" s="412"/>
      <c r="ALM190" s="412"/>
      <c r="ALN190" s="412"/>
      <c r="ALO190" s="412"/>
      <c r="ALP190" s="412"/>
      <c r="ALQ190" s="412"/>
      <c r="ALR190" s="412"/>
      <c r="ALS190" s="412"/>
      <c r="ALT190" s="412"/>
      <c r="ALU190" s="412"/>
      <c r="ALV190" s="412"/>
      <c r="ALW190" s="412"/>
      <c r="ALX190" s="412"/>
      <c r="ALY190" s="412"/>
      <c r="ALZ190" s="412"/>
      <c r="AMA190" s="412"/>
      <c r="AMB190" s="412"/>
      <c r="AMC190" s="412"/>
      <c r="AMD190" s="412"/>
      <c r="AME190" s="412"/>
      <c r="AMF190" s="412"/>
      <c r="AMG190" s="412"/>
      <c r="AMH190" s="412"/>
      <c r="AMI190" s="412"/>
      <c r="AMJ190" s="412"/>
      <c r="AMK190" s="412"/>
      <c r="AML190" s="412"/>
      <c r="AMM190" s="412"/>
      <c r="AMN190" s="412"/>
      <c r="AMO190" s="412"/>
      <c r="AMP190" s="412"/>
      <c r="AMQ190" s="412"/>
      <c r="AMR190" s="412"/>
      <c r="AMS190" s="412"/>
      <c r="AMT190" s="412"/>
      <c r="AMU190" s="412"/>
      <c r="AMV190" s="412"/>
      <c r="AMW190" s="412"/>
      <c r="AMX190" s="412"/>
      <c r="AMY190" s="412"/>
      <c r="AMZ190" s="412"/>
      <c r="ANA190" s="412"/>
      <c r="ANB190" s="412"/>
      <c r="ANC190" s="412"/>
      <c r="AND190" s="412"/>
      <c r="ANE190" s="412"/>
      <c r="ANF190" s="412"/>
      <c r="ANG190" s="412"/>
      <c r="ANH190" s="412"/>
      <c r="ANI190" s="412"/>
      <c r="ANJ190" s="412"/>
      <c r="ANK190" s="412"/>
      <c r="ANL190" s="412"/>
      <c r="ANM190" s="412"/>
      <c r="ANN190" s="412"/>
      <c r="ANO190" s="412"/>
      <c r="ANP190" s="412"/>
      <c r="ANQ190" s="412"/>
      <c r="ANR190" s="412"/>
      <c r="ANS190" s="412"/>
      <c r="ANT190" s="412"/>
      <c r="ANU190" s="412"/>
      <c r="ANV190" s="412"/>
      <c r="ANW190" s="412"/>
      <c r="ANX190" s="412"/>
      <c r="ANY190" s="412"/>
      <c r="ANZ190" s="412"/>
      <c r="AOA190" s="412"/>
      <c r="AOB190" s="412"/>
      <c r="AOC190" s="412"/>
      <c r="AOD190" s="412"/>
      <c r="AOE190" s="412"/>
      <c r="AOF190" s="412"/>
      <c r="AOG190" s="412"/>
      <c r="AOH190" s="412"/>
      <c r="AOI190" s="412"/>
      <c r="AOJ190" s="412"/>
      <c r="AOK190" s="412"/>
      <c r="AOL190" s="412"/>
      <c r="AOM190" s="412"/>
      <c r="AON190" s="412"/>
      <c r="AOO190" s="412"/>
      <c r="AOP190" s="412"/>
      <c r="AOQ190" s="412"/>
      <c r="AOR190" s="412"/>
      <c r="AOS190" s="412"/>
      <c r="AOT190" s="412"/>
      <c r="AOU190" s="412"/>
      <c r="AOV190" s="412"/>
      <c r="AOW190" s="412"/>
      <c r="AOX190" s="412"/>
      <c r="AOY190" s="412"/>
      <c r="AOZ190" s="412"/>
      <c r="APA190" s="412"/>
      <c r="APB190" s="412"/>
      <c r="APC190" s="412"/>
      <c r="APD190" s="412"/>
      <c r="APE190" s="412"/>
      <c r="APF190" s="412"/>
      <c r="APG190" s="412"/>
      <c r="APH190" s="412"/>
      <c r="API190" s="412"/>
      <c r="APJ190" s="412"/>
      <c r="APK190" s="412"/>
      <c r="APL190" s="412"/>
      <c r="APM190" s="412"/>
      <c r="APN190" s="412"/>
      <c r="APO190" s="412"/>
      <c r="APP190" s="412"/>
      <c r="APQ190" s="412"/>
      <c r="APR190" s="412"/>
      <c r="APS190" s="412"/>
      <c r="APT190" s="412"/>
      <c r="APU190" s="412"/>
      <c r="APV190" s="412"/>
      <c r="APW190" s="412"/>
      <c r="APX190" s="412"/>
      <c r="APY190" s="412"/>
      <c r="APZ190" s="412"/>
      <c r="AQA190" s="412"/>
      <c r="AQB190" s="412"/>
      <c r="AQC190" s="412"/>
      <c r="AQD190" s="412"/>
      <c r="AQE190" s="412"/>
      <c r="AQF190" s="412"/>
      <c r="AQG190" s="412"/>
      <c r="AQH190" s="412"/>
      <c r="AQI190" s="412"/>
      <c r="AQJ190" s="412"/>
      <c r="AQK190" s="412"/>
      <c r="AQL190" s="412"/>
      <c r="AQM190" s="412"/>
      <c r="AQN190" s="412"/>
      <c r="AQO190" s="412"/>
      <c r="AQP190" s="412"/>
      <c r="AQQ190" s="412"/>
      <c r="AQR190" s="412"/>
      <c r="AQS190" s="412"/>
      <c r="AQT190" s="412"/>
      <c r="AQU190" s="412"/>
      <c r="AQV190" s="412"/>
      <c r="AQW190" s="412"/>
      <c r="AQX190" s="412"/>
      <c r="AQY190" s="412"/>
      <c r="AQZ190" s="412"/>
      <c r="ARA190" s="412"/>
      <c r="ARB190" s="412"/>
      <c r="ARC190" s="412"/>
      <c r="ARD190" s="412"/>
      <c r="ARE190" s="412"/>
      <c r="ARF190" s="412"/>
      <c r="ARG190" s="412"/>
      <c r="ARH190" s="412"/>
      <c r="ARI190" s="412"/>
      <c r="ARJ190" s="412"/>
      <c r="ARK190" s="412"/>
      <c r="ARL190" s="412"/>
      <c r="ARM190" s="412"/>
      <c r="ARN190" s="412"/>
      <c r="ARO190" s="412"/>
      <c r="ARP190" s="412"/>
      <c r="ARQ190" s="412"/>
      <c r="ARR190" s="412"/>
      <c r="ARS190" s="412"/>
      <c r="ART190" s="412"/>
      <c r="ARU190" s="412"/>
      <c r="ARV190" s="412"/>
      <c r="ARW190" s="412"/>
      <c r="ARX190" s="412"/>
      <c r="ARY190" s="412"/>
      <c r="ARZ190" s="412"/>
      <c r="ASA190" s="412"/>
      <c r="ASB190" s="412"/>
      <c r="ASC190" s="412"/>
      <c r="ASD190" s="412"/>
      <c r="ASE190" s="412"/>
      <c r="ASF190" s="412"/>
      <c r="ASG190" s="412"/>
      <c r="ASH190" s="412"/>
      <c r="ASI190" s="412"/>
      <c r="ASJ190" s="412"/>
      <c r="ASK190" s="412"/>
      <c r="ASL190" s="412"/>
      <c r="ASM190" s="412"/>
      <c r="ASN190" s="412"/>
      <c r="ASO190" s="412"/>
      <c r="ASP190" s="412"/>
      <c r="ASQ190" s="412"/>
      <c r="ASR190" s="412"/>
      <c r="ASS190" s="412"/>
      <c r="AST190" s="412"/>
      <c r="ASU190" s="412"/>
      <c r="ASV190" s="412"/>
      <c r="ASW190" s="412"/>
      <c r="ASX190" s="412"/>
      <c r="ASY190" s="412"/>
      <c r="ASZ190" s="412"/>
      <c r="ATA190" s="412"/>
      <c r="ATB190" s="412"/>
      <c r="ATC190" s="412"/>
      <c r="ATD190" s="412"/>
      <c r="ATE190" s="412"/>
      <c r="ATF190" s="412"/>
      <c r="ATG190" s="412"/>
      <c r="ATH190" s="412"/>
      <c r="ATI190" s="412"/>
      <c r="ATJ190" s="412"/>
      <c r="ATK190" s="412"/>
      <c r="ATL190" s="412"/>
      <c r="ATM190" s="412"/>
      <c r="ATN190" s="412"/>
      <c r="ATO190" s="412"/>
      <c r="ATP190" s="412"/>
      <c r="ATQ190" s="412"/>
      <c r="ATR190" s="412"/>
      <c r="ATS190" s="412"/>
      <c r="ATT190" s="412"/>
      <c r="ATU190" s="412"/>
      <c r="ATV190" s="412"/>
      <c r="ATW190" s="412"/>
      <c r="ATX190" s="412"/>
      <c r="ATY190" s="412"/>
      <c r="ATZ190" s="412"/>
      <c r="AUA190" s="412"/>
      <c r="AUB190" s="412"/>
      <c r="AUC190" s="412"/>
      <c r="AUD190" s="412"/>
      <c r="AUE190" s="412"/>
      <c r="AUF190" s="412"/>
      <c r="AUG190" s="412"/>
      <c r="AUH190" s="412"/>
      <c r="AUI190" s="412"/>
      <c r="AUJ190" s="412"/>
      <c r="AUK190" s="412"/>
      <c r="AUL190" s="412"/>
      <c r="AUM190" s="412"/>
      <c r="AUN190" s="412"/>
      <c r="AUO190" s="412"/>
      <c r="AUP190" s="412"/>
      <c r="AUQ190" s="412"/>
      <c r="AUR190" s="412"/>
      <c r="AUS190" s="412"/>
      <c r="AUT190" s="412"/>
      <c r="AUU190" s="412"/>
      <c r="AUV190" s="412"/>
      <c r="AUW190" s="412"/>
      <c r="AUX190" s="412"/>
      <c r="AUY190" s="412"/>
      <c r="AUZ190" s="412"/>
      <c r="AVA190" s="412"/>
      <c r="AVB190" s="412"/>
      <c r="AVC190" s="412"/>
      <c r="AVD190" s="412"/>
      <c r="AVE190" s="412"/>
      <c r="AVF190" s="412"/>
      <c r="AVG190" s="412"/>
      <c r="AVH190" s="412"/>
      <c r="AVI190" s="412"/>
      <c r="AVJ190" s="412"/>
      <c r="AVK190" s="412"/>
      <c r="AVL190" s="412"/>
      <c r="AVM190" s="412"/>
      <c r="AVN190" s="412"/>
      <c r="AVO190" s="412"/>
      <c r="AVP190" s="412"/>
      <c r="AVQ190" s="412"/>
      <c r="AVR190" s="412"/>
      <c r="AVS190" s="412"/>
      <c r="AVT190" s="412"/>
      <c r="AVU190" s="412"/>
      <c r="AVV190" s="412"/>
      <c r="AVW190" s="412"/>
      <c r="AVX190" s="412"/>
      <c r="AVY190" s="412"/>
      <c r="AVZ190" s="412"/>
      <c r="AWA190" s="412"/>
      <c r="AWB190" s="412"/>
      <c r="AWC190" s="412"/>
      <c r="AWD190" s="412"/>
      <c r="AWE190" s="412"/>
      <c r="AWF190" s="412"/>
      <c r="AWG190" s="412"/>
      <c r="AWH190" s="412"/>
      <c r="AWI190" s="412"/>
      <c r="AWJ190" s="412"/>
      <c r="AWK190" s="412"/>
      <c r="AWL190" s="412"/>
      <c r="AWM190" s="412"/>
      <c r="AWN190" s="412"/>
      <c r="AWO190" s="412"/>
      <c r="AWP190" s="412"/>
      <c r="AWQ190" s="412"/>
      <c r="AWR190" s="412"/>
      <c r="AWS190" s="412"/>
      <c r="AWT190" s="412"/>
      <c r="AWU190" s="412"/>
      <c r="AWV190" s="412"/>
      <c r="AWW190" s="412"/>
      <c r="AWX190" s="412"/>
      <c r="AWY190" s="412"/>
      <c r="AWZ190" s="412"/>
      <c r="AXA190" s="412"/>
      <c r="AXB190" s="412"/>
      <c r="AXC190" s="412"/>
      <c r="AXD190" s="412"/>
      <c r="AXE190" s="412"/>
      <c r="AXF190" s="412"/>
      <c r="AXG190" s="412"/>
      <c r="AXH190" s="412"/>
      <c r="AXI190" s="412"/>
      <c r="AXJ190" s="412"/>
      <c r="AXK190" s="412"/>
      <c r="AXL190" s="412"/>
      <c r="AXM190" s="412"/>
      <c r="AXN190" s="412"/>
      <c r="AXO190" s="412"/>
      <c r="AXP190" s="412"/>
      <c r="AXQ190" s="412"/>
      <c r="AXR190" s="412"/>
      <c r="AXS190" s="412"/>
      <c r="AXT190" s="412"/>
      <c r="AXU190" s="412"/>
      <c r="AXV190" s="412"/>
      <c r="AXW190" s="412"/>
      <c r="AXX190" s="412"/>
      <c r="AXY190" s="412"/>
      <c r="AXZ190" s="412"/>
      <c r="AYA190" s="412"/>
      <c r="AYB190" s="412"/>
      <c r="AYC190" s="412"/>
      <c r="AYD190" s="412"/>
      <c r="AYE190" s="412"/>
      <c r="AYF190" s="412"/>
      <c r="AYG190" s="412"/>
      <c r="AYH190" s="412"/>
      <c r="AYI190" s="412"/>
      <c r="AYJ190" s="412"/>
      <c r="AYK190" s="412"/>
      <c r="AYL190" s="412"/>
      <c r="AYM190" s="412"/>
      <c r="AYN190" s="412"/>
      <c r="AYO190" s="412"/>
      <c r="AYP190" s="412"/>
      <c r="AYQ190" s="412"/>
      <c r="AYR190" s="412"/>
      <c r="AYS190" s="412"/>
      <c r="AYT190" s="412"/>
      <c r="AYU190" s="412"/>
      <c r="AYV190" s="412"/>
      <c r="AYW190" s="412"/>
      <c r="AYX190" s="412"/>
      <c r="AYY190" s="412"/>
      <c r="AYZ190" s="412"/>
      <c r="AZA190" s="412"/>
      <c r="AZB190" s="412"/>
      <c r="AZC190" s="412"/>
      <c r="AZD190" s="412"/>
      <c r="AZE190" s="412"/>
      <c r="AZF190" s="412"/>
      <c r="AZG190" s="412"/>
      <c r="AZH190" s="412"/>
      <c r="AZI190" s="412"/>
      <c r="AZJ190" s="412"/>
      <c r="AZK190" s="412"/>
      <c r="AZL190" s="412"/>
      <c r="AZM190" s="412"/>
      <c r="AZN190" s="412"/>
      <c r="AZO190" s="412"/>
      <c r="AZP190" s="412"/>
      <c r="AZQ190" s="412"/>
      <c r="AZR190" s="412"/>
      <c r="AZS190" s="412"/>
      <c r="AZT190" s="412"/>
      <c r="AZU190" s="412"/>
      <c r="AZV190" s="412"/>
      <c r="AZW190" s="412"/>
      <c r="AZX190" s="412"/>
      <c r="AZY190" s="412"/>
      <c r="AZZ190" s="412"/>
      <c r="BAA190" s="412"/>
      <c r="BAB190" s="412"/>
      <c r="BAC190" s="412"/>
      <c r="BAD190" s="412"/>
      <c r="BAE190" s="412"/>
      <c r="BAF190" s="412"/>
      <c r="BAG190" s="412"/>
      <c r="BAH190" s="412"/>
      <c r="BAI190" s="412"/>
      <c r="BAJ190" s="412"/>
      <c r="BAK190" s="412"/>
      <c r="BAL190" s="412"/>
      <c r="BAM190" s="412"/>
      <c r="BAN190" s="412"/>
      <c r="BAO190" s="412"/>
      <c r="BAP190" s="412"/>
      <c r="BAQ190" s="412"/>
      <c r="BAR190" s="412"/>
      <c r="BAS190" s="412"/>
      <c r="BAT190" s="412"/>
      <c r="BAU190" s="412"/>
      <c r="BAV190" s="412"/>
      <c r="BAW190" s="412"/>
      <c r="BAX190" s="412"/>
      <c r="BAY190" s="412"/>
      <c r="BAZ190" s="412"/>
      <c r="BBA190" s="412"/>
      <c r="BBB190" s="412"/>
      <c r="BBC190" s="412"/>
      <c r="BBD190" s="412"/>
      <c r="BBE190" s="412"/>
      <c r="BBF190" s="412"/>
      <c r="BBG190" s="412"/>
      <c r="BBH190" s="412"/>
      <c r="BBI190" s="412"/>
      <c r="BBJ190" s="412"/>
      <c r="BBK190" s="412"/>
      <c r="BBL190" s="412"/>
      <c r="BBM190" s="412"/>
      <c r="BBN190" s="412"/>
      <c r="BBO190" s="412"/>
      <c r="BBP190" s="412"/>
      <c r="BBQ190" s="412"/>
      <c r="BBR190" s="412"/>
      <c r="BBS190" s="412"/>
      <c r="BBT190" s="412"/>
      <c r="BBU190" s="412"/>
      <c r="BBV190" s="412"/>
      <c r="BBW190" s="412"/>
      <c r="BBX190" s="412"/>
      <c r="BBY190" s="412"/>
      <c r="BBZ190" s="412"/>
      <c r="BCA190" s="412"/>
      <c r="BCB190" s="412"/>
      <c r="BCC190" s="412"/>
      <c r="BCD190" s="412"/>
      <c r="BCE190" s="412"/>
      <c r="BCF190" s="412"/>
      <c r="BCG190" s="412"/>
      <c r="BCH190" s="412"/>
      <c r="BCI190" s="412"/>
      <c r="BCJ190" s="412"/>
      <c r="BCK190" s="412"/>
      <c r="BCL190" s="412"/>
      <c r="BCM190" s="412"/>
      <c r="BCN190" s="412"/>
      <c r="BCO190" s="412"/>
      <c r="BCP190" s="412"/>
      <c r="BCQ190" s="412"/>
      <c r="BCR190" s="412"/>
      <c r="BCS190" s="412"/>
      <c r="BCT190" s="412"/>
      <c r="BCU190" s="412"/>
      <c r="BCV190" s="412"/>
      <c r="BCW190" s="412"/>
      <c r="BCX190" s="412"/>
      <c r="BCY190" s="412"/>
      <c r="BCZ190" s="412"/>
      <c r="BDA190" s="412"/>
      <c r="BDB190" s="412"/>
      <c r="BDC190" s="412"/>
      <c r="BDD190" s="412"/>
      <c r="BDE190" s="412"/>
      <c r="BDF190" s="412"/>
      <c r="BDG190" s="412"/>
      <c r="BDH190" s="412"/>
      <c r="BDI190" s="412"/>
      <c r="BDJ190" s="412"/>
      <c r="BDK190" s="412"/>
      <c r="BDL190" s="412"/>
      <c r="BDM190" s="412"/>
      <c r="BDN190" s="412"/>
      <c r="BDO190" s="412"/>
      <c r="BDP190" s="412"/>
      <c r="BDQ190" s="412"/>
      <c r="BDR190" s="412"/>
      <c r="BDS190" s="412"/>
      <c r="BDT190" s="412"/>
      <c r="BDU190" s="412"/>
      <c r="BDV190" s="412"/>
      <c r="BDW190" s="412"/>
      <c r="BDX190" s="412"/>
      <c r="BDY190" s="412"/>
      <c r="BDZ190" s="412"/>
      <c r="BEA190" s="412"/>
      <c r="BEB190" s="412"/>
      <c r="BEC190" s="412"/>
      <c r="BED190" s="412"/>
      <c r="BEE190" s="412"/>
      <c r="BEF190" s="412"/>
      <c r="BEG190" s="412"/>
      <c r="BEH190" s="412"/>
      <c r="BEI190" s="412"/>
      <c r="BEJ190" s="412"/>
      <c r="BEK190" s="412"/>
      <c r="BEL190" s="412"/>
      <c r="BEM190" s="412"/>
      <c r="BEN190" s="412"/>
      <c r="BEO190" s="412"/>
      <c r="BEP190" s="412"/>
      <c r="BEQ190" s="412"/>
      <c r="BER190" s="412"/>
      <c r="BES190" s="412"/>
      <c r="BET190" s="412"/>
      <c r="BEU190" s="412"/>
      <c r="BEV190" s="412"/>
      <c r="BEW190" s="412"/>
      <c r="BEX190" s="412"/>
      <c r="BEY190" s="412"/>
      <c r="BEZ190" s="412"/>
      <c r="BFA190" s="412"/>
      <c r="BFB190" s="412"/>
      <c r="BFC190" s="412"/>
      <c r="BFD190" s="412"/>
      <c r="BFE190" s="412"/>
      <c r="BFF190" s="412"/>
      <c r="BFG190" s="412"/>
      <c r="BFH190" s="412"/>
      <c r="BFI190" s="412"/>
      <c r="BFJ190" s="412"/>
      <c r="BFK190" s="412"/>
      <c r="BFL190" s="412"/>
      <c r="BFM190" s="412"/>
      <c r="BFN190" s="412"/>
      <c r="BFO190" s="412"/>
      <c r="BFP190" s="412"/>
      <c r="BFQ190" s="412"/>
      <c r="BFR190" s="412"/>
      <c r="BFS190" s="412"/>
      <c r="BFT190" s="412"/>
      <c r="BFU190" s="412"/>
      <c r="BFV190" s="412"/>
      <c r="BFW190" s="412"/>
      <c r="BFX190" s="412"/>
      <c r="BFY190" s="412"/>
      <c r="BFZ190" s="412"/>
      <c r="BGA190" s="412"/>
      <c r="BGB190" s="412"/>
      <c r="BGC190" s="412"/>
      <c r="BGD190" s="412"/>
      <c r="BGE190" s="412"/>
      <c r="BGF190" s="412"/>
      <c r="BGG190" s="412"/>
      <c r="BGH190" s="412"/>
      <c r="BGI190" s="412"/>
      <c r="BGJ190" s="412"/>
      <c r="BGK190" s="412"/>
      <c r="BGL190" s="412"/>
      <c r="BGM190" s="412"/>
      <c r="BGN190" s="412"/>
      <c r="BGO190" s="412"/>
      <c r="BGP190" s="412"/>
      <c r="BGQ190" s="412"/>
      <c r="BGR190" s="412"/>
      <c r="BGS190" s="412"/>
      <c r="BGT190" s="412"/>
      <c r="BGU190" s="412"/>
      <c r="BGV190" s="412"/>
      <c r="BGW190" s="412"/>
      <c r="BGX190" s="412"/>
      <c r="BGY190" s="412"/>
      <c r="BGZ190" s="412"/>
      <c r="BHA190" s="412"/>
      <c r="BHB190" s="412"/>
      <c r="BHC190" s="412"/>
      <c r="BHD190" s="412"/>
      <c r="BHE190" s="412"/>
      <c r="BHF190" s="412"/>
      <c r="BHG190" s="412"/>
      <c r="BHH190" s="412"/>
      <c r="BHI190" s="412"/>
      <c r="BHJ190" s="412"/>
      <c r="BHK190" s="412"/>
      <c r="BHL190" s="412"/>
      <c r="BHM190" s="412"/>
      <c r="BHN190" s="412"/>
      <c r="BHO190" s="412"/>
      <c r="BHP190" s="412"/>
      <c r="BHQ190" s="412"/>
      <c r="BHR190" s="412"/>
      <c r="BHS190" s="412"/>
      <c r="BHT190" s="412"/>
      <c r="BHU190" s="412"/>
      <c r="BHV190" s="412"/>
      <c r="BHW190" s="412"/>
      <c r="BHX190" s="412"/>
      <c r="BHY190" s="412"/>
      <c r="BHZ190" s="412"/>
      <c r="BIA190" s="412"/>
      <c r="BIB190" s="412"/>
      <c r="BIC190" s="412"/>
      <c r="BID190" s="412"/>
      <c r="BIE190" s="412"/>
      <c r="BIF190" s="412"/>
      <c r="BIG190" s="412"/>
      <c r="BIH190" s="412"/>
      <c r="BII190" s="412"/>
      <c r="BIJ190" s="412"/>
      <c r="BIK190" s="412"/>
      <c r="BIL190" s="412"/>
      <c r="BIM190" s="412"/>
      <c r="BIN190" s="412"/>
      <c r="BIO190" s="412"/>
      <c r="BIP190" s="412"/>
      <c r="BIQ190" s="412"/>
      <c r="BIR190" s="412"/>
      <c r="BIS190" s="412"/>
      <c r="BIT190" s="412"/>
      <c r="BIU190" s="412"/>
      <c r="BIV190" s="412"/>
      <c r="BIW190" s="412"/>
      <c r="BIX190" s="412"/>
      <c r="BIY190" s="412"/>
      <c r="BIZ190" s="412"/>
      <c r="BJA190" s="412"/>
      <c r="BJB190" s="412"/>
      <c r="BJC190" s="412"/>
      <c r="BJD190" s="412"/>
      <c r="BJE190" s="412"/>
      <c r="BJF190" s="412"/>
      <c r="BJG190" s="412"/>
      <c r="BJH190" s="412"/>
      <c r="BJI190" s="412"/>
      <c r="BJJ190" s="412"/>
      <c r="BJK190" s="412"/>
      <c r="BJL190" s="412"/>
      <c r="BJM190" s="412"/>
      <c r="BJN190" s="412"/>
      <c r="BJO190" s="412"/>
      <c r="BJP190" s="412"/>
      <c r="BJQ190" s="412"/>
      <c r="BJR190" s="412"/>
      <c r="BJS190" s="412"/>
      <c r="BJT190" s="412"/>
      <c r="BJU190" s="412"/>
      <c r="BJV190" s="412"/>
      <c r="BJW190" s="412"/>
      <c r="BJX190" s="412"/>
      <c r="BJY190" s="412"/>
      <c r="BJZ190" s="412"/>
      <c r="BKA190" s="412"/>
      <c r="BKB190" s="412"/>
      <c r="BKC190" s="412"/>
      <c r="BKD190" s="412"/>
      <c r="BKE190" s="412"/>
      <c r="BKF190" s="412"/>
      <c r="BKG190" s="412"/>
      <c r="BKH190" s="412"/>
      <c r="BKI190" s="412"/>
      <c r="BKJ190" s="412"/>
      <c r="BKK190" s="412"/>
      <c r="BKL190" s="412"/>
      <c r="BKM190" s="412"/>
      <c r="BKN190" s="412"/>
      <c r="BKO190" s="412"/>
      <c r="BKP190" s="412"/>
      <c r="BKQ190" s="412"/>
      <c r="BKR190" s="412"/>
      <c r="BKS190" s="412"/>
      <c r="BKT190" s="412"/>
      <c r="BKU190" s="412"/>
      <c r="BKV190" s="412"/>
      <c r="BKW190" s="412"/>
      <c r="BKX190" s="412"/>
      <c r="BKY190" s="412"/>
      <c r="BKZ190" s="412"/>
      <c r="BLA190" s="412"/>
      <c r="BLB190" s="412"/>
      <c r="BLC190" s="412"/>
      <c r="BLD190" s="412"/>
      <c r="BLE190" s="412"/>
      <c r="BLF190" s="412"/>
      <c r="BLG190" s="412"/>
      <c r="BLH190" s="412"/>
      <c r="BLI190" s="412"/>
      <c r="BLJ190" s="412"/>
      <c r="BLK190" s="412"/>
      <c r="BLL190" s="412"/>
      <c r="BLM190" s="412"/>
      <c r="BLN190" s="412"/>
      <c r="BLO190" s="412"/>
      <c r="BLP190" s="412"/>
      <c r="BLQ190" s="412"/>
      <c r="BLR190" s="412"/>
      <c r="BLS190" s="412"/>
      <c r="BLT190" s="412"/>
      <c r="BLU190" s="412"/>
      <c r="BLV190" s="412"/>
      <c r="BLW190" s="412"/>
      <c r="BLX190" s="412"/>
      <c r="BLY190" s="412"/>
      <c r="BLZ190" s="412"/>
      <c r="BMA190" s="412"/>
      <c r="BMB190" s="412"/>
      <c r="BMC190" s="412"/>
      <c r="BMD190" s="412"/>
      <c r="BME190" s="412"/>
      <c r="BMF190" s="412"/>
      <c r="BMG190" s="412"/>
      <c r="BMH190" s="412"/>
      <c r="BMI190" s="412"/>
      <c r="BMJ190" s="412"/>
      <c r="BMK190" s="412"/>
      <c r="BML190" s="412"/>
      <c r="BMM190" s="412"/>
      <c r="BMN190" s="412"/>
      <c r="BMO190" s="412"/>
      <c r="BMP190" s="412"/>
      <c r="BMQ190" s="412"/>
      <c r="BMR190" s="412"/>
      <c r="BMS190" s="412"/>
      <c r="BMT190" s="412"/>
      <c r="BMU190" s="412"/>
      <c r="BMV190" s="412"/>
      <c r="BMW190" s="412"/>
      <c r="BMX190" s="412"/>
      <c r="BMY190" s="412"/>
      <c r="BMZ190" s="412"/>
      <c r="BNA190" s="412"/>
      <c r="BNB190" s="412"/>
      <c r="BNC190" s="412"/>
      <c r="BND190" s="412"/>
      <c r="BNE190" s="412"/>
      <c r="BNF190" s="412"/>
      <c r="BNG190" s="412"/>
      <c r="BNH190" s="412"/>
      <c r="BNI190" s="412"/>
      <c r="BNJ190" s="412"/>
      <c r="BNK190" s="412"/>
      <c r="BNL190" s="412"/>
      <c r="BNM190" s="412"/>
      <c r="BNN190" s="412"/>
      <c r="BNO190" s="412"/>
      <c r="BNP190" s="412"/>
      <c r="BNQ190" s="412"/>
      <c r="BNR190" s="412"/>
      <c r="BNS190" s="412"/>
      <c r="BNT190" s="412"/>
      <c r="BNU190" s="412"/>
      <c r="BNV190" s="412"/>
      <c r="BNW190" s="412"/>
      <c r="BNX190" s="412"/>
      <c r="BNY190" s="412"/>
      <c r="BNZ190" s="412"/>
      <c r="BOA190" s="412"/>
      <c r="BOB190" s="412"/>
      <c r="BOC190" s="412"/>
      <c r="BOD190" s="412"/>
      <c r="BOE190" s="412"/>
      <c r="BOF190" s="412"/>
      <c r="BOG190" s="412"/>
      <c r="BOH190" s="412"/>
      <c r="BOI190" s="412"/>
      <c r="BOJ190" s="412"/>
      <c r="BOK190" s="412"/>
      <c r="BOL190" s="412"/>
      <c r="BOM190" s="412"/>
      <c r="BON190" s="412"/>
      <c r="BOO190" s="412"/>
      <c r="BOP190" s="412"/>
      <c r="BOQ190" s="412"/>
      <c r="BOR190" s="412"/>
      <c r="BOS190" s="412"/>
      <c r="BOT190" s="412"/>
      <c r="BOU190" s="412"/>
      <c r="BOV190" s="412"/>
      <c r="BOW190" s="412"/>
      <c r="BOX190" s="412"/>
      <c r="BOY190" s="412"/>
      <c r="BOZ190" s="412"/>
      <c r="BPA190" s="412"/>
      <c r="BPB190" s="412"/>
      <c r="BPC190" s="412"/>
      <c r="BPD190" s="412"/>
      <c r="BPE190" s="412"/>
      <c r="BPF190" s="412"/>
      <c r="BPG190" s="412"/>
      <c r="BPH190" s="412"/>
      <c r="BPI190" s="412"/>
      <c r="BPJ190" s="412"/>
      <c r="BPK190" s="412"/>
      <c r="BPL190" s="412"/>
      <c r="BPM190" s="412"/>
      <c r="BPN190" s="412"/>
      <c r="BPO190" s="412"/>
      <c r="BPP190" s="412"/>
      <c r="BPQ190" s="412"/>
      <c r="BPR190" s="412"/>
      <c r="BPS190" s="412"/>
      <c r="BPT190" s="412"/>
      <c r="BPU190" s="412"/>
      <c r="BPV190" s="412"/>
      <c r="BPW190" s="412"/>
      <c r="BPX190" s="412"/>
      <c r="BPY190" s="412"/>
      <c r="BPZ190" s="412"/>
      <c r="BQA190" s="412"/>
      <c r="BQB190" s="412"/>
      <c r="BQC190" s="412"/>
      <c r="BQD190" s="412"/>
      <c r="BQE190" s="412"/>
      <c r="BQF190" s="412"/>
      <c r="BQG190" s="412"/>
      <c r="BQH190" s="412"/>
      <c r="BQI190" s="412"/>
      <c r="BQJ190" s="412"/>
      <c r="BQK190" s="412"/>
      <c r="BQL190" s="412"/>
      <c r="BQM190" s="412"/>
      <c r="BQN190" s="412"/>
      <c r="BQO190" s="412"/>
      <c r="BQP190" s="412"/>
      <c r="BQQ190" s="412"/>
      <c r="BQR190" s="412"/>
      <c r="BQS190" s="412"/>
      <c r="BQT190" s="412"/>
      <c r="BQU190" s="412"/>
      <c r="BQV190" s="412"/>
      <c r="BQW190" s="412"/>
      <c r="BQX190" s="412"/>
      <c r="BQY190" s="412"/>
      <c r="BQZ190" s="412"/>
      <c r="BRA190" s="412"/>
      <c r="BRB190" s="412"/>
      <c r="BRC190" s="412"/>
      <c r="BRD190" s="412"/>
      <c r="BRE190" s="412"/>
      <c r="BRF190" s="412"/>
      <c r="BRG190" s="412"/>
      <c r="BRH190" s="412"/>
      <c r="BRI190" s="412"/>
      <c r="BRJ190" s="412"/>
      <c r="BRK190" s="412"/>
      <c r="BRL190" s="412"/>
      <c r="BRM190" s="412"/>
      <c r="BRN190" s="412"/>
      <c r="BRO190" s="412"/>
      <c r="BRP190" s="412"/>
      <c r="BRQ190" s="412"/>
      <c r="BRR190" s="412"/>
      <c r="BRS190" s="412"/>
      <c r="BRT190" s="412"/>
      <c r="BRU190" s="412"/>
      <c r="BRV190" s="412"/>
      <c r="BRW190" s="412"/>
      <c r="BRX190" s="412"/>
      <c r="BRY190" s="412"/>
      <c r="BRZ190" s="412"/>
      <c r="BSA190" s="412"/>
      <c r="BSB190" s="412"/>
      <c r="BSC190" s="412"/>
      <c r="BSD190" s="412"/>
      <c r="BSE190" s="412"/>
      <c r="BSF190" s="412"/>
      <c r="BSG190" s="412"/>
      <c r="BSH190" s="412"/>
      <c r="BSI190" s="412"/>
      <c r="BSJ190" s="412"/>
      <c r="BSK190" s="412"/>
      <c r="BSL190" s="412"/>
      <c r="BSM190" s="412"/>
      <c r="BSN190" s="412"/>
      <c r="BSO190" s="412"/>
      <c r="BSP190" s="412"/>
      <c r="BSQ190" s="412"/>
      <c r="BSR190" s="412"/>
      <c r="BSS190" s="412"/>
      <c r="BST190" s="412"/>
      <c r="BSU190" s="412"/>
      <c r="BSV190" s="412"/>
      <c r="BSW190" s="412"/>
      <c r="BSX190" s="412"/>
      <c r="BSY190" s="412"/>
      <c r="BSZ190" s="412"/>
      <c r="BTA190" s="412"/>
      <c r="BTB190" s="412"/>
      <c r="BTC190" s="412"/>
      <c r="BTD190" s="412"/>
      <c r="BTE190" s="412"/>
      <c r="BTF190" s="412"/>
      <c r="BTG190" s="412"/>
      <c r="BTH190" s="412"/>
      <c r="BTI190" s="412"/>
    </row>
    <row r="191" spans="1:1881" s="320" customFormat="1" ht="57.75" customHeight="1" x14ac:dyDescent="0.25">
      <c r="A191" s="189">
        <v>525</v>
      </c>
      <c r="B191" s="151" t="s">
        <v>595</v>
      </c>
      <c r="C191" s="185" t="s">
        <v>236</v>
      </c>
      <c r="D191" s="179" t="s">
        <v>21</v>
      </c>
      <c r="E191" s="32" t="e">
        <f>HLOOKUP($D$2,'2019 Data(H)'!$C$1:$CG$300,175,FALSE)</f>
        <v>#N/A</v>
      </c>
      <c r="F191" s="609"/>
      <c r="G191" s="601">
        <f>IF(F191&lt;0,"Error: Enter as positive.",)</f>
        <v>0</v>
      </c>
      <c r="H191" s="13"/>
      <c r="I191" s="31"/>
      <c r="J191" s="412"/>
      <c r="K191" s="412"/>
      <c r="L191" s="412"/>
      <c r="M191" s="412"/>
      <c r="N191"/>
      <c r="O191" s="412"/>
      <c r="P191" s="412"/>
      <c r="Q191" s="412"/>
      <c r="R191" s="412"/>
      <c r="S191" s="412"/>
      <c r="T191" s="412"/>
      <c r="U191" s="412"/>
      <c r="V191" s="412"/>
      <c r="W191" s="412"/>
      <c r="X191" s="412"/>
      <c r="Y191" s="412"/>
      <c r="Z191" s="412"/>
      <c r="AA191" s="412"/>
      <c r="AB191" s="412"/>
      <c r="AC191" s="412"/>
      <c r="AD191" s="412"/>
      <c r="AE191" s="412"/>
      <c r="AF191" s="412"/>
      <c r="AG191" s="412"/>
      <c r="AH191" s="412"/>
      <c r="AI191" s="412"/>
      <c r="AJ191" s="412"/>
      <c r="AK191" s="412"/>
      <c r="AL191" s="412"/>
      <c r="AM191" s="412"/>
      <c r="AN191" s="412"/>
      <c r="AO191" s="412"/>
      <c r="AP191" s="412"/>
      <c r="AQ191" s="412"/>
      <c r="AR191" s="412"/>
      <c r="AS191" s="412"/>
      <c r="AT191" s="412"/>
      <c r="AU191" s="412"/>
      <c r="AV191" s="412"/>
      <c r="AW191" s="412"/>
      <c r="AX191" s="412"/>
      <c r="AY191" s="412"/>
      <c r="AZ191" s="412"/>
      <c r="BA191" s="412"/>
      <c r="BB191" s="412"/>
      <c r="BC191" s="412"/>
      <c r="BD191" s="412"/>
      <c r="BE191" s="412"/>
      <c r="BF191" s="412"/>
      <c r="BG191" s="412"/>
      <c r="BH191" s="412"/>
      <c r="BI191" s="412"/>
      <c r="BJ191" s="412"/>
      <c r="BK191" s="412"/>
      <c r="BL191" s="412"/>
      <c r="BM191" s="412"/>
      <c r="BN191" s="412"/>
      <c r="BO191" s="412"/>
      <c r="BP191" s="412"/>
      <c r="BQ191" s="412"/>
      <c r="BR191" s="412"/>
      <c r="BS191" s="412"/>
      <c r="BT191" s="412"/>
      <c r="BU191" s="412"/>
      <c r="BV191" s="412"/>
      <c r="BW191" s="412"/>
      <c r="BX191" s="412"/>
      <c r="BY191" s="412"/>
      <c r="BZ191" s="412"/>
      <c r="CA191" s="412"/>
      <c r="CB191" s="412"/>
      <c r="CC191" s="412"/>
      <c r="CD191" s="412"/>
      <c r="CE191" s="412"/>
      <c r="CF191" s="412"/>
      <c r="CG191" s="412"/>
      <c r="CH191" s="412"/>
      <c r="CI191" s="412"/>
      <c r="CJ191" s="412"/>
      <c r="CK191" s="412"/>
      <c r="CL191" s="412"/>
      <c r="CM191" s="412"/>
      <c r="CN191" s="412"/>
      <c r="CO191" s="412"/>
      <c r="CP191" s="412"/>
      <c r="CQ191" s="412"/>
      <c r="CR191" s="412"/>
      <c r="CS191" s="412"/>
      <c r="CT191" s="412"/>
      <c r="CU191" s="412"/>
      <c r="CV191" s="412"/>
      <c r="CW191" s="412"/>
      <c r="CX191" s="412"/>
      <c r="CY191" s="412"/>
      <c r="CZ191" s="412"/>
      <c r="DA191" s="412"/>
      <c r="DB191" s="412"/>
      <c r="DC191" s="412"/>
      <c r="DD191" s="412"/>
      <c r="DE191" s="412"/>
      <c r="DF191" s="412"/>
      <c r="DG191" s="412"/>
      <c r="DH191" s="412"/>
      <c r="DI191" s="412"/>
      <c r="DJ191" s="412"/>
      <c r="DK191" s="412"/>
      <c r="DL191" s="412"/>
      <c r="DM191" s="412"/>
      <c r="DN191" s="412"/>
      <c r="DO191" s="412"/>
      <c r="DP191" s="412"/>
      <c r="DQ191" s="412"/>
      <c r="DR191" s="412"/>
      <c r="DS191" s="412"/>
      <c r="DT191" s="412"/>
      <c r="DU191" s="412"/>
      <c r="DV191" s="412"/>
      <c r="DW191" s="412"/>
      <c r="DX191" s="412"/>
      <c r="DY191" s="412"/>
      <c r="DZ191" s="412"/>
      <c r="EA191" s="412"/>
      <c r="EB191" s="412"/>
      <c r="EC191" s="412"/>
      <c r="ED191" s="412"/>
      <c r="EE191" s="412"/>
      <c r="EF191" s="412"/>
      <c r="EG191" s="412"/>
      <c r="EH191" s="412"/>
      <c r="EI191" s="412"/>
      <c r="EJ191" s="412"/>
      <c r="EK191" s="412"/>
      <c r="EL191" s="412"/>
      <c r="EM191" s="412"/>
      <c r="EN191" s="412"/>
      <c r="EO191" s="412"/>
      <c r="EP191" s="412"/>
      <c r="EQ191" s="412"/>
      <c r="ER191" s="412"/>
      <c r="ES191" s="412"/>
      <c r="ET191" s="412"/>
      <c r="EU191" s="412"/>
      <c r="EV191" s="412"/>
      <c r="EW191" s="412"/>
      <c r="EX191" s="412"/>
      <c r="EY191" s="412"/>
      <c r="EZ191" s="412"/>
      <c r="FA191" s="412"/>
      <c r="FB191" s="412"/>
      <c r="FC191" s="412"/>
      <c r="FD191" s="412"/>
      <c r="FE191" s="412"/>
      <c r="FF191" s="412"/>
      <c r="FG191" s="412"/>
      <c r="FH191" s="412"/>
      <c r="FI191" s="412"/>
      <c r="FJ191" s="412"/>
      <c r="FK191" s="412"/>
      <c r="FL191" s="412"/>
      <c r="FM191" s="412"/>
      <c r="FN191" s="412"/>
      <c r="FO191" s="412"/>
      <c r="FP191" s="412"/>
      <c r="FQ191" s="412"/>
      <c r="FR191" s="412"/>
      <c r="FS191" s="412"/>
      <c r="FT191" s="412"/>
      <c r="FU191" s="412"/>
      <c r="FV191" s="412"/>
      <c r="FW191" s="412"/>
      <c r="FX191" s="412"/>
      <c r="FY191" s="412"/>
      <c r="FZ191" s="412"/>
      <c r="GA191" s="412"/>
      <c r="GB191" s="412"/>
      <c r="GC191" s="412"/>
      <c r="GD191" s="412"/>
      <c r="GE191" s="412"/>
      <c r="GF191" s="412"/>
      <c r="GG191" s="412"/>
      <c r="GH191" s="412"/>
      <c r="GI191" s="412"/>
      <c r="GJ191" s="412"/>
      <c r="GK191" s="412"/>
      <c r="GL191" s="412"/>
      <c r="GM191" s="412"/>
      <c r="GN191" s="412"/>
      <c r="GO191" s="412"/>
      <c r="GP191" s="412"/>
      <c r="GQ191" s="412"/>
      <c r="GR191" s="412"/>
      <c r="GS191" s="412"/>
      <c r="GT191" s="412"/>
      <c r="GU191" s="412"/>
      <c r="GV191" s="412"/>
      <c r="GW191" s="412"/>
      <c r="GX191" s="412"/>
      <c r="GY191" s="412"/>
      <c r="GZ191" s="412"/>
      <c r="HA191" s="412"/>
      <c r="HB191" s="412"/>
      <c r="HC191" s="412"/>
      <c r="HD191" s="412"/>
      <c r="HE191" s="412"/>
      <c r="HF191" s="412"/>
      <c r="HG191" s="412"/>
      <c r="HH191" s="412"/>
      <c r="HI191" s="412"/>
      <c r="HJ191" s="412"/>
      <c r="HK191" s="412"/>
      <c r="HL191" s="412"/>
      <c r="HM191" s="412"/>
      <c r="HN191" s="412"/>
      <c r="HO191" s="412"/>
      <c r="HP191" s="412"/>
      <c r="HQ191" s="412"/>
      <c r="HR191" s="412"/>
      <c r="HS191" s="412"/>
      <c r="HT191" s="412"/>
      <c r="HU191" s="412"/>
      <c r="HV191" s="412"/>
      <c r="HW191" s="412"/>
      <c r="HX191" s="412"/>
      <c r="HY191" s="412"/>
      <c r="HZ191" s="412"/>
      <c r="IA191" s="412"/>
      <c r="IB191" s="412"/>
      <c r="IC191" s="412"/>
      <c r="ID191" s="412"/>
      <c r="IE191" s="412"/>
      <c r="IF191" s="412"/>
      <c r="IG191" s="412"/>
      <c r="IH191" s="412"/>
      <c r="II191" s="412"/>
      <c r="IJ191" s="412"/>
      <c r="IK191" s="412"/>
      <c r="IL191" s="412"/>
      <c r="IM191" s="412"/>
      <c r="IN191" s="412"/>
      <c r="IO191" s="412"/>
      <c r="IP191" s="412"/>
      <c r="IQ191" s="412"/>
      <c r="IR191" s="412"/>
      <c r="IS191" s="412"/>
      <c r="IT191" s="412"/>
      <c r="IU191" s="412"/>
      <c r="IV191" s="412"/>
      <c r="IW191" s="412"/>
      <c r="IX191" s="412"/>
      <c r="IY191" s="412"/>
      <c r="IZ191" s="412"/>
      <c r="JA191" s="412"/>
      <c r="JB191" s="412"/>
      <c r="JC191" s="412"/>
      <c r="JD191" s="412"/>
      <c r="JE191" s="412"/>
      <c r="JF191" s="412"/>
      <c r="JG191" s="412"/>
      <c r="JH191" s="412"/>
      <c r="JI191" s="412"/>
      <c r="JJ191" s="412"/>
      <c r="JK191" s="412"/>
      <c r="JL191" s="412"/>
      <c r="JM191" s="412"/>
      <c r="JN191" s="412"/>
      <c r="JO191" s="412"/>
      <c r="JP191" s="412"/>
      <c r="JQ191" s="412"/>
      <c r="JR191" s="412"/>
      <c r="JS191" s="412"/>
      <c r="JT191" s="412"/>
      <c r="JU191" s="412"/>
      <c r="JV191" s="412"/>
      <c r="JW191" s="412"/>
      <c r="JX191" s="412"/>
      <c r="JY191" s="412"/>
      <c r="JZ191" s="412"/>
      <c r="KA191" s="412"/>
      <c r="KB191" s="412"/>
      <c r="KC191" s="412"/>
      <c r="KD191" s="412"/>
      <c r="KE191" s="412"/>
      <c r="KF191" s="412"/>
      <c r="KG191" s="412"/>
      <c r="KH191" s="412"/>
      <c r="KI191" s="412"/>
      <c r="KJ191" s="412"/>
      <c r="KK191" s="412"/>
      <c r="KL191" s="412"/>
      <c r="KM191" s="412"/>
      <c r="KN191" s="412"/>
      <c r="KO191" s="412"/>
      <c r="KP191" s="412"/>
      <c r="KQ191" s="412"/>
      <c r="KR191" s="412"/>
      <c r="KS191" s="412"/>
      <c r="KT191" s="412"/>
      <c r="KU191" s="412"/>
      <c r="KV191" s="412"/>
      <c r="KW191" s="412"/>
      <c r="KX191" s="412"/>
      <c r="KY191" s="412"/>
      <c r="KZ191" s="412"/>
      <c r="LA191" s="412"/>
      <c r="LB191" s="412"/>
      <c r="LC191" s="412"/>
      <c r="LD191" s="412"/>
      <c r="LE191" s="412"/>
      <c r="LF191" s="412"/>
      <c r="LG191" s="412"/>
      <c r="LH191" s="412"/>
      <c r="LI191" s="412"/>
      <c r="LJ191" s="412"/>
      <c r="LK191" s="412"/>
      <c r="LL191" s="412"/>
      <c r="LM191" s="412"/>
      <c r="LN191" s="412"/>
      <c r="LO191" s="412"/>
      <c r="LP191" s="412"/>
      <c r="LQ191" s="412"/>
      <c r="LR191" s="412"/>
      <c r="LS191" s="412"/>
      <c r="LT191" s="412"/>
      <c r="LU191" s="412"/>
      <c r="LV191" s="412"/>
      <c r="LW191" s="412"/>
      <c r="LX191" s="412"/>
      <c r="LY191" s="412"/>
      <c r="LZ191" s="412"/>
      <c r="MA191" s="412"/>
      <c r="MB191" s="412"/>
      <c r="MC191" s="412"/>
      <c r="MD191" s="412"/>
      <c r="ME191" s="412"/>
      <c r="MF191" s="412"/>
      <c r="MG191" s="412"/>
      <c r="MH191" s="412"/>
      <c r="MI191" s="412"/>
      <c r="MJ191" s="412"/>
      <c r="MK191" s="412"/>
      <c r="ML191" s="412"/>
      <c r="MM191" s="412"/>
      <c r="MN191" s="412"/>
      <c r="MO191" s="412"/>
      <c r="MP191" s="412"/>
      <c r="MQ191" s="412"/>
      <c r="MR191" s="412"/>
      <c r="MS191" s="412"/>
      <c r="MT191" s="412"/>
      <c r="MU191" s="412"/>
      <c r="MV191" s="412"/>
      <c r="MW191" s="412"/>
      <c r="MX191" s="412"/>
      <c r="MY191" s="412"/>
      <c r="MZ191" s="412"/>
      <c r="NA191" s="412"/>
      <c r="NB191" s="412"/>
      <c r="NC191" s="412"/>
      <c r="ND191" s="412"/>
      <c r="NE191" s="412"/>
      <c r="NF191" s="412"/>
      <c r="NG191" s="412"/>
      <c r="NH191" s="412"/>
      <c r="NI191" s="412"/>
      <c r="NJ191" s="412"/>
      <c r="NK191" s="412"/>
      <c r="NL191" s="412"/>
      <c r="NM191" s="412"/>
      <c r="NN191" s="412"/>
      <c r="NO191" s="412"/>
      <c r="NP191" s="412"/>
      <c r="NQ191" s="412"/>
      <c r="NR191" s="412"/>
      <c r="NS191" s="412"/>
      <c r="NT191" s="412"/>
      <c r="NU191" s="412"/>
      <c r="NV191" s="412"/>
      <c r="NW191" s="412"/>
      <c r="NX191" s="412"/>
      <c r="NY191" s="412"/>
      <c r="NZ191" s="412"/>
      <c r="OA191" s="412"/>
      <c r="OB191" s="412"/>
      <c r="OC191" s="412"/>
      <c r="OD191" s="412"/>
      <c r="OE191" s="412"/>
      <c r="OF191" s="412"/>
      <c r="OG191" s="412"/>
      <c r="OH191" s="412"/>
      <c r="OI191" s="412"/>
      <c r="OJ191" s="412"/>
      <c r="OK191" s="412"/>
      <c r="OL191" s="412"/>
      <c r="OM191" s="412"/>
      <c r="ON191" s="412"/>
      <c r="OO191" s="412"/>
      <c r="OP191" s="412"/>
      <c r="OQ191" s="412"/>
      <c r="OR191" s="412"/>
      <c r="OS191" s="412"/>
      <c r="OT191" s="412"/>
      <c r="OU191" s="412"/>
      <c r="OV191" s="412"/>
      <c r="OW191" s="412"/>
      <c r="OX191" s="412"/>
      <c r="OY191" s="412"/>
      <c r="OZ191" s="412"/>
      <c r="PA191" s="412"/>
      <c r="PB191" s="412"/>
      <c r="PC191" s="412"/>
      <c r="PD191" s="412"/>
      <c r="PE191" s="412"/>
      <c r="PF191" s="412"/>
      <c r="PG191" s="412"/>
      <c r="PH191" s="412"/>
      <c r="PI191" s="412"/>
      <c r="PJ191" s="412"/>
      <c r="PK191" s="412"/>
      <c r="PL191" s="412"/>
      <c r="PM191" s="412"/>
      <c r="PN191" s="412"/>
      <c r="PO191" s="412"/>
      <c r="PP191" s="412"/>
      <c r="PQ191" s="412"/>
      <c r="PR191" s="412"/>
      <c r="PS191" s="412"/>
      <c r="PT191" s="412"/>
      <c r="PU191" s="412"/>
      <c r="PV191" s="412"/>
      <c r="PW191" s="412"/>
      <c r="PX191" s="412"/>
      <c r="PY191" s="412"/>
      <c r="PZ191" s="412"/>
      <c r="QA191" s="412"/>
      <c r="QB191" s="412"/>
      <c r="QC191" s="412"/>
      <c r="QD191" s="412"/>
      <c r="QE191" s="412"/>
      <c r="QF191" s="412"/>
      <c r="QG191" s="412"/>
      <c r="QH191" s="412"/>
      <c r="QI191" s="412"/>
      <c r="QJ191" s="412"/>
      <c r="QK191" s="412"/>
      <c r="QL191" s="412"/>
      <c r="QM191" s="412"/>
      <c r="QN191" s="412"/>
      <c r="QO191" s="412"/>
      <c r="QP191" s="412"/>
      <c r="QQ191" s="412"/>
      <c r="QR191" s="412"/>
      <c r="QS191" s="412"/>
      <c r="QT191" s="412"/>
      <c r="QU191" s="412"/>
      <c r="QV191" s="412"/>
      <c r="QW191" s="412"/>
      <c r="QX191" s="412"/>
      <c r="QY191" s="412"/>
      <c r="QZ191" s="412"/>
      <c r="RA191" s="412"/>
      <c r="RB191" s="412"/>
      <c r="RC191" s="412"/>
      <c r="RD191" s="412"/>
      <c r="RE191" s="412"/>
      <c r="RF191" s="412"/>
      <c r="RG191" s="412"/>
      <c r="RH191" s="412"/>
      <c r="RI191" s="412"/>
      <c r="RJ191" s="412"/>
      <c r="RK191" s="412"/>
      <c r="RL191" s="412"/>
      <c r="RM191" s="412"/>
      <c r="RN191" s="412"/>
      <c r="RO191" s="412"/>
      <c r="RP191" s="412"/>
      <c r="RQ191" s="412"/>
      <c r="RR191" s="412"/>
      <c r="RS191" s="412"/>
      <c r="RT191" s="412"/>
      <c r="RU191" s="412"/>
      <c r="RV191" s="412"/>
      <c r="RW191" s="412"/>
      <c r="RX191" s="412"/>
      <c r="RY191" s="412"/>
      <c r="RZ191" s="412"/>
      <c r="SA191" s="412"/>
      <c r="SB191" s="412"/>
      <c r="SC191" s="412"/>
      <c r="SD191" s="412"/>
      <c r="SE191" s="412"/>
      <c r="SF191" s="412"/>
      <c r="SG191" s="412"/>
      <c r="SH191" s="412"/>
      <c r="SI191" s="412"/>
      <c r="SJ191" s="412"/>
      <c r="SK191" s="412"/>
      <c r="SL191" s="412"/>
      <c r="SM191" s="412"/>
      <c r="SN191" s="412"/>
      <c r="SO191" s="412"/>
      <c r="SP191" s="412"/>
      <c r="SQ191" s="412"/>
      <c r="SR191" s="412"/>
      <c r="SS191" s="412"/>
      <c r="ST191" s="412"/>
      <c r="SU191" s="412"/>
      <c r="SV191" s="412"/>
      <c r="SW191" s="412"/>
      <c r="SX191" s="412"/>
      <c r="SY191" s="412"/>
      <c r="SZ191" s="412"/>
      <c r="TA191" s="412"/>
      <c r="TB191" s="412"/>
      <c r="TC191" s="412"/>
      <c r="TD191" s="412"/>
      <c r="TE191" s="412"/>
      <c r="TF191" s="412"/>
      <c r="TG191" s="412"/>
      <c r="TH191" s="412"/>
      <c r="TI191" s="412"/>
      <c r="TJ191" s="412"/>
      <c r="TK191" s="412"/>
      <c r="TL191" s="412"/>
      <c r="TM191" s="412"/>
      <c r="TN191" s="412"/>
      <c r="TO191" s="412"/>
      <c r="TP191" s="412"/>
      <c r="TQ191" s="412"/>
      <c r="TR191" s="412"/>
      <c r="TS191" s="412"/>
      <c r="TT191" s="412"/>
      <c r="TU191" s="412"/>
      <c r="TV191" s="412"/>
      <c r="TW191" s="412"/>
      <c r="TX191" s="412"/>
      <c r="TY191" s="412"/>
      <c r="TZ191" s="412"/>
      <c r="UA191" s="412"/>
      <c r="UB191" s="412"/>
      <c r="UC191" s="412"/>
      <c r="UD191" s="412"/>
      <c r="UE191" s="412"/>
      <c r="UF191" s="412"/>
      <c r="UG191" s="412"/>
      <c r="UH191" s="412"/>
      <c r="UI191" s="412"/>
      <c r="UJ191" s="412"/>
      <c r="UK191" s="412"/>
      <c r="UL191" s="412"/>
      <c r="UM191" s="412"/>
      <c r="UN191" s="412"/>
      <c r="UO191" s="412"/>
      <c r="UP191" s="412"/>
      <c r="UQ191" s="412"/>
      <c r="UR191" s="412"/>
      <c r="US191" s="412"/>
      <c r="UT191" s="412"/>
      <c r="UU191" s="412"/>
      <c r="UV191" s="412"/>
      <c r="UW191" s="412"/>
      <c r="UX191" s="412"/>
      <c r="UY191" s="412"/>
      <c r="UZ191" s="412"/>
      <c r="VA191" s="412"/>
      <c r="VB191" s="412"/>
      <c r="VC191" s="412"/>
      <c r="VD191" s="412"/>
      <c r="VE191" s="412"/>
      <c r="VF191" s="412"/>
      <c r="VG191" s="412"/>
      <c r="VH191" s="412"/>
      <c r="VI191" s="412"/>
      <c r="VJ191" s="412"/>
      <c r="VK191" s="412"/>
      <c r="VL191" s="412"/>
      <c r="VM191" s="412"/>
      <c r="VN191" s="412"/>
      <c r="VO191" s="412"/>
      <c r="VP191" s="412"/>
      <c r="VQ191" s="412"/>
      <c r="VR191" s="412"/>
      <c r="VS191" s="412"/>
      <c r="VT191" s="412"/>
      <c r="VU191" s="412"/>
      <c r="VV191" s="412"/>
      <c r="VW191" s="412"/>
      <c r="VX191" s="412"/>
      <c r="VY191" s="412"/>
      <c r="VZ191" s="412"/>
      <c r="WA191" s="412"/>
      <c r="WB191" s="412"/>
      <c r="WC191" s="412"/>
      <c r="WD191" s="412"/>
      <c r="WE191" s="412"/>
      <c r="WF191" s="412"/>
      <c r="WG191" s="412"/>
      <c r="WH191" s="412"/>
      <c r="WI191" s="412"/>
      <c r="WJ191" s="412"/>
      <c r="WK191" s="412"/>
      <c r="WL191" s="412"/>
      <c r="WM191" s="412"/>
      <c r="WN191" s="412"/>
      <c r="WO191" s="412"/>
      <c r="WP191" s="412"/>
      <c r="WQ191" s="412"/>
      <c r="WR191" s="412"/>
      <c r="WS191" s="412"/>
      <c r="WT191" s="412"/>
      <c r="WU191" s="412"/>
      <c r="WV191" s="412"/>
      <c r="WW191" s="412"/>
      <c r="WX191" s="412"/>
      <c r="WY191" s="412"/>
      <c r="WZ191" s="412"/>
      <c r="XA191" s="412"/>
      <c r="XB191" s="412"/>
      <c r="XC191" s="412"/>
      <c r="XD191" s="412"/>
      <c r="XE191" s="412"/>
      <c r="XF191" s="412"/>
      <c r="XG191" s="412"/>
      <c r="XH191" s="412"/>
      <c r="XI191" s="412"/>
      <c r="XJ191" s="412"/>
      <c r="XK191" s="412"/>
      <c r="XL191" s="412"/>
      <c r="XM191" s="412"/>
      <c r="XN191" s="412"/>
      <c r="XO191" s="412"/>
      <c r="XP191" s="412"/>
      <c r="XQ191" s="412"/>
      <c r="XR191" s="412"/>
      <c r="XS191" s="412"/>
      <c r="XT191" s="412"/>
      <c r="XU191" s="412"/>
      <c r="XV191" s="412"/>
      <c r="XW191" s="412"/>
      <c r="XX191" s="412"/>
      <c r="XY191" s="412"/>
      <c r="XZ191" s="412"/>
      <c r="YA191" s="412"/>
      <c r="YB191" s="412"/>
      <c r="YC191" s="412"/>
      <c r="YD191" s="412"/>
      <c r="YE191" s="412"/>
      <c r="YF191" s="412"/>
      <c r="YG191" s="412"/>
      <c r="YH191" s="412"/>
      <c r="YI191" s="412"/>
      <c r="YJ191" s="412"/>
      <c r="YK191" s="412"/>
      <c r="YL191" s="412"/>
      <c r="YM191" s="412"/>
      <c r="YN191" s="412"/>
      <c r="YO191" s="412"/>
      <c r="YP191" s="412"/>
      <c r="YQ191" s="412"/>
      <c r="YR191" s="412"/>
      <c r="YS191" s="412"/>
      <c r="YT191" s="412"/>
      <c r="YU191" s="412"/>
      <c r="YV191" s="412"/>
      <c r="YW191" s="412"/>
      <c r="YX191" s="412"/>
      <c r="YY191" s="412"/>
      <c r="YZ191" s="412"/>
      <c r="ZA191" s="412"/>
      <c r="ZB191" s="412"/>
      <c r="ZC191" s="412"/>
      <c r="ZD191" s="412"/>
      <c r="ZE191" s="412"/>
      <c r="ZF191" s="412"/>
      <c r="ZG191" s="412"/>
      <c r="ZH191" s="412"/>
      <c r="ZI191" s="412"/>
      <c r="ZJ191" s="412"/>
      <c r="ZK191" s="412"/>
      <c r="ZL191" s="412"/>
      <c r="ZM191" s="412"/>
      <c r="ZN191" s="412"/>
      <c r="ZO191" s="412"/>
      <c r="ZP191" s="412"/>
      <c r="ZQ191" s="412"/>
      <c r="ZR191" s="412"/>
      <c r="ZS191" s="412"/>
      <c r="ZT191" s="412"/>
      <c r="ZU191" s="412"/>
      <c r="ZV191" s="412"/>
      <c r="ZW191" s="412"/>
      <c r="ZX191" s="412"/>
      <c r="ZY191" s="412"/>
      <c r="ZZ191" s="412"/>
      <c r="AAA191" s="412"/>
      <c r="AAB191" s="412"/>
      <c r="AAC191" s="412"/>
      <c r="AAD191" s="412"/>
      <c r="AAE191" s="412"/>
      <c r="AAF191" s="412"/>
      <c r="AAG191" s="412"/>
      <c r="AAH191" s="412"/>
      <c r="AAI191" s="412"/>
      <c r="AAJ191" s="412"/>
      <c r="AAK191" s="412"/>
      <c r="AAL191" s="412"/>
      <c r="AAM191" s="412"/>
      <c r="AAN191" s="412"/>
      <c r="AAO191" s="412"/>
      <c r="AAP191" s="412"/>
      <c r="AAQ191" s="412"/>
      <c r="AAR191" s="412"/>
      <c r="AAS191" s="412"/>
      <c r="AAT191" s="412"/>
      <c r="AAU191" s="412"/>
      <c r="AAV191" s="412"/>
      <c r="AAW191" s="412"/>
      <c r="AAX191" s="412"/>
      <c r="AAY191" s="412"/>
      <c r="AAZ191" s="412"/>
      <c r="ABA191" s="412"/>
      <c r="ABB191" s="412"/>
      <c r="ABC191" s="412"/>
      <c r="ABD191" s="412"/>
      <c r="ABE191" s="412"/>
      <c r="ABF191" s="412"/>
      <c r="ABG191" s="412"/>
      <c r="ABH191" s="412"/>
      <c r="ABI191" s="412"/>
      <c r="ABJ191" s="412"/>
      <c r="ABK191" s="412"/>
      <c r="ABL191" s="412"/>
      <c r="ABM191" s="412"/>
      <c r="ABN191" s="412"/>
      <c r="ABO191" s="412"/>
      <c r="ABP191" s="412"/>
      <c r="ABQ191" s="412"/>
      <c r="ABR191" s="412"/>
      <c r="ABS191" s="412"/>
      <c r="ABT191" s="412"/>
      <c r="ABU191" s="412"/>
      <c r="ABV191" s="412"/>
      <c r="ABW191" s="412"/>
      <c r="ABX191" s="412"/>
      <c r="ABY191" s="412"/>
      <c r="ABZ191" s="412"/>
      <c r="ACA191" s="412"/>
      <c r="ACB191" s="412"/>
      <c r="ACC191" s="412"/>
      <c r="ACD191" s="412"/>
      <c r="ACE191" s="412"/>
      <c r="ACF191" s="412"/>
      <c r="ACG191" s="412"/>
      <c r="ACH191" s="412"/>
      <c r="ACI191" s="412"/>
      <c r="ACJ191" s="412"/>
      <c r="ACK191" s="412"/>
      <c r="ACL191" s="412"/>
      <c r="ACM191" s="412"/>
      <c r="ACN191" s="412"/>
      <c r="ACO191" s="412"/>
      <c r="ACP191" s="412"/>
      <c r="ACQ191" s="412"/>
      <c r="ACR191" s="412"/>
      <c r="ACS191" s="412"/>
      <c r="ACT191" s="412"/>
      <c r="ACU191" s="412"/>
      <c r="ACV191" s="412"/>
      <c r="ACW191" s="412"/>
      <c r="ACX191" s="412"/>
      <c r="ACY191" s="412"/>
      <c r="ACZ191" s="412"/>
      <c r="ADA191" s="412"/>
      <c r="ADB191" s="412"/>
      <c r="ADC191" s="412"/>
      <c r="ADD191" s="412"/>
      <c r="ADE191" s="412"/>
      <c r="ADF191" s="412"/>
      <c r="ADG191" s="412"/>
      <c r="ADH191" s="412"/>
      <c r="ADI191" s="412"/>
      <c r="ADJ191" s="412"/>
      <c r="ADK191" s="412"/>
      <c r="ADL191" s="412"/>
      <c r="ADM191" s="412"/>
      <c r="ADN191" s="412"/>
      <c r="ADO191" s="412"/>
      <c r="ADP191" s="412"/>
      <c r="ADQ191" s="412"/>
      <c r="ADR191" s="412"/>
      <c r="ADS191" s="412"/>
      <c r="ADT191" s="412"/>
      <c r="ADU191" s="412"/>
      <c r="ADV191" s="412"/>
      <c r="ADW191" s="412"/>
      <c r="ADX191" s="412"/>
      <c r="ADY191" s="412"/>
      <c r="ADZ191" s="412"/>
      <c r="AEA191" s="412"/>
      <c r="AEB191" s="412"/>
      <c r="AEC191" s="412"/>
      <c r="AED191" s="412"/>
      <c r="AEE191" s="412"/>
      <c r="AEF191" s="412"/>
      <c r="AEG191" s="412"/>
      <c r="AEH191" s="412"/>
      <c r="AEI191" s="412"/>
      <c r="AEJ191" s="412"/>
      <c r="AEK191" s="412"/>
      <c r="AEL191" s="412"/>
      <c r="AEM191" s="412"/>
      <c r="AEN191" s="412"/>
      <c r="AEO191" s="412"/>
      <c r="AEP191" s="412"/>
      <c r="AEQ191" s="412"/>
      <c r="AER191" s="412"/>
      <c r="AES191" s="412"/>
      <c r="AET191" s="412"/>
      <c r="AEU191" s="412"/>
      <c r="AEV191" s="412"/>
      <c r="AEW191" s="412"/>
      <c r="AEX191" s="412"/>
      <c r="AEY191" s="412"/>
      <c r="AEZ191" s="412"/>
      <c r="AFA191" s="412"/>
      <c r="AFB191" s="412"/>
      <c r="AFC191" s="412"/>
      <c r="AFD191" s="412"/>
      <c r="AFE191" s="412"/>
      <c r="AFF191" s="412"/>
      <c r="AFG191" s="412"/>
      <c r="AFH191" s="412"/>
      <c r="AFI191" s="412"/>
      <c r="AFJ191" s="412"/>
      <c r="AFK191" s="412"/>
      <c r="AFL191" s="412"/>
      <c r="AFM191" s="412"/>
      <c r="AFN191" s="412"/>
      <c r="AFO191" s="412"/>
      <c r="AFP191" s="412"/>
      <c r="AFQ191" s="412"/>
      <c r="AFR191" s="412"/>
      <c r="AFS191" s="412"/>
      <c r="AFT191" s="412"/>
      <c r="AFU191" s="412"/>
      <c r="AFV191" s="412"/>
      <c r="AFW191" s="412"/>
      <c r="AFX191" s="412"/>
      <c r="AFY191" s="412"/>
      <c r="AFZ191" s="412"/>
      <c r="AGA191" s="412"/>
      <c r="AGB191" s="412"/>
      <c r="AGC191" s="412"/>
      <c r="AGD191" s="412"/>
      <c r="AGE191" s="412"/>
      <c r="AGF191" s="412"/>
      <c r="AGG191" s="412"/>
      <c r="AGH191" s="412"/>
      <c r="AGI191" s="412"/>
      <c r="AGJ191" s="412"/>
      <c r="AGK191" s="412"/>
      <c r="AGL191" s="412"/>
      <c r="AGM191" s="412"/>
      <c r="AGN191" s="412"/>
      <c r="AGO191" s="412"/>
      <c r="AGP191" s="412"/>
      <c r="AGQ191" s="412"/>
      <c r="AGR191" s="412"/>
      <c r="AGS191" s="412"/>
      <c r="AGT191" s="412"/>
      <c r="AGU191" s="412"/>
      <c r="AGV191" s="412"/>
      <c r="AGW191" s="412"/>
      <c r="AGX191" s="412"/>
      <c r="AGY191" s="412"/>
      <c r="AGZ191" s="412"/>
      <c r="AHA191" s="412"/>
      <c r="AHB191" s="412"/>
      <c r="AHC191" s="412"/>
      <c r="AHD191" s="412"/>
      <c r="AHE191" s="412"/>
      <c r="AHF191" s="412"/>
      <c r="AHG191" s="412"/>
      <c r="AHH191" s="412"/>
      <c r="AHI191" s="412"/>
      <c r="AHJ191" s="412"/>
      <c r="AHK191" s="412"/>
      <c r="AHL191" s="412"/>
      <c r="AHM191" s="412"/>
      <c r="AHN191" s="412"/>
      <c r="AHO191" s="412"/>
      <c r="AHP191" s="412"/>
      <c r="AHQ191" s="412"/>
      <c r="AHR191" s="412"/>
      <c r="AHS191" s="412"/>
      <c r="AHT191" s="412"/>
      <c r="AHU191" s="412"/>
      <c r="AHV191" s="412"/>
      <c r="AHW191" s="412"/>
      <c r="AHX191" s="412"/>
      <c r="AHY191" s="412"/>
      <c r="AHZ191" s="412"/>
      <c r="AIA191" s="412"/>
      <c r="AIB191" s="412"/>
      <c r="AIC191" s="412"/>
      <c r="AID191" s="412"/>
      <c r="AIE191" s="412"/>
      <c r="AIF191" s="412"/>
      <c r="AIG191" s="412"/>
      <c r="AIH191" s="412"/>
      <c r="AII191" s="412"/>
      <c r="AIJ191" s="412"/>
      <c r="AIK191" s="412"/>
      <c r="AIL191" s="412"/>
      <c r="AIM191" s="412"/>
      <c r="AIN191" s="412"/>
      <c r="AIO191" s="412"/>
      <c r="AIP191" s="412"/>
      <c r="AIQ191" s="412"/>
      <c r="AIR191" s="412"/>
      <c r="AIS191" s="412"/>
      <c r="AIT191" s="412"/>
      <c r="AIU191" s="412"/>
      <c r="AIV191" s="412"/>
      <c r="AIW191" s="412"/>
      <c r="AIX191" s="412"/>
      <c r="AIY191" s="412"/>
      <c r="AIZ191" s="412"/>
      <c r="AJA191" s="412"/>
      <c r="AJB191" s="412"/>
      <c r="AJC191" s="412"/>
      <c r="AJD191" s="412"/>
      <c r="AJE191" s="412"/>
      <c r="AJF191" s="412"/>
      <c r="AJG191" s="412"/>
      <c r="AJH191" s="412"/>
      <c r="AJI191" s="412"/>
      <c r="AJJ191" s="412"/>
      <c r="AJK191" s="412"/>
      <c r="AJL191" s="412"/>
      <c r="AJM191" s="412"/>
      <c r="AJN191" s="412"/>
      <c r="AJO191" s="412"/>
      <c r="AJP191" s="412"/>
      <c r="AJQ191" s="412"/>
      <c r="AJR191" s="412"/>
      <c r="AJS191" s="412"/>
      <c r="AJT191" s="412"/>
      <c r="AJU191" s="412"/>
      <c r="AJV191" s="412"/>
      <c r="AJW191" s="412"/>
      <c r="AJX191" s="412"/>
      <c r="AJY191" s="412"/>
      <c r="AJZ191" s="412"/>
      <c r="AKA191" s="412"/>
      <c r="AKB191" s="412"/>
      <c r="AKC191" s="412"/>
      <c r="AKD191" s="412"/>
      <c r="AKE191" s="412"/>
      <c r="AKF191" s="412"/>
      <c r="AKG191" s="412"/>
      <c r="AKH191" s="412"/>
      <c r="AKI191" s="412"/>
      <c r="AKJ191" s="412"/>
      <c r="AKK191" s="412"/>
      <c r="AKL191" s="412"/>
      <c r="AKM191" s="412"/>
      <c r="AKN191" s="412"/>
      <c r="AKO191" s="412"/>
      <c r="AKP191" s="412"/>
      <c r="AKQ191" s="412"/>
      <c r="AKR191" s="412"/>
      <c r="AKS191" s="412"/>
      <c r="AKT191" s="412"/>
      <c r="AKU191" s="412"/>
      <c r="AKV191" s="412"/>
      <c r="AKW191" s="412"/>
      <c r="AKX191" s="412"/>
      <c r="AKY191" s="412"/>
      <c r="AKZ191" s="412"/>
      <c r="ALA191" s="412"/>
      <c r="ALB191" s="412"/>
      <c r="ALC191" s="412"/>
      <c r="ALD191" s="412"/>
      <c r="ALE191" s="412"/>
      <c r="ALF191" s="412"/>
      <c r="ALG191" s="412"/>
      <c r="ALH191" s="412"/>
      <c r="ALI191" s="412"/>
      <c r="ALJ191" s="412"/>
      <c r="ALK191" s="412"/>
      <c r="ALL191" s="412"/>
      <c r="ALM191" s="412"/>
      <c r="ALN191" s="412"/>
      <c r="ALO191" s="412"/>
      <c r="ALP191" s="412"/>
      <c r="ALQ191" s="412"/>
      <c r="ALR191" s="412"/>
      <c r="ALS191" s="412"/>
      <c r="ALT191" s="412"/>
      <c r="ALU191" s="412"/>
      <c r="ALV191" s="412"/>
      <c r="ALW191" s="412"/>
      <c r="ALX191" s="412"/>
      <c r="ALY191" s="412"/>
      <c r="ALZ191" s="412"/>
      <c r="AMA191" s="412"/>
      <c r="AMB191" s="412"/>
      <c r="AMC191" s="412"/>
      <c r="AMD191" s="412"/>
      <c r="AME191" s="412"/>
      <c r="AMF191" s="412"/>
      <c r="AMG191" s="412"/>
      <c r="AMH191" s="412"/>
      <c r="AMI191" s="412"/>
      <c r="AMJ191" s="412"/>
      <c r="AMK191" s="412"/>
      <c r="AML191" s="412"/>
      <c r="AMM191" s="412"/>
      <c r="AMN191" s="412"/>
      <c r="AMO191" s="412"/>
      <c r="AMP191" s="412"/>
      <c r="AMQ191" s="412"/>
      <c r="AMR191" s="412"/>
      <c r="AMS191" s="412"/>
      <c r="AMT191" s="412"/>
      <c r="AMU191" s="412"/>
      <c r="AMV191" s="412"/>
      <c r="AMW191" s="412"/>
      <c r="AMX191" s="412"/>
      <c r="AMY191" s="412"/>
      <c r="AMZ191" s="412"/>
      <c r="ANA191" s="412"/>
      <c r="ANB191" s="412"/>
      <c r="ANC191" s="412"/>
      <c r="AND191" s="412"/>
      <c r="ANE191" s="412"/>
      <c r="ANF191" s="412"/>
      <c r="ANG191" s="412"/>
      <c r="ANH191" s="412"/>
      <c r="ANI191" s="412"/>
      <c r="ANJ191" s="412"/>
      <c r="ANK191" s="412"/>
      <c r="ANL191" s="412"/>
      <c r="ANM191" s="412"/>
      <c r="ANN191" s="412"/>
      <c r="ANO191" s="412"/>
      <c r="ANP191" s="412"/>
      <c r="ANQ191" s="412"/>
      <c r="ANR191" s="412"/>
      <c r="ANS191" s="412"/>
      <c r="ANT191" s="412"/>
      <c r="ANU191" s="412"/>
      <c r="ANV191" s="412"/>
      <c r="ANW191" s="412"/>
      <c r="ANX191" s="412"/>
      <c r="ANY191" s="412"/>
      <c r="ANZ191" s="412"/>
      <c r="AOA191" s="412"/>
      <c r="AOB191" s="412"/>
      <c r="AOC191" s="412"/>
      <c r="AOD191" s="412"/>
      <c r="AOE191" s="412"/>
      <c r="AOF191" s="412"/>
      <c r="AOG191" s="412"/>
      <c r="AOH191" s="412"/>
      <c r="AOI191" s="412"/>
      <c r="AOJ191" s="412"/>
      <c r="AOK191" s="412"/>
      <c r="AOL191" s="412"/>
      <c r="AOM191" s="412"/>
      <c r="AON191" s="412"/>
      <c r="AOO191" s="412"/>
      <c r="AOP191" s="412"/>
      <c r="AOQ191" s="412"/>
      <c r="AOR191" s="412"/>
      <c r="AOS191" s="412"/>
      <c r="AOT191" s="412"/>
      <c r="AOU191" s="412"/>
      <c r="AOV191" s="412"/>
      <c r="AOW191" s="412"/>
      <c r="AOX191" s="412"/>
      <c r="AOY191" s="412"/>
      <c r="AOZ191" s="412"/>
      <c r="APA191" s="412"/>
      <c r="APB191" s="412"/>
      <c r="APC191" s="412"/>
      <c r="APD191" s="412"/>
      <c r="APE191" s="412"/>
      <c r="APF191" s="412"/>
      <c r="APG191" s="412"/>
      <c r="APH191" s="412"/>
      <c r="API191" s="412"/>
      <c r="APJ191" s="412"/>
      <c r="APK191" s="412"/>
      <c r="APL191" s="412"/>
      <c r="APM191" s="412"/>
      <c r="APN191" s="412"/>
      <c r="APO191" s="412"/>
      <c r="APP191" s="412"/>
      <c r="APQ191" s="412"/>
      <c r="APR191" s="412"/>
      <c r="APS191" s="412"/>
      <c r="APT191" s="412"/>
      <c r="APU191" s="412"/>
      <c r="APV191" s="412"/>
      <c r="APW191" s="412"/>
      <c r="APX191" s="412"/>
      <c r="APY191" s="412"/>
      <c r="APZ191" s="412"/>
      <c r="AQA191" s="412"/>
      <c r="AQB191" s="412"/>
      <c r="AQC191" s="412"/>
      <c r="AQD191" s="412"/>
      <c r="AQE191" s="412"/>
      <c r="AQF191" s="412"/>
      <c r="AQG191" s="412"/>
      <c r="AQH191" s="412"/>
      <c r="AQI191" s="412"/>
      <c r="AQJ191" s="412"/>
      <c r="AQK191" s="412"/>
      <c r="AQL191" s="412"/>
      <c r="AQM191" s="412"/>
      <c r="AQN191" s="412"/>
      <c r="AQO191" s="412"/>
      <c r="AQP191" s="412"/>
      <c r="AQQ191" s="412"/>
      <c r="AQR191" s="412"/>
      <c r="AQS191" s="412"/>
      <c r="AQT191" s="412"/>
      <c r="AQU191" s="412"/>
      <c r="AQV191" s="412"/>
      <c r="AQW191" s="412"/>
      <c r="AQX191" s="412"/>
      <c r="AQY191" s="412"/>
      <c r="AQZ191" s="412"/>
      <c r="ARA191" s="412"/>
      <c r="ARB191" s="412"/>
      <c r="ARC191" s="412"/>
      <c r="ARD191" s="412"/>
      <c r="ARE191" s="412"/>
      <c r="ARF191" s="412"/>
      <c r="ARG191" s="412"/>
      <c r="ARH191" s="412"/>
      <c r="ARI191" s="412"/>
      <c r="ARJ191" s="412"/>
      <c r="ARK191" s="412"/>
      <c r="ARL191" s="412"/>
      <c r="ARM191" s="412"/>
      <c r="ARN191" s="412"/>
      <c r="ARO191" s="412"/>
      <c r="ARP191" s="412"/>
      <c r="ARQ191" s="412"/>
      <c r="ARR191" s="412"/>
      <c r="ARS191" s="412"/>
      <c r="ART191" s="412"/>
      <c r="ARU191" s="412"/>
      <c r="ARV191" s="412"/>
      <c r="ARW191" s="412"/>
      <c r="ARX191" s="412"/>
      <c r="ARY191" s="412"/>
      <c r="ARZ191" s="412"/>
      <c r="ASA191" s="412"/>
      <c r="ASB191" s="412"/>
      <c r="ASC191" s="412"/>
      <c r="ASD191" s="412"/>
      <c r="ASE191" s="412"/>
      <c r="ASF191" s="412"/>
      <c r="ASG191" s="412"/>
      <c r="ASH191" s="412"/>
      <c r="ASI191" s="412"/>
      <c r="ASJ191" s="412"/>
      <c r="ASK191" s="412"/>
      <c r="ASL191" s="412"/>
      <c r="ASM191" s="412"/>
      <c r="ASN191" s="412"/>
      <c r="ASO191" s="412"/>
      <c r="ASP191" s="412"/>
      <c r="ASQ191" s="412"/>
      <c r="ASR191" s="412"/>
      <c r="ASS191" s="412"/>
      <c r="AST191" s="412"/>
      <c r="ASU191" s="412"/>
      <c r="ASV191" s="412"/>
      <c r="ASW191" s="412"/>
      <c r="ASX191" s="412"/>
      <c r="ASY191" s="412"/>
      <c r="ASZ191" s="412"/>
      <c r="ATA191" s="412"/>
      <c r="ATB191" s="412"/>
      <c r="ATC191" s="412"/>
      <c r="ATD191" s="412"/>
      <c r="ATE191" s="412"/>
      <c r="ATF191" s="412"/>
      <c r="ATG191" s="412"/>
      <c r="ATH191" s="412"/>
      <c r="ATI191" s="412"/>
      <c r="ATJ191" s="412"/>
      <c r="ATK191" s="412"/>
      <c r="ATL191" s="412"/>
      <c r="ATM191" s="412"/>
      <c r="ATN191" s="412"/>
      <c r="ATO191" s="412"/>
      <c r="ATP191" s="412"/>
      <c r="ATQ191" s="412"/>
      <c r="ATR191" s="412"/>
      <c r="ATS191" s="412"/>
      <c r="ATT191" s="412"/>
      <c r="ATU191" s="412"/>
      <c r="ATV191" s="412"/>
      <c r="ATW191" s="412"/>
      <c r="ATX191" s="412"/>
      <c r="ATY191" s="412"/>
      <c r="ATZ191" s="412"/>
      <c r="AUA191" s="412"/>
      <c r="AUB191" s="412"/>
      <c r="AUC191" s="412"/>
      <c r="AUD191" s="412"/>
      <c r="AUE191" s="412"/>
      <c r="AUF191" s="412"/>
      <c r="AUG191" s="412"/>
      <c r="AUH191" s="412"/>
      <c r="AUI191" s="412"/>
      <c r="AUJ191" s="412"/>
      <c r="AUK191" s="412"/>
      <c r="AUL191" s="412"/>
      <c r="AUM191" s="412"/>
      <c r="AUN191" s="412"/>
      <c r="AUO191" s="412"/>
      <c r="AUP191" s="412"/>
      <c r="AUQ191" s="412"/>
      <c r="AUR191" s="412"/>
      <c r="AUS191" s="412"/>
      <c r="AUT191" s="412"/>
      <c r="AUU191" s="412"/>
      <c r="AUV191" s="412"/>
      <c r="AUW191" s="412"/>
      <c r="AUX191" s="412"/>
      <c r="AUY191" s="412"/>
      <c r="AUZ191" s="412"/>
      <c r="AVA191" s="412"/>
      <c r="AVB191" s="412"/>
      <c r="AVC191" s="412"/>
      <c r="AVD191" s="412"/>
      <c r="AVE191" s="412"/>
      <c r="AVF191" s="412"/>
      <c r="AVG191" s="412"/>
      <c r="AVH191" s="412"/>
      <c r="AVI191" s="412"/>
      <c r="AVJ191" s="412"/>
      <c r="AVK191" s="412"/>
      <c r="AVL191" s="412"/>
      <c r="AVM191" s="412"/>
      <c r="AVN191" s="412"/>
      <c r="AVO191" s="412"/>
      <c r="AVP191" s="412"/>
      <c r="AVQ191" s="412"/>
      <c r="AVR191" s="412"/>
      <c r="AVS191" s="412"/>
      <c r="AVT191" s="412"/>
      <c r="AVU191" s="412"/>
      <c r="AVV191" s="412"/>
      <c r="AVW191" s="412"/>
      <c r="AVX191" s="412"/>
      <c r="AVY191" s="412"/>
      <c r="AVZ191" s="412"/>
      <c r="AWA191" s="412"/>
      <c r="AWB191" s="412"/>
      <c r="AWC191" s="412"/>
      <c r="AWD191" s="412"/>
      <c r="AWE191" s="412"/>
      <c r="AWF191" s="412"/>
      <c r="AWG191" s="412"/>
      <c r="AWH191" s="412"/>
      <c r="AWI191" s="412"/>
      <c r="AWJ191" s="412"/>
      <c r="AWK191" s="412"/>
      <c r="AWL191" s="412"/>
      <c r="AWM191" s="412"/>
      <c r="AWN191" s="412"/>
      <c r="AWO191" s="412"/>
      <c r="AWP191" s="412"/>
      <c r="AWQ191" s="412"/>
      <c r="AWR191" s="412"/>
      <c r="AWS191" s="412"/>
      <c r="AWT191" s="412"/>
      <c r="AWU191" s="412"/>
      <c r="AWV191" s="412"/>
      <c r="AWW191" s="412"/>
      <c r="AWX191" s="412"/>
      <c r="AWY191" s="412"/>
      <c r="AWZ191" s="412"/>
      <c r="AXA191" s="412"/>
      <c r="AXB191" s="412"/>
      <c r="AXC191" s="412"/>
      <c r="AXD191" s="412"/>
      <c r="AXE191" s="412"/>
      <c r="AXF191" s="412"/>
      <c r="AXG191" s="412"/>
      <c r="AXH191" s="412"/>
      <c r="AXI191" s="412"/>
      <c r="AXJ191" s="412"/>
      <c r="AXK191" s="412"/>
      <c r="AXL191" s="412"/>
      <c r="AXM191" s="412"/>
      <c r="AXN191" s="412"/>
      <c r="AXO191" s="412"/>
      <c r="AXP191" s="412"/>
      <c r="AXQ191" s="412"/>
      <c r="AXR191" s="412"/>
      <c r="AXS191" s="412"/>
      <c r="AXT191" s="412"/>
      <c r="AXU191" s="412"/>
      <c r="AXV191" s="412"/>
      <c r="AXW191" s="412"/>
      <c r="AXX191" s="412"/>
      <c r="AXY191" s="412"/>
      <c r="AXZ191" s="412"/>
      <c r="AYA191" s="412"/>
      <c r="AYB191" s="412"/>
      <c r="AYC191" s="412"/>
      <c r="AYD191" s="412"/>
      <c r="AYE191" s="412"/>
      <c r="AYF191" s="412"/>
      <c r="AYG191" s="412"/>
      <c r="AYH191" s="412"/>
      <c r="AYI191" s="412"/>
      <c r="AYJ191" s="412"/>
      <c r="AYK191" s="412"/>
      <c r="AYL191" s="412"/>
      <c r="AYM191" s="412"/>
      <c r="AYN191" s="412"/>
      <c r="AYO191" s="412"/>
      <c r="AYP191" s="412"/>
      <c r="AYQ191" s="412"/>
      <c r="AYR191" s="412"/>
      <c r="AYS191" s="412"/>
      <c r="AYT191" s="412"/>
      <c r="AYU191" s="412"/>
      <c r="AYV191" s="412"/>
      <c r="AYW191" s="412"/>
      <c r="AYX191" s="412"/>
      <c r="AYY191" s="412"/>
      <c r="AYZ191" s="412"/>
      <c r="AZA191" s="412"/>
      <c r="AZB191" s="412"/>
      <c r="AZC191" s="412"/>
      <c r="AZD191" s="412"/>
      <c r="AZE191" s="412"/>
      <c r="AZF191" s="412"/>
      <c r="AZG191" s="412"/>
      <c r="AZH191" s="412"/>
      <c r="AZI191" s="412"/>
      <c r="AZJ191" s="412"/>
      <c r="AZK191" s="412"/>
      <c r="AZL191" s="412"/>
      <c r="AZM191" s="412"/>
      <c r="AZN191" s="412"/>
      <c r="AZO191" s="412"/>
      <c r="AZP191" s="412"/>
      <c r="AZQ191" s="412"/>
      <c r="AZR191" s="412"/>
      <c r="AZS191" s="412"/>
      <c r="AZT191" s="412"/>
      <c r="AZU191" s="412"/>
      <c r="AZV191" s="412"/>
      <c r="AZW191" s="412"/>
      <c r="AZX191" s="412"/>
      <c r="AZY191" s="412"/>
      <c r="AZZ191" s="412"/>
      <c r="BAA191" s="412"/>
      <c r="BAB191" s="412"/>
      <c r="BAC191" s="412"/>
      <c r="BAD191" s="412"/>
      <c r="BAE191" s="412"/>
      <c r="BAF191" s="412"/>
      <c r="BAG191" s="412"/>
      <c r="BAH191" s="412"/>
      <c r="BAI191" s="412"/>
      <c r="BAJ191" s="412"/>
      <c r="BAK191" s="412"/>
      <c r="BAL191" s="412"/>
      <c r="BAM191" s="412"/>
      <c r="BAN191" s="412"/>
      <c r="BAO191" s="412"/>
      <c r="BAP191" s="412"/>
      <c r="BAQ191" s="412"/>
      <c r="BAR191" s="412"/>
      <c r="BAS191" s="412"/>
      <c r="BAT191" s="412"/>
      <c r="BAU191" s="412"/>
      <c r="BAV191" s="412"/>
      <c r="BAW191" s="412"/>
      <c r="BAX191" s="412"/>
      <c r="BAY191" s="412"/>
      <c r="BAZ191" s="412"/>
      <c r="BBA191" s="412"/>
      <c r="BBB191" s="412"/>
      <c r="BBC191" s="412"/>
      <c r="BBD191" s="412"/>
      <c r="BBE191" s="412"/>
      <c r="BBF191" s="412"/>
      <c r="BBG191" s="412"/>
      <c r="BBH191" s="412"/>
      <c r="BBI191" s="412"/>
      <c r="BBJ191" s="412"/>
      <c r="BBK191" s="412"/>
      <c r="BBL191" s="412"/>
      <c r="BBM191" s="412"/>
      <c r="BBN191" s="412"/>
      <c r="BBO191" s="412"/>
      <c r="BBP191" s="412"/>
      <c r="BBQ191" s="412"/>
      <c r="BBR191" s="412"/>
      <c r="BBS191" s="412"/>
      <c r="BBT191" s="412"/>
      <c r="BBU191" s="412"/>
      <c r="BBV191" s="412"/>
      <c r="BBW191" s="412"/>
      <c r="BBX191" s="412"/>
      <c r="BBY191" s="412"/>
      <c r="BBZ191" s="412"/>
      <c r="BCA191" s="412"/>
      <c r="BCB191" s="412"/>
      <c r="BCC191" s="412"/>
      <c r="BCD191" s="412"/>
      <c r="BCE191" s="412"/>
      <c r="BCF191" s="412"/>
      <c r="BCG191" s="412"/>
      <c r="BCH191" s="412"/>
      <c r="BCI191" s="412"/>
      <c r="BCJ191" s="412"/>
      <c r="BCK191" s="412"/>
      <c r="BCL191" s="412"/>
      <c r="BCM191" s="412"/>
      <c r="BCN191" s="412"/>
      <c r="BCO191" s="412"/>
      <c r="BCP191" s="412"/>
      <c r="BCQ191" s="412"/>
      <c r="BCR191" s="412"/>
      <c r="BCS191" s="412"/>
      <c r="BCT191" s="412"/>
      <c r="BCU191" s="412"/>
      <c r="BCV191" s="412"/>
      <c r="BCW191" s="412"/>
      <c r="BCX191" s="412"/>
      <c r="BCY191" s="412"/>
      <c r="BCZ191" s="412"/>
      <c r="BDA191" s="412"/>
      <c r="BDB191" s="412"/>
      <c r="BDC191" s="412"/>
      <c r="BDD191" s="412"/>
      <c r="BDE191" s="412"/>
      <c r="BDF191" s="412"/>
      <c r="BDG191" s="412"/>
      <c r="BDH191" s="412"/>
      <c r="BDI191" s="412"/>
      <c r="BDJ191" s="412"/>
      <c r="BDK191" s="412"/>
      <c r="BDL191" s="412"/>
      <c r="BDM191" s="412"/>
      <c r="BDN191" s="412"/>
      <c r="BDO191" s="412"/>
      <c r="BDP191" s="412"/>
      <c r="BDQ191" s="412"/>
      <c r="BDR191" s="412"/>
      <c r="BDS191" s="412"/>
      <c r="BDT191" s="412"/>
      <c r="BDU191" s="412"/>
      <c r="BDV191" s="412"/>
      <c r="BDW191" s="412"/>
      <c r="BDX191" s="412"/>
      <c r="BDY191" s="412"/>
      <c r="BDZ191" s="412"/>
      <c r="BEA191" s="412"/>
      <c r="BEB191" s="412"/>
      <c r="BEC191" s="412"/>
      <c r="BED191" s="412"/>
      <c r="BEE191" s="412"/>
      <c r="BEF191" s="412"/>
      <c r="BEG191" s="412"/>
      <c r="BEH191" s="412"/>
      <c r="BEI191" s="412"/>
      <c r="BEJ191" s="412"/>
      <c r="BEK191" s="412"/>
      <c r="BEL191" s="412"/>
      <c r="BEM191" s="412"/>
      <c r="BEN191" s="412"/>
      <c r="BEO191" s="412"/>
      <c r="BEP191" s="412"/>
      <c r="BEQ191" s="412"/>
      <c r="BER191" s="412"/>
      <c r="BES191" s="412"/>
      <c r="BET191" s="412"/>
      <c r="BEU191" s="412"/>
      <c r="BEV191" s="412"/>
      <c r="BEW191" s="412"/>
      <c r="BEX191" s="412"/>
      <c r="BEY191" s="412"/>
      <c r="BEZ191" s="412"/>
      <c r="BFA191" s="412"/>
      <c r="BFB191" s="412"/>
      <c r="BFC191" s="412"/>
      <c r="BFD191" s="412"/>
      <c r="BFE191" s="412"/>
      <c r="BFF191" s="412"/>
      <c r="BFG191" s="412"/>
      <c r="BFH191" s="412"/>
      <c r="BFI191" s="412"/>
      <c r="BFJ191" s="412"/>
      <c r="BFK191" s="412"/>
      <c r="BFL191" s="412"/>
      <c r="BFM191" s="412"/>
      <c r="BFN191" s="412"/>
      <c r="BFO191" s="412"/>
      <c r="BFP191" s="412"/>
      <c r="BFQ191" s="412"/>
      <c r="BFR191" s="412"/>
      <c r="BFS191" s="412"/>
      <c r="BFT191" s="412"/>
      <c r="BFU191" s="412"/>
      <c r="BFV191" s="412"/>
      <c r="BFW191" s="412"/>
      <c r="BFX191" s="412"/>
      <c r="BFY191" s="412"/>
      <c r="BFZ191" s="412"/>
      <c r="BGA191" s="412"/>
      <c r="BGB191" s="412"/>
      <c r="BGC191" s="412"/>
      <c r="BGD191" s="412"/>
      <c r="BGE191" s="412"/>
      <c r="BGF191" s="412"/>
      <c r="BGG191" s="412"/>
      <c r="BGH191" s="412"/>
      <c r="BGI191" s="412"/>
      <c r="BGJ191" s="412"/>
      <c r="BGK191" s="412"/>
      <c r="BGL191" s="412"/>
      <c r="BGM191" s="412"/>
      <c r="BGN191" s="412"/>
      <c r="BGO191" s="412"/>
      <c r="BGP191" s="412"/>
      <c r="BGQ191" s="412"/>
      <c r="BGR191" s="412"/>
      <c r="BGS191" s="412"/>
      <c r="BGT191" s="412"/>
      <c r="BGU191" s="412"/>
      <c r="BGV191" s="412"/>
      <c r="BGW191" s="412"/>
      <c r="BGX191" s="412"/>
      <c r="BGY191" s="412"/>
      <c r="BGZ191" s="412"/>
      <c r="BHA191" s="412"/>
      <c r="BHB191" s="412"/>
      <c r="BHC191" s="412"/>
      <c r="BHD191" s="412"/>
      <c r="BHE191" s="412"/>
      <c r="BHF191" s="412"/>
      <c r="BHG191" s="412"/>
      <c r="BHH191" s="412"/>
      <c r="BHI191" s="412"/>
      <c r="BHJ191" s="412"/>
      <c r="BHK191" s="412"/>
      <c r="BHL191" s="412"/>
      <c r="BHM191" s="412"/>
      <c r="BHN191" s="412"/>
      <c r="BHO191" s="412"/>
      <c r="BHP191" s="412"/>
      <c r="BHQ191" s="412"/>
      <c r="BHR191" s="412"/>
      <c r="BHS191" s="412"/>
      <c r="BHT191" s="412"/>
      <c r="BHU191" s="412"/>
      <c r="BHV191" s="412"/>
      <c r="BHW191" s="412"/>
      <c r="BHX191" s="412"/>
      <c r="BHY191" s="412"/>
      <c r="BHZ191" s="412"/>
      <c r="BIA191" s="412"/>
      <c r="BIB191" s="412"/>
      <c r="BIC191" s="412"/>
      <c r="BID191" s="412"/>
      <c r="BIE191" s="412"/>
      <c r="BIF191" s="412"/>
      <c r="BIG191" s="412"/>
      <c r="BIH191" s="412"/>
      <c r="BII191" s="412"/>
      <c r="BIJ191" s="412"/>
      <c r="BIK191" s="412"/>
      <c r="BIL191" s="412"/>
      <c r="BIM191" s="412"/>
      <c r="BIN191" s="412"/>
      <c r="BIO191" s="412"/>
      <c r="BIP191" s="412"/>
      <c r="BIQ191" s="412"/>
      <c r="BIR191" s="412"/>
      <c r="BIS191" s="412"/>
      <c r="BIT191" s="412"/>
      <c r="BIU191" s="412"/>
      <c r="BIV191" s="412"/>
      <c r="BIW191" s="412"/>
      <c r="BIX191" s="412"/>
      <c r="BIY191" s="412"/>
      <c r="BIZ191" s="412"/>
      <c r="BJA191" s="412"/>
      <c r="BJB191" s="412"/>
      <c r="BJC191" s="412"/>
      <c r="BJD191" s="412"/>
      <c r="BJE191" s="412"/>
      <c r="BJF191" s="412"/>
      <c r="BJG191" s="412"/>
      <c r="BJH191" s="412"/>
      <c r="BJI191" s="412"/>
      <c r="BJJ191" s="412"/>
      <c r="BJK191" s="412"/>
      <c r="BJL191" s="412"/>
      <c r="BJM191" s="412"/>
      <c r="BJN191" s="412"/>
      <c r="BJO191" s="412"/>
      <c r="BJP191" s="412"/>
      <c r="BJQ191" s="412"/>
      <c r="BJR191" s="412"/>
      <c r="BJS191" s="412"/>
      <c r="BJT191" s="412"/>
      <c r="BJU191" s="412"/>
      <c r="BJV191" s="412"/>
      <c r="BJW191" s="412"/>
      <c r="BJX191" s="412"/>
      <c r="BJY191" s="412"/>
      <c r="BJZ191" s="412"/>
      <c r="BKA191" s="412"/>
      <c r="BKB191" s="412"/>
      <c r="BKC191" s="412"/>
      <c r="BKD191" s="412"/>
      <c r="BKE191" s="412"/>
      <c r="BKF191" s="412"/>
      <c r="BKG191" s="412"/>
      <c r="BKH191" s="412"/>
      <c r="BKI191" s="412"/>
      <c r="BKJ191" s="412"/>
      <c r="BKK191" s="412"/>
      <c r="BKL191" s="412"/>
      <c r="BKM191" s="412"/>
      <c r="BKN191" s="412"/>
      <c r="BKO191" s="412"/>
      <c r="BKP191" s="412"/>
      <c r="BKQ191" s="412"/>
      <c r="BKR191" s="412"/>
      <c r="BKS191" s="412"/>
      <c r="BKT191" s="412"/>
      <c r="BKU191" s="412"/>
      <c r="BKV191" s="412"/>
      <c r="BKW191" s="412"/>
      <c r="BKX191" s="412"/>
      <c r="BKY191" s="412"/>
      <c r="BKZ191" s="412"/>
      <c r="BLA191" s="412"/>
      <c r="BLB191" s="412"/>
      <c r="BLC191" s="412"/>
      <c r="BLD191" s="412"/>
      <c r="BLE191" s="412"/>
      <c r="BLF191" s="412"/>
      <c r="BLG191" s="412"/>
      <c r="BLH191" s="412"/>
      <c r="BLI191" s="412"/>
      <c r="BLJ191" s="412"/>
      <c r="BLK191" s="412"/>
      <c r="BLL191" s="412"/>
      <c r="BLM191" s="412"/>
      <c r="BLN191" s="412"/>
      <c r="BLO191" s="412"/>
      <c r="BLP191" s="412"/>
      <c r="BLQ191" s="412"/>
      <c r="BLR191" s="412"/>
      <c r="BLS191" s="412"/>
      <c r="BLT191" s="412"/>
      <c r="BLU191" s="412"/>
      <c r="BLV191" s="412"/>
      <c r="BLW191" s="412"/>
      <c r="BLX191" s="412"/>
      <c r="BLY191" s="412"/>
      <c r="BLZ191" s="412"/>
      <c r="BMA191" s="412"/>
      <c r="BMB191" s="412"/>
      <c r="BMC191" s="412"/>
      <c r="BMD191" s="412"/>
      <c r="BME191" s="412"/>
      <c r="BMF191" s="412"/>
      <c r="BMG191" s="412"/>
      <c r="BMH191" s="412"/>
      <c r="BMI191" s="412"/>
      <c r="BMJ191" s="412"/>
      <c r="BMK191" s="412"/>
      <c r="BML191" s="412"/>
      <c r="BMM191" s="412"/>
      <c r="BMN191" s="412"/>
      <c r="BMO191" s="412"/>
      <c r="BMP191" s="412"/>
      <c r="BMQ191" s="412"/>
      <c r="BMR191" s="412"/>
      <c r="BMS191" s="412"/>
      <c r="BMT191" s="412"/>
      <c r="BMU191" s="412"/>
      <c r="BMV191" s="412"/>
      <c r="BMW191" s="412"/>
      <c r="BMX191" s="412"/>
      <c r="BMY191" s="412"/>
      <c r="BMZ191" s="412"/>
      <c r="BNA191" s="412"/>
      <c r="BNB191" s="412"/>
      <c r="BNC191" s="412"/>
      <c r="BND191" s="412"/>
      <c r="BNE191" s="412"/>
      <c r="BNF191" s="412"/>
      <c r="BNG191" s="412"/>
      <c r="BNH191" s="412"/>
      <c r="BNI191" s="412"/>
      <c r="BNJ191" s="412"/>
      <c r="BNK191" s="412"/>
      <c r="BNL191" s="412"/>
      <c r="BNM191" s="412"/>
      <c r="BNN191" s="412"/>
      <c r="BNO191" s="412"/>
      <c r="BNP191" s="412"/>
      <c r="BNQ191" s="412"/>
      <c r="BNR191" s="412"/>
      <c r="BNS191" s="412"/>
      <c r="BNT191" s="412"/>
      <c r="BNU191" s="412"/>
      <c r="BNV191" s="412"/>
      <c r="BNW191" s="412"/>
      <c r="BNX191" s="412"/>
      <c r="BNY191" s="412"/>
      <c r="BNZ191" s="412"/>
      <c r="BOA191" s="412"/>
      <c r="BOB191" s="412"/>
      <c r="BOC191" s="412"/>
      <c r="BOD191" s="412"/>
      <c r="BOE191" s="412"/>
      <c r="BOF191" s="412"/>
      <c r="BOG191" s="412"/>
      <c r="BOH191" s="412"/>
      <c r="BOI191" s="412"/>
      <c r="BOJ191" s="412"/>
      <c r="BOK191" s="412"/>
      <c r="BOL191" s="412"/>
      <c r="BOM191" s="412"/>
      <c r="BON191" s="412"/>
      <c r="BOO191" s="412"/>
      <c r="BOP191" s="412"/>
      <c r="BOQ191" s="412"/>
      <c r="BOR191" s="412"/>
      <c r="BOS191" s="412"/>
      <c r="BOT191" s="412"/>
      <c r="BOU191" s="412"/>
      <c r="BOV191" s="412"/>
      <c r="BOW191" s="412"/>
      <c r="BOX191" s="412"/>
      <c r="BOY191" s="412"/>
      <c r="BOZ191" s="412"/>
      <c r="BPA191" s="412"/>
      <c r="BPB191" s="412"/>
      <c r="BPC191" s="412"/>
      <c r="BPD191" s="412"/>
      <c r="BPE191" s="412"/>
      <c r="BPF191" s="412"/>
      <c r="BPG191" s="412"/>
      <c r="BPH191" s="412"/>
      <c r="BPI191" s="412"/>
      <c r="BPJ191" s="412"/>
      <c r="BPK191" s="412"/>
      <c r="BPL191" s="412"/>
      <c r="BPM191" s="412"/>
      <c r="BPN191" s="412"/>
      <c r="BPO191" s="412"/>
      <c r="BPP191" s="412"/>
      <c r="BPQ191" s="412"/>
      <c r="BPR191" s="412"/>
      <c r="BPS191" s="412"/>
      <c r="BPT191" s="412"/>
      <c r="BPU191" s="412"/>
      <c r="BPV191" s="412"/>
      <c r="BPW191" s="412"/>
      <c r="BPX191" s="412"/>
      <c r="BPY191" s="412"/>
      <c r="BPZ191" s="412"/>
      <c r="BQA191" s="412"/>
      <c r="BQB191" s="412"/>
      <c r="BQC191" s="412"/>
      <c r="BQD191" s="412"/>
      <c r="BQE191" s="412"/>
      <c r="BQF191" s="412"/>
      <c r="BQG191" s="412"/>
      <c r="BQH191" s="412"/>
      <c r="BQI191" s="412"/>
      <c r="BQJ191" s="412"/>
      <c r="BQK191" s="412"/>
      <c r="BQL191" s="412"/>
      <c r="BQM191" s="412"/>
      <c r="BQN191" s="412"/>
      <c r="BQO191" s="412"/>
      <c r="BQP191" s="412"/>
      <c r="BQQ191" s="412"/>
      <c r="BQR191" s="412"/>
      <c r="BQS191" s="412"/>
      <c r="BQT191" s="412"/>
      <c r="BQU191" s="412"/>
      <c r="BQV191" s="412"/>
      <c r="BQW191" s="412"/>
      <c r="BQX191" s="412"/>
      <c r="BQY191" s="412"/>
      <c r="BQZ191" s="412"/>
      <c r="BRA191" s="412"/>
      <c r="BRB191" s="412"/>
      <c r="BRC191" s="412"/>
      <c r="BRD191" s="412"/>
      <c r="BRE191" s="412"/>
      <c r="BRF191" s="412"/>
      <c r="BRG191" s="412"/>
      <c r="BRH191" s="412"/>
      <c r="BRI191" s="412"/>
      <c r="BRJ191" s="412"/>
      <c r="BRK191" s="412"/>
      <c r="BRL191" s="412"/>
      <c r="BRM191" s="412"/>
      <c r="BRN191" s="412"/>
      <c r="BRO191" s="412"/>
      <c r="BRP191" s="412"/>
      <c r="BRQ191" s="412"/>
      <c r="BRR191" s="412"/>
      <c r="BRS191" s="412"/>
      <c r="BRT191" s="412"/>
      <c r="BRU191" s="412"/>
      <c r="BRV191" s="412"/>
      <c r="BRW191" s="412"/>
      <c r="BRX191" s="412"/>
      <c r="BRY191" s="412"/>
      <c r="BRZ191" s="412"/>
      <c r="BSA191" s="412"/>
      <c r="BSB191" s="412"/>
      <c r="BSC191" s="412"/>
      <c r="BSD191" s="412"/>
      <c r="BSE191" s="412"/>
      <c r="BSF191" s="412"/>
      <c r="BSG191" s="412"/>
      <c r="BSH191" s="412"/>
      <c r="BSI191" s="412"/>
      <c r="BSJ191" s="412"/>
      <c r="BSK191" s="412"/>
      <c r="BSL191" s="412"/>
      <c r="BSM191" s="412"/>
      <c r="BSN191" s="412"/>
      <c r="BSO191" s="412"/>
      <c r="BSP191" s="412"/>
      <c r="BSQ191" s="412"/>
      <c r="BSR191" s="412"/>
      <c r="BSS191" s="412"/>
      <c r="BST191" s="412"/>
      <c r="BSU191" s="412"/>
      <c r="BSV191" s="412"/>
      <c r="BSW191" s="412"/>
      <c r="BSX191" s="412"/>
      <c r="BSY191" s="412"/>
      <c r="BSZ191" s="412"/>
      <c r="BTA191" s="412"/>
      <c r="BTB191" s="412"/>
      <c r="BTC191" s="412"/>
      <c r="BTD191" s="412"/>
      <c r="BTE191" s="412"/>
      <c r="BTF191" s="412"/>
      <c r="BTG191" s="412"/>
      <c r="BTH191" s="412"/>
      <c r="BTI191" s="412"/>
    </row>
    <row r="192" spans="1:1881" s="320" customFormat="1" ht="57.75" customHeight="1" x14ac:dyDescent="0.25">
      <c r="A192" s="189">
        <v>526</v>
      </c>
      <c r="B192" s="151" t="s">
        <v>595</v>
      </c>
      <c r="C192" s="185" t="s">
        <v>236</v>
      </c>
      <c r="D192" s="179" t="s">
        <v>46</v>
      </c>
      <c r="E192" s="32" t="e">
        <f>HLOOKUP($D$2,'2019 Data(H)'!$C$1:$CG$300,176,FALSE)</f>
        <v>#N/A</v>
      </c>
      <c r="F192" s="609"/>
      <c r="G192" s="601">
        <f>IF(F192&lt;0,"Error: Enter as positive.",)</f>
        <v>0</v>
      </c>
      <c r="H192" s="13"/>
      <c r="I192" s="31"/>
      <c r="J192" s="412"/>
      <c r="K192" s="412"/>
      <c r="L192" s="412"/>
      <c r="M192" s="412"/>
      <c r="N192"/>
      <c r="O192" s="412"/>
      <c r="P192" s="412"/>
      <c r="Q192" s="412"/>
      <c r="R192" s="412"/>
      <c r="S192" s="412"/>
      <c r="T192" s="412"/>
      <c r="U192" s="412"/>
      <c r="V192" s="412"/>
      <c r="W192" s="412"/>
      <c r="X192" s="412"/>
      <c r="Y192" s="412"/>
      <c r="Z192" s="412"/>
      <c r="AA192" s="412"/>
      <c r="AB192" s="412"/>
      <c r="AC192" s="412"/>
      <c r="AD192" s="412"/>
      <c r="AE192" s="412"/>
      <c r="AF192" s="412"/>
      <c r="AG192" s="412"/>
      <c r="AH192" s="412"/>
      <c r="AI192" s="412"/>
      <c r="AJ192" s="412"/>
      <c r="AK192" s="412"/>
      <c r="AL192" s="412"/>
      <c r="AM192" s="412"/>
      <c r="AN192" s="412"/>
      <c r="AO192" s="412"/>
      <c r="AP192" s="412"/>
      <c r="AQ192" s="412"/>
      <c r="AR192" s="412"/>
      <c r="AS192" s="412"/>
      <c r="AT192" s="412"/>
      <c r="AU192" s="412"/>
      <c r="AV192" s="412"/>
      <c r="AW192" s="412"/>
      <c r="AX192" s="412"/>
      <c r="AY192" s="412"/>
      <c r="AZ192" s="412"/>
      <c r="BA192" s="412"/>
      <c r="BB192" s="412"/>
      <c r="BC192" s="412"/>
      <c r="BD192" s="412"/>
      <c r="BE192" s="412"/>
      <c r="BF192" s="412"/>
      <c r="BG192" s="412"/>
      <c r="BH192" s="412"/>
      <c r="BI192" s="412"/>
      <c r="BJ192" s="412"/>
      <c r="BK192" s="412"/>
      <c r="BL192" s="412"/>
      <c r="BM192" s="412"/>
      <c r="BN192" s="412"/>
      <c r="BO192" s="412"/>
      <c r="BP192" s="412"/>
      <c r="BQ192" s="412"/>
      <c r="BR192" s="412"/>
      <c r="BS192" s="412"/>
      <c r="BT192" s="412"/>
      <c r="BU192" s="412"/>
      <c r="BV192" s="412"/>
      <c r="BW192" s="412"/>
      <c r="BX192" s="412"/>
      <c r="BY192" s="412"/>
      <c r="BZ192" s="412"/>
      <c r="CA192" s="412"/>
      <c r="CB192" s="412"/>
      <c r="CC192" s="412"/>
      <c r="CD192" s="412"/>
      <c r="CE192" s="412"/>
      <c r="CF192" s="412"/>
      <c r="CG192" s="412"/>
      <c r="CH192" s="412"/>
      <c r="CI192" s="412"/>
      <c r="CJ192" s="412"/>
      <c r="CK192" s="412"/>
      <c r="CL192" s="412"/>
      <c r="CM192" s="412"/>
      <c r="CN192" s="412"/>
      <c r="CO192" s="412"/>
      <c r="CP192" s="412"/>
      <c r="CQ192" s="412"/>
      <c r="CR192" s="412"/>
      <c r="CS192" s="412"/>
      <c r="CT192" s="412"/>
      <c r="CU192" s="412"/>
      <c r="CV192" s="412"/>
      <c r="CW192" s="412"/>
      <c r="CX192" s="412"/>
      <c r="CY192" s="412"/>
      <c r="CZ192" s="412"/>
      <c r="DA192" s="412"/>
      <c r="DB192" s="412"/>
      <c r="DC192" s="412"/>
      <c r="DD192" s="412"/>
      <c r="DE192" s="412"/>
      <c r="DF192" s="412"/>
      <c r="DG192" s="412"/>
      <c r="DH192" s="412"/>
      <c r="DI192" s="412"/>
      <c r="DJ192" s="412"/>
      <c r="DK192" s="412"/>
      <c r="DL192" s="412"/>
      <c r="DM192" s="412"/>
      <c r="DN192" s="412"/>
      <c r="DO192" s="412"/>
      <c r="DP192" s="412"/>
      <c r="DQ192" s="412"/>
      <c r="DR192" s="412"/>
      <c r="DS192" s="412"/>
      <c r="DT192" s="412"/>
      <c r="DU192" s="412"/>
      <c r="DV192" s="412"/>
      <c r="DW192" s="412"/>
      <c r="DX192" s="412"/>
      <c r="DY192" s="412"/>
      <c r="DZ192" s="412"/>
      <c r="EA192" s="412"/>
      <c r="EB192" s="412"/>
      <c r="EC192" s="412"/>
      <c r="ED192" s="412"/>
      <c r="EE192" s="412"/>
      <c r="EF192" s="412"/>
      <c r="EG192" s="412"/>
      <c r="EH192" s="412"/>
      <c r="EI192" s="412"/>
      <c r="EJ192" s="412"/>
      <c r="EK192" s="412"/>
      <c r="EL192" s="412"/>
      <c r="EM192" s="412"/>
      <c r="EN192" s="412"/>
      <c r="EO192" s="412"/>
      <c r="EP192" s="412"/>
      <c r="EQ192" s="412"/>
      <c r="ER192" s="412"/>
      <c r="ES192" s="412"/>
      <c r="ET192" s="412"/>
      <c r="EU192" s="412"/>
      <c r="EV192" s="412"/>
      <c r="EW192" s="412"/>
      <c r="EX192" s="412"/>
      <c r="EY192" s="412"/>
      <c r="EZ192" s="412"/>
      <c r="FA192" s="412"/>
      <c r="FB192" s="412"/>
      <c r="FC192" s="412"/>
      <c r="FD192" s="412"/>
      <c r="FE192" s="412"/>
      <c r="FF192" s="412"/>
      <c r="FG192" s="412"/>
      <c r="FH192" s="412"/>
      <c r="FI192" s="412"/>
      <c r="FJ192" s="412"/>
      <c r="FK192" s="412"/>
      <c r="FL192" s="412"/>
      <c r="FM192" s="412"/>
      <c r="FN192" s="412"/>
      <c r="FO192" s="412"/>
      <c r="FP192" s="412"/>
      <c r="FQ192" s="412"/>
      <c r="FR192" s="412"/>
      <c r="FS192" s="412"/>
      <c r="FT192" s="412"/>
      <c r="FU192" s="412"/>
      <c r="FV192" s="412"/>
      <c r="FW192" s="412"/>
      <c r="FX192" s="412"/>
      <c r="FY192" s="412"/>
      <c r="FZ192" s="412"/>
      <c r="GA192" s="412"/>
      <c r="GB192" s="412"/>
      <c r="GC192" s="412"/>
      <c r="GD192" s="412"/>
      <c r="GE192" s="412"/>
      <c r="GF192" s="412"/>
      <c r="GG192" s="412"/>
      <c r="GH192" s="412"/>
      <c r="GI192" s="412"/>
      <c r="GJ192" s="412"/>
      <c r="GK192" s="412"/>
      <c r="GL192" s="412"/>
      <c r="GM192" s="412"/>
      <c r="GN192" s="412"/>
      <c r="GO192" s="412"/>
      <c r="GP192" s="412"/>
      <c r="GQ192" s="412"/>
      <c r="GR192" s="412"/>
      <c r="GS192" s="412"/>
      <c r="GT192" s="412"/>
      <c r="GU192" s="412"/>
      <c r="GV192" s="412"/>
      <c r="GW192" s="412"/>
      <c r="GX192" s="412"/>
      <c r="GY192" s="412"/>
      <c r="GZ192" s="412"/>
      <c r="HA192" s="412"/>
      <c r="HB192" s="412"/>
      <c r="HC192" s="412"/>
      <c r="HD192" s="412"/>
      <c r="HE192" s="412"/>
      <c r="HF192" s="412"/>
      <c r="HG192" s="412"/>
      <c r="HH192" s="412"/>
      <c r="HI192" s="412"/>
      <c r="HJ192" s="412"/>
      <c r="HK192" s="412"/>
      <c r="HL192" s="412"/>
      <c r="HM192" s="412"/>
      <c r="HN192" s="412"/>
      <c r="HO192" s="412"/>
      <c r="HP192" s="412"/>
      <c r="HQ192" s="412"/>
      <c r="HR192" s="412"/>
      <c r="HS192" s="412"/>
      <c r="HT192" s="412"/>
      <c r="HU192" s="412"/>
      <c r="HV192" s="412"/>
      <c r="HW192" s="412"/>
      <c r="HX192" s="412"/>
      <c r="HY192" s="412"/>
      <c r="HZ192" s="412"/>
      <c r="IA192" s="412"/>
      <c r="IB192" s="412"/>
      <c r="IC192" s="412"/>
      <c r="ID192" s="412"/>
      <c r="IE192" s="412"/>
      <c r="IF192" s="412"/>
      <c r="IG192" s="412"/>
      <c r="IH192" s="412"/>
      <c r="II192" s="412"/>
      <c r="IJ192" s="412"/>
      <c r="IK192" s="412"/>
      <c r="IL192" s="412"/>
      <c r="IM192" s="412"/>
      <c r="IN192" s="412"/>
      <c r="IO192" s="412"/>
      <c r="IP192" s="412"/>
      <c r="IQ192" s="412"/>
      <c r="IR192" s="412"/>
      <c r="IS192" s="412"/>
      <c r="IT192" s="412"/>
      <c r="IU192" s="412"/>
      <c r="IV192" s="412"/>
      <c r="IW192" s="412"/>
      <c r="IX192" s="412"/>
      <c r="IY192" s="412"/>
      <c r="IZ192" s="412"/>
      <c r="JA192" s="412"/>
      <c r="JB192" s="412"/>
      <c r="JC192" s="412"/>
      <c r="JD192" s="412"/>
      <c r="JE192" s="412"/>
      <c r="JF192" s="412"/>
      <c r="JG192" s="412"/>
      <c r="JH192" s="412"/>
      <c r="JI192" s="412"/>
      <c r="JJ192" s="412"/>
      <c r="JK192" s="412"/>
      <c r="JL192" s="412"/>
      <c r="JM192" s="412"/>
      <c r="JN192" s="412"/>
      <c r="JO192" s="412"/>
      <c r="JP192" s="412"/>
      <c r="JQ192" s="412"/>
      <c r="JR192" s="412"/>
      <c r="JS192" s="412"/>
      <c r="JT192" s="412"/>
      <c r="JU192" s="412"/>
      <c r="JV192" s="412"/>
      <c r="JW192" s="412"/>
      <c r="JX192" s="412"/>
      <c r="JY192" s="412"/>
      <c r="JZ192" s="412"/>
      <c r="KA192" s="412"/>
      <c r="KB192" s="412"/>
      <c r="KC192" s="412"/>
      <c r="KD192" s="412"/>
      <c r="KE192" s="412"/>
      <c r="KF192" s="412"/>
      <c r="KG192" s="412"/>
      <c r="KH192" s="412"/>
      <c r="KI192" s="412"/>
      <c r="KJ192" s="412"/>
      <c r="KK192" s="412"/>
      <c r="KL192" s="412"/>
      <c r="KM192" s="412"/>
      <c r="KN192" s="412"/>
      <c r="KO192" s="412"/>
      <c r="KP192" s="412"/>
      <c r="KQ192" s="412"/>
      <c r="KR192" s="412"/>
      <c r="KS192" s="412"/>
      <c r="KT192" s="412"/>
      <c r="KU192" s="412"/>
      <c r="KV192" s="412"/>
      <c r="KW192" s="412"/>
      <c r="KX192" s="412"/>
      <c r="KY192" s="412"/>
      <c r="KZ192" s="412"/>
      <c r="LA192" s="412"/>
      <c r="LB192" s="412"/>
      <c r="LC192" s="412"/>
      <c r="LD192" s="412"/>
      <c r="LE192" s="412"/>
      <c r="LF192" s="412"/>
      <c r="LG192" s="412"/>
      <c r="LH192" s="412"/>
      <c r="LI192" s="412"/>
      <c r="LJ192" s="412"/>
      <c r="LK192" s="412"/>
      <c r="LL192" s="412"/>
      <c r="LM192" s="412"/>
      <c r="LN192" s="412"/>
      <c r="LO192" s="412"/>
      <c r="LP192" s="412"/>
      <c r="LQ192" s="412"/>
      <c r="LR192" s="412"/>
      <c r="LS192" s="412"/>
      <c r="LT192" s="412"/>
      <c r="LU192" s="412"/>
      <c r="LV192" s="412"/>
      <c r="LW192" s="412"/>
      <c r="LX192" s="412"/>
      <c r="LY192" s="412"/>
      <c r="LZ192" s="412"/>
      <c r="MA192" s="412"/>
      <c r="MB192" s="412"/>
      <c r="MC192" s="412"/>
      <c r="MD192" s="412"/>
      <c r="ME192" s="412"/>
      <c r="MF192" s="412"/>
      <c r="MG192" s="412"/>
      <c r="MH192" s="412"/>
      <c r="MI192" s="412"/>
      <c r="MJ192" s="412"/>
      <c r="MK192" s="412"/>
      <c r="ML192" s="412"/>
      <c r="MM192" s="412"/>
      <c r="MN192" s="412"/>
      <c r="MO192" s="412"/>
      <c r="MP192" s="412"/>
      <c r="MQ192" s="412"/>
      <c r="MR192" s="412"/>
      <c r="MS192" s="412"/>
      <c r="MT192" s="412"/>
      <c r="MU192" s="412"/>
      <c r="MV192" s="412"/>
      <c r="MW192" s="412"/>
      <c r="MX192" s="412"/>
      <c r="MY192" s="412"/>
      <c r="MZ192" s="412"/>
      <c r="NA192" s="412"/>
      <c r="NB192" s="412"/>
      <c r="NC192" s="412"/>
      <c r="ND192" s="412"/>
      <c r="NE192" s="412"/>
      <c r="NF192" s="412"/>
      <c r="NG192" s="412"/>
      <c r="NH192" s="412"/>
      <c r="NI192" s="412"/>
      <c r="NJ192" s="412"/>
      <c r="NK192" s="412"/>
      <c r="NL192" s="412"/>
      <c r="NM192" s="412"/>
      <c r="NN192" s="412"/>
      <c r="NO192" s="412"/>
      <c r="NP192" s="412"/>
      <c r="NQ192" s="412"/>
      <c r="NR192" s="412"/>
      <c r="NS192" s="412"/>
      <c r="NT192" s="412"/>
      <c r="NU192" s="412"/>
      <c r="NV192" s="412"/>
      <c r="NW192" s="412"/>
      <c r="NX192" s="412"/>
      <c r="NY192" s="412"/>
      <c r="NZ192" s="412"/>
      <c r="OA192" s="412"/>
      <c r="OB192" s="412"/>
      <c r="OC192" s="412"/>
      <c r="OD192" s="412"/>
      <c r="OE192" s="412"/>
      <c r="OF192" s="412"/>
      <c r="OG192" s="412"/>
      <c r="OH192" s="412"/>
      <c r="OI192" s="412"/>
      <c r="OJ192" s="412"/>
      <c r="OK192" s="412"/>
      <c r="OL192" s="412"/>
      <c r="OM192" s="412"/>
      <c r="ON192" s="412"/>
      <c r="OO192" s="412"/>
      <c r="OP192" s="412"/>
      <c r="OQ192" s="412"/>
      <c r="OR192" s="412"/>
      <c r="OS192" s="412"/>
      <c r="OT192" s="412"/>
      <c r="OU192" s="412"/>
      <c r="OV192" s="412"/>
      <c r="OW192" s="412"/>
      <c r="OX192" s="412"/>
      <c r="OY192" s="412"/>
      <c r="OZ192" s="412"/>
      <c r="PA192" s="412"/>
      <c r="PB192" s="412"/>
      <c r="PC192" s="412"/>
      <c r="PD192" s="412"/>
      <c r="PE192" s="412"/>
      <c r="PF192" s="412"/>
      <c r="PG192" s="412"/>
      <c r="PH192" s="412"/>
      <c r="PI192" s="412"/>
      <c r="PJ192" s="412"/>
      <c r="PK192" s="412"/>
      <c r="PL192" s="412"/>
      <c r="PM192" s="412"/>
      <c r="PN192" s="412"/>
      <c r="PO192" s="412"/>
      <c r="PP192" s="412"/>
      <c r="PQ192" s="412"/>
      <c r="PR192" s="412"/>
      <c r="PS192" s="412"/>
      <c r="PT192" s="412"/>
      <c r="PU192" s="412"/>
      <c r="PV192" s="412"/>
      <c r="PW192" s="412"/>
      <c r="PX192" s="412"/>
      <c r="PY192" s="412"/>
      <c r="PZ192" s="412"/>
      <c r="QA192" s="412"/>
      <c r="QB192" s="412"/>
      <c r="QC192" s="412"/>
      <c r="QD192" s="412"/>
      <c r="QE192" s="412"/>
      <c r="QF192" s="412"/>
      <c r="QG192" s="412"/>
      <c r="QH192" s="412"/>
      <c r="QI192" s="412"/>
      <c r="QJ192" s="412"/>
      <c r="QK192" s="412"/>
      <c r="QL192" s="412"/>
      <c r="QM192" s="412"/>
      <c r="QN192" s="412"/>
      <c r="QO192" s="412"/>
      <c r="QP192" s="412"/>
      <c r="QQ192" s="412"/>
      <c r="QR192" s="412"/>
      <c r="QS192" s="412"/>
      <c r="QT192" s="412"/>
      <c r="QU192" s="412"/>
      <c r="QV192" s="412"/>
      <c r="QW192" s="412"/>
      <c r="QX192" s="412"/>
      <c r="QY192" s="412"/>
      <c r="QZ192" s="412"/>
      <c r="RA192" s="412"/>
      <c r="RB192" s="412"/>
      <c r="RC192" s="412"/>
      <c r="RD192" s="412"/>
      <c r="RE192" s="412"/>
      <c r="RF192" s="412"/>
      <c r="RG192" s="412"/>
      <c r="RH192" s="412"/>
      <c r="RI192" s="412"/>
      <c r="RJ192" s="412"/>
      <c r="RK192" s="412"/>
      <c r="RL192" s="412"/>
      <c r="RM192" s="412"/>
      <c r="RN192" s="412"/>
      <c r="RO192" s="412"/>
      <c r="RP192" s="412"/>
      <c r="RQ192" s="412"/>
      <c r="RR192" s="412"/>
      <c r="RS192" s="412"/>
      <c r="RT192" s="412"/>
      <c r="RU192" s="412"/>
      <c r="RV192" s="412"/>
      <c r="RW192" s="412"/>
      <c r="RX192" s="412"/>
      <c r="RY192" s="412"/>
      <c r="RZ192" s="412"/>
      <c r="SA192" s="412"/>
      <c r="SB192" s="412"/>
      <c r="SC192" s="412"/>
      <c r="SD192" s="412"/>
      <c r="SE192" s="412"/>
      <c r="SF192" s="412"/>
      <c r="SG192" s="412"/>
      <c r="SH192" s="412"/>
      <c r="SI192" s="412"/>
      <c r="SJ192" s="412"/>
      <c r="SK192" s="412"/>
      <c r="SL192" s="412"/>
      <c r="SM192" s="412"/>
      <c r="SN192" s="412"/>
      <c r="SO192" s="412"/>
      <c r="SP192" s="412"/>
      <c r="SQ192" s="412"/>
      <c r="SR192" s="412"/>
      <c r="SS192" s="412"/>
      <c r="ST192" s="412"/>
      <c r="SU192" s="412"/>
      <c r="SV192" s="412"/>
      <c r="SW192" s="412"/>
      <c r="SX192" s="412"/>
      <c r="SY192" s="412"/>
      <c r="SZ192" s="412"/>
      <c r="TA192" s="412"/>
      <c r="TB192" s="412"/>
      <c r="TC192" s="412"/>
      <c r="TD192" s="412"/>
      <c r="TE192" s="412"/>
      <c r="TF192" s="412"/>
      <c r="TG192" s="412"/>
      <c r="TH192" s="412"/>
      <c r="TI192" s="412"/>
      <c r="TJ192" s="412"/>
      <c r="TK192" s="412"/>
      <c r="TL192" s="412"/>
      <c r="TM192" s="412"/>
      <c r="TN192" s="412"/>
      <c r="TO192" s="412"/>
      <c r="TP192" s="412"/>
      <c r="TQ192" s="412"/>
      <c r="TR192" s="412"/>
      <c r="TS192" s="412"/>
      <c r="TT192" s="412"/>
      <c r="TU192" s="412"/>
      <c r="TV192" s="412"/>
      <c r="TW192" s="412"/>
      <c r="TX192" s="412"/>
      <c r="TY192" s="412"/>
      <c r="TZ192" s="412"/>
      <c r="UA192" s="412"/>
      <c r="UB192" s="412"/>
      <c r="UC192" s="412"/>
      <c r="UD192" s="412"/>
      <c r="UE192" s="412"/>
      <c r="UF192" s="412"/>
      <c r="UG192" s="412"/>
      <c r="UH192" s="412"/>
      <c r="UI192" s="412"/>
      <c r="UJ192" s="412"/>
      <c r="UK192" s="412"/>
      <c r="UL192" s="412"/>
      <c r="UM192" s="412"/>
      <c r="UN192" s="412"/>
      <c r="UO192" s="412"/>
      <c r="UP192" s="412"/>
      <c r="UQ192" s="412"/>
      <c r="UR192" s="412"/>
      <c r="US192" s="412"/>
      <c r="UT192" s="412"/>
      <c r="UU192" s="412"/>
      <c r="UV192" s="412"/>
      <c r="UW192" s="412"/>
      <c r="UX192" s="412"/>
      <c r="UY192" s="412"/>
      <c r="UZ192" s="412"/>
      <c r="VA192" s="412"/>
      <c r="VB192" s="412"/>
      <c r="VC192" s="412"/>
      <c r="VD192" s="412"/>
      <c r="VE192" s="412"/>
      <c r="VF192" s="412"/>
      <c r="VG192" s="412"/>
      <c r="VH192" s="412"/>
      <c r="VI192" s="412"/>
      <c r="VJ192" s="412"/>
      <c r="VK192" s="412"/>
      <c r="VL192" s="412"/>
      <c r="VM192" s="412"/>
      <c r="VN192" s="412"/>
      <c r="VO192" s="412"/>
      <c r="VP192" s="412"/>
      <c r="VQ192" s="412"/>
      <c r="VR192" s="412"/>
      <c r="VS192" s="412"/>
      <c r="VT192" s="412"/>
      <c r="VU192" s="412"/>
      <c r="VV192" s="412"/>
      <c r="VW192" s="412"/>
      <c r="VX192" s="412"/>
      <c r="VY192" s="412"/>
      <c r="VZ192" s="412"/>
      <c r="WA192" s="412"/>
      <c r="WB192" s="412"/>
      <c r="WC192" s="412"/>
      <c r="WD192" s="412"/>
      <c r="WE192" s="412"/>
      <c r="WF192" s="412"/>
      <c r="WG192" s="412"/>
      <c r="WH192" s="412"/>
      <c r="WI192" s="412"/>
      <c r="WJ192" s="412"/>
      <c r="WK192" s="412"/>
      <c r="WL192" s="412"/>
      <c r="WM192" s="412"/>
      <c r="WN192" s="412"/>
      <c r="WO192" s="412"/>
      <c r="WP192" s="412"/>
      <c r="WQ192" s="412"/>
      <c r="WR192" s="412"/>
      <c r="WS192" s="412"/>
      <c r="WT192" s="412"/>
      <c r="WU192" s="412"/>
      <c r="WV192" s="412"/>
      <c r="WW192" s="412"/>
      <c r="WX192" s="412"/>
      <c r="WY192" s="412"/>
      <c r="WZ192" s="412"/>
      <c r="XA192" s="412"/>
      <c r="XB192" s="412"/>
      <c r="XC192" s="412"/>
      <c r="XD192" s="412"/>
      <c r="XE192" s="412"/>
      <c r="XF192" s="412"/>
      <c r="XG192" s="412"/>
      <c r="XH192" s="412"/>
      <c r="XI192" s="412"/>
      <c r="XJ192" s="412"/>
      <c r="XK192" s="412"/>
      <c r="XL192" s="412"/>
      <c r="XM192" s="412"/>
      <c r="XN192" s="412"/>
      <c r="XO192" s="412"/>
      <c r="XP192" s="412"/>
      <c r="XQ192" s="412"/>
      <c r="XR192" s="412"/>
      <c r="XS192" s="412"/>
      <c r="XT192" s="412"/>
      <c r="XU192" s="412"/>
      <c r="XV192" s="412"/>
      <c r="XW192" s="412"/>
      <c r="XX192" s="412"/>
      <c r="XY192" s="412"/>
      <c r="XZ192" s="412"/>
      <c r="YA192" s="412"/>
      <c r="YB192" s="412"/>
      <c r="YC192" s="412"/>
      <c r="YD192" s="412"/>
      <c r="YE192" s="412"/>
      <c r="YF192" s="412"/>
      <c r="YG192" s="412"/>
      <c r="YH192" s="412"/>
      <c r="YI192" s="412"/>
      <c r="YJ192" s="412"/>
      <c r="YK192" s="412"/>
      <c r="YL192" s="412"/>
      <c r="YM192" s="412"/>
      <c r="YN192" s="412"/>
      <c r="YO192" s="412"/>
      <c r="YP192" s="412"/>
      <c r="YQ192" s="412"/>
      <c r="YR192" s="412"/>
      <c r="YS192" s="412"/>
      <c r="YT192" s="412"/>
      <c r="YU192" s="412"/>
      <c r="YV192" s="412"/>
      <c r="YW192" s="412"/>
      <c r="YX192" s="412"/>
      <c r="YY192" s="412"/>
      <c r="YZ192" s="412"/>
      <c r="ZA192" s="412"/>
      <c r="ZB192" s="412"/>
      <c r="ZC192" s="412"/>
      <c r="ZD192" s="412"/>
      <c r="ZE192" s="412"/>
      <c r="ZF192" s="412"/>
      <c r="ZG192" s="412"/>
      <c r="ZH192" s="412"/>
      <c r="ZI192" s="412"/>
      <c r="ZJ192" s="412"/>
      <c r="ZK192" s="412"/>
      <c r="ZL192" s="412"/>
      <c r="ZM192" s="412"/>
      <c r="ZN192" s="412"/>
      <c r="ZO192" s="412"/>
      <c r="ZP192" s="412"/>
      <c r="ZQ192" s="412"/>
      <c r="ZR192" s="412"/>
      <c r="ZS192" s="412"/>
      <c r="ZT192" s="412"/>
      <c r="ZU192" s="412"/>
      <c r="ZV192" s="412"/>
      <c r="ZW192" s="412"/>
      <c r="ZX192" s="412"/>
      <c r="ZY192" s="412"/>
      <c r="ZZ192" s="412"/>
      <c r="AAA192" s="412"/>
      <c r="AAB192" s="412"/>
      <c r="AAC192" s="412"/>
      <c r="AAD192" s="412"/>
      <c r="AAE192" s="412"/>
      <c r="AAF192" s="412"/>
      <c r="AAG192" s="412"/>
      <c r="AAH192" s="412"/>
      <c r="AAI192" s="412"/>
      <c r="AAJ192" s="412"/>
      <c r="AAK192" s="412"/>
      <c r="AAL192" s="412"/>
      <c r="AAM192" s="412"/>
      <c r="AAN192" s="412"/>
      <c r="AAO192" s="412"/>
      <c r="AAP192" s="412"/>
      <c r="AAQ192" s="412"/>
      <c r="AAR192" s="412"/>
      <c r="AAS192" s="412"/>
      <c r="AAT192" s="412"/>
      <c r="AAU192" s="412"/>
      <c r="AAV192" s="412"/>
      <c r="AAW192" s="412"/>
      <c r="AAX192" s="412"/>
      <c r="AAY192" s="412"/>
      <c r="AAZ192" s="412"/>
      <c r="ABA192" s="412"/>
      <c r="ABB192" s="412"/>
      <c r="ABC192" s="412"/>
      <c r="ABD192" s="412"/>
      <c r="ABE192" s="412"/>
      <c r="ABF192" s="412"/>
      <c r="ABG192" s="412"/>
      <c r="ABH192" s="412"/>
      <c r="ABI192" s="412"/>
      <c r="ABJ192" s="412"/>
      <c r="ABK192" s="412"/>
      <c r="ABL192" s="412"/>
      <c r="ABM192" s="412"/>
      <c r="ABN192" s="412"/>
      <c r="ABO192" s="412"/>
      <c r="ABP192" s="412"/>
      <c r="ABQ192" s="412"/>
      <c r="ABR192" s="412"/>
      <c r="ABS192" s="412"/>
      <c r="ABT192" s="412"/>
      <c r="ABU192" s="412"/>
      <c r="ABV192" s="412"/>
      <c r="ABW192" s="412"/>
      <c r="ABX192" s="412"/>
      <c r="ABY192" s="412"/>
      <c r="ABZ192" s="412"/>
      <c r="ACA192" s="412"/>
      <c r="ACB192" s="412"/>
      <c r="ACC192" s="412"/>
      <c r="ACD192" s="412"/>
      <c r="ACE192" s="412"/>
      <c r="ACF192" s="412"/>
      <c r="ACG192" s="412"/>
      <c r="ACH192" s="412"/>
      <c r="ACI192" s="412"/>
      <c r="ACJ192" s="412"/>
      <c r="ACK192" s="412"/>
      <c r="ACL192" s="412"/>
      <c r="ACM192" s="412"/>
      <c r="ACN192" s="412"/>
      <c r="ACO192" s="412"/>
      <c r="ACP192" s="412"/>
      <c r="ACQ192" s="412"/>
      <c r="ACR192" s="412"/>
      <c r="ACS192" s="412"/>
      <c r="ACT192" s="412"/>
      <c r="ACU192" s="412"/>
      <c r="ACV192" s="412"/>
      <c r="ACW192" s="412"/>
      <c r="ACX192" s="412"/>
      <c r="ACY192" s="412"/>
      <c r="ACZ192" s="412"/>
      <c r="ADA192" s="412"/>
      <c r="ADB192" s="412"/>
      <c r="ADC192" s="412"/>
      <c r="ADD192" s="412"/>
      <c r="ADE192" s="412"/>
      <c r="ADF192" s="412"/>
      <c r="ADG192" s="412"/>
      <c r="ADH192" s="412"/>
      <c r="ADI192" s="412"/>
      <c r="ADJ192" s="412"/>
      <c r="ADK192" s="412"/>
      <c r="ADL192" s="412"/>
      <c r="ADM192" s="412"/>
      <c r="ADN192" s="412"/>
      <c r="ADO192" s="412"/>
      <c r="ADP192" s="412"/>
      <c r="ADQ192" s="412"/>
      <c r="ADR192" s="412"/>
      <c r="ADS192" s="412"/>
      <c r="ADT192" s="412"/>
      <c r="ADU192" s="412"/>
      <c r="ADV192" s="412"/>
      <c r="ADW192" s="412"/>
      <c r="ADX192" s="412"/>
      <c r="ADY192" s="412"/>
      <c r="ADZ192" s="412"/>
      <c r="AEA192" s="412"/>
      <c r="AEB192" s="412"/>
      <c r="AEC192" s="412"/>
      <c r="AED192" s="412"/>
      <c r="AEE192" s="412"/>
      <c r="AEF192" s="412"/>
      <c r="AEG192" s="412"/>
      <c r="AEH192" s="412"/>
      <c r="AEI192" s="412"/>
      <c r="AEJ192" s="412"/>
      <c r="AEK192" s="412"/>
      <c r="AEL192" s="412"/>
      <c r="AEM192" s="412"/>
      <c r="AEN192" s="412"/>
      <c r="AEO192" s="412"/>
      <c r="AEP192" s="412"/>
      <c r="AEQ192" s="412"/>
      <c r="AER192" s="412"/>
      <c r="AES192" s="412"/>
      <c r="AET192" s="412"/>
      <c r="AEU192" s="412"/>
      <c r="AEV192" s="412"/>
      <c r="AEW192" s="412"/>
      <c r="AEX192" s="412"/>
      <c r="AEY192" s="412"/>
      <c r="AEZ192" s="412"/>
      <c r="AFA192" s="412"/>
      <c r="AFB192" s="412"/>
      <c r="AFC192" s="412"/>
      <c r="AFD192" s="412"/>
      <c r="AFE192" s="412"/>
      <c r="AFF192" s="412"/>
      <c r="AFG192" s="412"/>
      <c r="AFH192" s="412"/>
      <c r="AFI192" s="412"/>
      <c r="AFJ192" s="412"/>
      <c r="AFK192" s="412"/>
      <c r="AFL192" s="412"/>
      <c r="AFM192" s="412"/>
      <c r="AFN192" s="412"/>
      <c r="AFO192" s="412"/>
      <c r="AFP192" s="412"/>
      <c r="AFQ192" s="412"/>
      <c r="AFR192" s="412"/>
      <c r="AFS192" s="412"/>
      <c r="AFT192" s="412"/>
      <c r="AFU192" s="412"/>
      <c r="AFV192" s="412"/>
      <c r="AFW192" s="412"/>
      <c r="AFX192" s="412"/>
      <c r="AFY192" s="412"/>
      <c r="AFZ192" s="412"/>
      <c r="AGA192" s="412"/>
      <c r="AGB192" s="412"/>
      <c r="AGC192" s="412"/>
      <c r="AGD192" s="412"/>
      <c r="AGE192" s="412"/>
      <c r="AGF192" s="412"/>
      <c r="AGG192" s="412"/>
      <c r="AGH192" s="412"/>
      <c r="AGI192" s="412"/>
      <c r="AGJ192" s="412"/>
      <c r="AGK192" s="412"/>
      <c r="AGL192" s="412"/>
      <c r="AGM192" s="412"/>
      <c r="AGN192" s="412"/>
      <c r="AGO192" s="412"/>
      <c r="AGP192" s="412"/>
      <c r="AGQ192" s="412"/>
      <c r="AGR192" s="412"/>
      <c r="AGS192" s="412"/>
      <c r="AGT192" s="412"/>
      <c r="AGU192" s="412"/>
      <c r="AGV192" s="412"/>
      <c r="AGW192" s="412"/>
      <c r="AGX192" s="412"/>
      <c r="AGY192" s="412"/>
      <c r="AGZ192" s="412"/>
      <c r="AHA192" s="412"/>
      <c r="AHB192" s="412"/>
      <c r="AHC192" s="412"/>
      <c r="AHD192" s="412"/>
      <c r="AHE192" s="412"/>
      <c r="AHF192" s="412"/>
      <c r="AHG192" s="412"/>
      <c r="AHH192" s="412"/>
      <c r="AHI192" s="412"/>
      <c r="AHJ192" s="412"/>
      <c r="AHK192" s="412"/>
      <c r="AHL192" s="412"/>
      <c r="AHM192" s="412"/>
      <c r="AHN192" s="412"/>
      <c r="AHO192" s="412"/>
      <c r="AHP192" s="412"/>
      <c r="AHQ192" s="412"/>
      <c r="AHR192" s="412"/>
      <c r="AHS192" s="412"/>
      <c r="AHT192" s="412"/>
      <c r="AHU192" s="412"/>
      <c r="AHV192" s="412"/>
      <c r="AHW192" s="412"/>
      <c r="AHX192" s="412"/>
      <c r="AHY192" s="412"/>
      <c r="AHZ192" s="412"/>
      <c r="AIA192" s="412"/>
      <c r="AIB192" s="412"/>
      <c r="AIC192" s="412"/>
      <c r="AID192" s="412"/>
      <c r="AIE192" s="412"/>
      <c r="AIF192" s="412"/>
      <c r="AIG192" s="412"/>
      <c r="AIH192" s="412"/>
      <c r="AII192" s="412"/>
      <c r="AIJ192" s="412"/>
      <c r="AIK192" s="412"/>
      <c r="AIL192" s="412"/>
      <c r="AIM192" s="412"/>
      <c r="AIN192" s="412"/>
      <c r="AIO192" s="412"/>
      <c r="AIP192" s="412"/>
      <c r="AIQ192" s="412"/>
      <c r="AIR192" s="412"/>
      <c r="AIS192" s="412"/>
      <c r="AIT192" s="412"/>
      <c r="AIU192" s="412"/>
      <c r="AIV192" s="412"/>
      <c r="AIW192" s="412"/>
      <c r="AIX192" s="412"/>
      <c r="AIY192" s="412"/>
      <c r="AIZ192" s="412"/>
      <c r="AJA192" s="412"/>
      <c r="AJB192" s="412"/>
      <c r="AJC192" s="412"/>
      <c r="AJD192" s="412"/>
      <c r="AJE192" s="412"/>
      <c r="AJF192" s="412"/>
      <c r="AJG192" s="412"/>
      <c r="AJH192" s="412"/>
      <c r="AJI192" s="412"/>
      <c r="AJJ192" s="412"/>
      <c r="AJK192" s="412"/>
      <c r="AJL192" s="412"/>
      <c r="AJM192" s="412"/>
      <c r="AJN192" s="412"/>
      <c r="AJO192" s="412"/>
      <c r="AJP192" s="412"/>
      <c r="AJQ192" s="412"/>
      <c r="AJR192" s="412"/>
      <c r="AJS192" s="412"/>
      <c r="AJT192" s="412"/>
      <c r="AJU192" s="412"/>
      <c r="AJV192" s="412"/>
      <c r="AJW192" s="412"/>
      <c r="AJX192" s="412"/>
      <c r="AJY192" s="412"/>
      <c r="AJZ192" s="412"/>
      <c r="AKA192" s="412"/>
      <c r="AKB192" s="412"/>
      <c r="AKC192" s="412"/>
      <c r="AKD192" s="412"/>
      <c r="AKE192" s="412"/>
      <c r="AKF192" s="412"/>
      <c r="AKG192" s="412"/>
      <c r="AKH192" s="412"/>
      <c r="AKI192" s="412"/>
      <c r="AKJ192" s="412"/>
      <c r="AKK192" s="412"/>
      <c r="AKL192" s="412"/>
      <c r="AKM192" s="412"/>
      <c r="AKN192" s="412"/>
      <c r="AKO192" s="412"/>
      <c r="AKP192" s="412"/>
      <c r="AKQ192" s="412"/>
      <c r="AKR192" s="412"/>
      <c r="AKS192" s="412"/>
      <c r="AKT192" s="412"/>
      <c r="AKU192" s="412"/>
      <c r="AKV192" s="412"/>
      <c r="AKW192" s="412"/>
      <c r="AKX192" s="412"/>
      <c r="AKY192" s="412"/>
      <c r="AKZ192" s="412"/>
      <c r="ALA192" s="412"/>
      <c r="ALB192" s="412"/>
      <c r="ALC192" s="412"/>
      <c r="ALD192" s="412"/>
      <c r="ALE192" s="412"/>
      <c r="ALF192" s="412"/>
      <c r="ALG192" s="412"/>
      <c r="ALH192" s="412"/>
      <c r="ALI192" s="412"/>
      <c r="ALJ192" s="412"/>
      <c r="ALK192" s="412"/>
      <c r="ALL192" s="412"/>
      <c r="ALM192" s="412"/>
      <c r="ALN192" s="412"/>
      <c r="ALO192" s="412"/>
      <c r="ALP192" s="412"/>
      <c r="ALQ192" s="412"/>
      <c r="ALR192" s="412"/>
      <c r="ALS192" s="412"/>
      <c r="ALT192" s="412"/>
      <c r="ALU192" s="412"/>
      <c r="ALV192" s="412"/>
      <c r="ALW192" s="412"/>
      <c r="ALX192" s="412"/>
      <c r="ALY192" s="412"/>
      <c r="ALZ192" s="412"/>
      <c r="AMA192" s="412"/>
      <c r="AMB192" s="412"/>
      <c r="AMC192" s="412"/>
      <c r="AMD192" s="412"/>
      <c r="AME192" s="412"/>
      <c r="AMF192" s="412"/>
      <c r="AMG192" s="412"/>
      <c r="AMH192" s="412"/>
      <c r="AMI192" s="412"/>
      <c r="AMJ192" s="412"/>
      <c r="AMK192" s="412"/>
      <c r="AML192" s="412"/>
      <c r="AMM192" s="412"/>
      <c r="AMN192" s="412"/>
      <c r="AMO192" s="412"/>
      <c r="AMP192" s="412"/>
      <c r="AMQ192" s="412"/>
      <c r="AMR192" s="412"/>
      <c r="AMS192" s="412"/>
      <c r="AMT192" s="412"/>
      <c r="AMU192" s="412"/>
      <c r="AMV192" s="412"/>
      <c r="AMW192" s="412"/>
      <c r="AMX192" s="412"/>
      <c r="AMY192" s="412"/>
      <c r="AMZ192" s="412"/>
      <c r="ANA192" s="412"/>
      <c r="ANB192" s="412"/>
      <c r="ANC192" s="412"/>
      <c r="AND192" s="412"/>
      <c r="ANE192" s="412"/>
      <c r="ANF192" s="412"/>
      <c r="ANG192" s="412"/>
      <c r="ANH192" s="412"/>
      <c r="ANI192" s="412"/>
      <c r="ANJ192" s="412"/>
      <c r="ANK192" s="412"/>
      <c r="ANL192" s="412"/>
      <c r="ANM192" s="412"/>
      <c r="ANN192" s="412"/>
      <c r="ANO192" s="412"/>
      <c r="ANP192" s="412"/>
      <c r="ANQ192" s="412"/>
      <c r="ANR192" s="412"/>
      <c r="ANS192" s="412"/>
      <c r="ANT192" s="412"/>
      <c r="ANU192" s="412"/>
      <c r="ANV192" s="412"/>
      <c r="ANW192" s="412"/>
      <c r="ANX192" s="412"/>
      <c r="ANY192" s="412"/>
      <c r="ANZ192" s="412"/>
      <c r="AOA192" s="412"/>
      <c r="AOB192" s="412"/>
      <c r="AOC192" s="412"/>
      <c r="AOD192" s="412"/>
      <c r="AOE192" s="412"/>
      <c r="AOF192" s="412"/>
      <c r="AOG192" s="412"/>
      <c r="AOH192" s="412"/>
      <c r="AOI192" s="412"/>
      <c r="AOJ192" s="412"/>
      <c r="AOK192" s="412"/>
      <c r="AOL192" s="412"/>
      <c r="AOM192" s="412"/>
      <c r="AON192" s="412"/>
      <c r="AOO192" s="412"/>
      <c r="AOP192" s="412"/>
      <c r="AOQ192" s="412"/>
      <c r="AOR192" s="412"/>
      <c r="AOS192" s="412"/>
      <c r="AOT192" s="412"/>
      <c r="AOU192" s="412"/>
      <c r="AOV192" s="412"/>
      <c r="AOW192" s="412"/>
      <c r="AOX192" s="412"/>
      <c r="AOY192" s="412"/>
      <c r="AOZ192" s="412"/>
      <c r="APA192" s="412"/>
      <c r="APB192" s="412"/>
      <c r="APC192" s="412"/>
      <c r="APD192" s="412"/>
      <c r="APE192" s="412"/>
      <c r="APF192" s="412"/>
      <c r="APG192" s="412"/>
      <c r="APH192" s="412"/>
      <c r="API192" s="412"/>
      <c r="APJ192" s="412"/>
      <c r="APK192" s="412"/>
      <c r="APL192" s="412"/>
      <c r="APM192" s="412"/>
      <c r="APN192" s="412"/>
      <c r="APO192" s="412"/>
      <c r="APP192" s="412"/>
      <c r="APQ192" s="412"/>
      <c r="APR192" s="412"/>
      <c r="APS192" s="412"/>
      <c r="APT192" s="412"/>
      <c r="APU192" s="412"/>
      <c r="APV192" s="412"/>
      <c r="APW192" s="412"/>
      <c r="APX192" s="412"/>
      <c r="APY192" s="412"/>
      <c r="APZ192" s="412"/>
      <c r="AQA192" s="412"/>
      <c r="AQB192" s="412"/>
      <c r="AQC192" s="412"/>
      <c r="AQD192" s="412"/>
      <c r="AQE192" s="412"/>
      <c r="AQF192" s="412"/>
      <c r="AQG192" s="412"/>
      <c r="AQH192" s="412"/>
      <c r="AQI192" s="412"/>
      <c r="AQJ192" s="412"/>
      <c r="AQK192" s="412"/>
      <c r="AQL192" s="412"/>
      <c r="AQM192" s="412"/>
      <c r="AQN192" s="412"/>
      <c r="AQO192" s="412"/>
      <c r="AQP192" s="412"/>
      <c r="AQQ192" s="412"/>
      <c r="AQR192" s="412"/>
      <c r="AQS192" s="412"/>
      <c r="AQT192" s="412"/>
      <c r="AQU192" s="412"/>
      <c r="AQV192" s="412"/>
      <c r="AQW192" s="412"/>
      <c r="AQX192" s="412"/>
      <c r="AQY192" s="412"/>
      <c r="AQZ192" s="412"/>
      <c r="ARA192" s="412"/>
      <c r="ARB192" s="412"/>
      <c r="ARC192" s="412"/>
      <c r="ARD192" s="412"/>
      <c r="ARE192" s="412"/>
      <c r="ARF192" s="412"/>
      <c r="ARG192" s="412"/>
      <c r="ARH192" s="412"/>
      <c r="ARI192" s="412"/>
      <c r="ARJ192" s="412"/>
      <c r="ARK192" s="412"/>
      <c r="ARL192" s="412"/>
      <c r="ARM192" s="412"/>
      <c r="ARN192" s="412"/>
      <c r="ARO192" s="412"/>
      <c r="ARP192" s="412"/>
      <c r="ARQ192" s="412"/>
      <c r="ARR192" s="412"/>
      <c r="ARS192" s="412"/>
      <c r="ART192" s="412"/>
      <c r="ARU192" s="412"/>
      <c r="ARV192" s="412"/>
      <c r="ARW192" s="412"/>
      <c r="ARX192" s="412"/>
      <c r="ARY192" s="412"/>
      <c r="ARZ192" s="412"/>
      <c r="ASA192" s="412"/>
      <c r="ASB192" s="412"/>
      <c r="ASC192" s="412"/>
      <c r="ASD192" s="412"/>
      <c r="ASE192" s="412"/>
      <c r="ASF192" s="412"/>
      <c r="ASG192" s="412"/>
      <c r="ASH192" s="412"/>
      <c r="ASI192" s="412"/>
      <c r="ASJ192" s="412"/>
      <c r="ASK192" s="412"/>
      <c r="ASL192" s="412"/>
      <c r="ASM192" s="412"/>
      <c r="ASN192" s="412"/>
      <c r="ASO192" s="412"/>
      <c r="ASP192" s="412"/>
      <c r="ASQ192" s="412"/>
      <c r="ASR192" s="412"/>
      <c r="ASS192" s="412"/>
      <c r="AST192" s="412"/>
      <c r="ASU192" s="412"/>
      <c r="ASV192" s="412"/>
      <c r="ASW192" s="412"/>
      <c r="ASX192" s="412"/>
      <c r="ASY192" s="412"/>
      <c r="ASZ192" s="412"/>
      <c r="ATA192" s="412"/>
      <c r="ATB192" s="412"/>
      <c r="ATC192" s="412"/>
      <c r="ATD192" s="412"/>
      <c r="ATE192" s="412"/>
      <c r="ATF192" s="412"/>
      <c r="ATG192" s="412"/>
      <c r="ATH192" s="412"/>
      <c r="ATI192" s="412"/>
      <c r="ATJ192" s="412"/>
      <c r="ATK192" s="412"/>
      <c r="ATL192" s="412"/>
      <c r="ATM192" s="412"/>
      <c r="ATN192" s="412"/>
      <c r="ATO192" s="412"/>
      <c r="ATP192" s="412"/>
      <c r="ATQ192" s="412"/>
      <c r="ATR192" s="412"/>
      <c r="ATS192" s="412"/>
      <c r="ATT192" s="412"/>
      <c r="ATU192" s="412"/>
      <c r="ATV192" s="412"/>
      <c r="ATW192" s="412"/>
      <c r="ATX192" s="412"/>
      <c r="ATY192" s="412"/>
      <c r="ATZ192" s="412"/>
      <c r="AUA192" s="412"/>
      <c r="AUB192" s="412"/>
      <c r="AUC192" s="412"/>
      <c r="AUD192" s="412"/>
      <c r="AUE192" s="412"/>
      <c r="AUF192" s="412"/>
      <c r="AUG192" s="412"/>
      <c r="AUH192" s="412"/>
      <c r="AUI192" s="412"/>
      <c r="AUJ192" s="412"/>
      <c r="AUK192" s="412"/>
      <c r="AUL192" s="412"/>
      <c r="AUM192" s="412"/>
      <c r="AUN192" s="412"/>
      <c r="AUO192" s="412"/>
      <c r="AUP192" s="412"/>
      <c r="AUQ192" s="412"/>
      <c r="AUR192" s="412"/>
      <c r="AUS192" s="412"/>
      <c r="AUT192" s="412"/>
      <c r="AUU192" s="412"/>
      <c r="AUV192" s="412"/>
      <c r="AUW192" s="412"/>
      <c r="AUX192" s="412"/>
      <c r="AUY192" s="412"/>
      <c r="AUZ192" s="412"/>
      <c r="AVA192" s="412"/>
      <c r="AVB192" s="412"/>
      <c r="AVC192" s="412"/>
      <c r="AVD192" s="412"/>
      <c r="AVE192" s="412"/>
      <c r="AVF192" s="412"/>
      <c r="AVG192" s="412"/>
      <c r="AVH192" s="412"/>
      <c r="AVI192" s="412"/>
      <c r="AVJ192" s="412"/>
      <c r="AVK192" s="412"/>
      <c r="AVL192" s="412"/>
      <c r="AVM192" s="412"/>
      <c r="AVN192" s="412"/>
      <c r="AVO192" s="412"/>
      <c r="AVP192" s="412"/>
      <c r="AVQ192" s="412"/>
      <c r="AVR192" s="412"/>
      <c r="AVS192" s="412"/>
      <c r="AVT192" s="412"/>
      <c r="AVU192" s="412"/>
      <c r="AVV192" s="412"/>
      <c r="AVW192" s="412"/>
      <c r="AVX192" s="412"/>
      <c r="AVY192" s="412"/>
      <c r="AVZ192" s="412"/>
      <c r="AWA192" s="412"/>
      <c r="AWB192" s="412"/>
      <c r="AWC192" s="412"/>
      <c r="AWD192" s="412"/>
      <c r="AWE192" s="412"/>
      <c r="AWF192" s="412"/>
      <c r="AWG192" s="412"/>
      <c r="AWH192" s="412"/>
      <c r="AWI192" s="412"/>
      <c r="AWJ192" s="412"/>
      <c r="AWK192" s="412"/>
      <c r="AWL192" s="412"/>
      <c r="AWM192" s="412"/>
      <c r="AWN192" s="412"/>
      <c r="AWO192" s="412"/>
      <c r="AWP192" s="412"/>
      <c r="AWQ192" s="412"/>
      <c r="AWR192" s="412"/>
      <c r="AWS192" s="412"/>
      <c r="AWT192" s="412"/>
      <c r="AWU192" s="412"/>
      <c r="AWV192" s="412"/>
      <c r="AWW192" s="412"/>
      <c r="AWX192" s="412"/>
      <c r="AWY192" s="412"/>
      <c r="AWZ192" s="412"/>
      <c r="AXA192" s="412"/>
      <c r="AXB192" s="412"/>
      <c r="AXC192" s="412"/>
      <c r="AXD192" s="412"/>
      <c r="AXE192" s="412"/>
      <c r="AXF192" s="412"/>
      <c r="AXG192" s="412"/>
      <c r="AXH192" s="412"/>
      <c r="AXI192" s="412"/>
      <c r="AXJ192" s="412"/>
      <c r="AXK192" s="412"/>
      <c r="AXL192" s="412"/>
      <c r="AXM192" s="412"/>
      <c r="AXN192" s="412"/>
      <c r="AXO192" s="412"/>
      <c r="AXP192" s="412"/>
      <c r="AXQ192" s="412"/>
      <c r="AXR192" s="412"/>
      <c r="AXS192" s="412"/>
      <c r="AXT192" s="412"/>
      <c r="AXU192" s="412"/>
      <c r="AXV192" s="412"/>
      <c r="AXW192" s="412"/>
      <c r="AXX192" s="412"/>
      <c r="AXY192" s="412"/>
      <c r="AXZ192" s="412"/>
      <c r="AYA192" s="412"/>
      <c r="AYB192" s="412"/>
      <c r="AYC192" s="412"/>
      <c r="AYD192" s="412"/>
      <c r="AYE192" s="412"/>
      <c r="AYF192" s="412"/>
      <c r="AYG192" s="412"/>
      <c r="AYH192" s="412"/>
      <c r="AYI192" s="412"/>
      <c r="AYJ192" s="412"/>
      <c r="AYK192" s="412"/>
      <c r="AYL192" s="412"/>
      <c r="AYM192" s="412"/>
      <c r="AYN192" s="412"/>
      <c r="AYO192" s="412"/>
      <c r="AYP192" s="412"/>
      <c r="AYQ192" s="412"/>
      <c r="AYR192" s="412"/>
      <c r="AYS192" s="412"/>
      <c r="AYT192" s="412"/>
      <c r="AYU192" s="412"/>
      <c r="AYV192" s="412"/>
      <c r="AYW192" s="412"/>
      <c r="AYX192" s="412"/>
      <c r="AYY192" s="412"/>
      <c r="AYZ192" s="412"/>
      <c r="AZA192" s="412"/>
      <c r="AZB192" s="412"/>
      <c r="AZC192" s="412"/>
      <c r="AZD192" s="412"/>
      <c r="AZE192" s="412"/>
      <c r="AZF192" s="412"/>
      <c r="AZG192" s="412"/>
      <c r="AZH192" s="412"/>
      <c r="AZI192" s="412"/>
      <c r="AZJ192" s="412"/>
      <c r="AZK192" s="412"/>
      <c r="AZL192" s="412"/>
      <c r="AZM192" s="412"/>
      <c r="AZN192" s="412"/>
      <c r="AZO192" s="412"/>
      <c r="AZP192" s="412"/>
      <c r="AZQ192" s="412"/>
      <c r="AZR192" s="412"/>
      <c r="AZS192" s="412"/>
      <c r="AZT192" s="412"/>
      <c r="AZU192" s="412"/>
      <c r="AZV192" s="412"/>
      <c r="AZW192" s="412"/>
      <c r="AZX192" s="412"/>
      <c r="AZY192" s="412"/>
      <c r="AZZ192" s="412"/>
      <c r="BAA192" s="412"/>
      <c r="BAB192" s="412"/>
      <c r="BAC192" s="412"/>
      <c r="BAD192" s="412"/>
      <c r="BAE192" s="412"/>
      <c r="BAF192" s="412"/>
      <c r="BAG192" s="412"/>
      <c r="BAH192" s="412"/>
      <c r="BAI192" s="412"/>
      <c r="BAJ192" s="412"/>
      <c r="BAK192" s="412"/>
      <c r="BAL192" s="412"/>
      <c r="BAM192" s="412"/>
      <c r="BAN192" s="412"/>
      <c r="BAO192" s="412"/>
      <c r="BAP192" s="412"/>
      <c r="BAQ192" s="412"/>
      <c r="BAR192" s="412"/>
      <c r="BAS192" s="412"/>
      <c r="BAT192" s="412"/>
      <c r="BAU192" s="412"/>
      <c r="BAV192" s="412"/>
      <c r="BAW192" s="412"/>
      <c r="BAX192" s="412"/>
      <c r="BAY192" s="412"/>
      <c r="BAZ192" s="412"/>
      <c r="BBA192" s="412"/>
      <c r="BBB192" s="412"/>
      <c r="BBC192" s="412"/>
      <c r="BBD192" s="412"/>
      <c r="BBE192" s="412"/>
      <c r="BBF192" s="412"/>
      <c r="BBG192" s="412"/>
      <c r="BBH192" s="412"/>
      <c r="BBI192" s="412"/>
      <c r="BBJ192" s="412"/>
      <c r="BBK192" s="412"/>
      <c r="BBL192" s="412"/>
      <c r="BBM192" s="412"/>
      <c r="BBN192" s="412"/>
      <c r="BBO192" s="412"/>
      <c r="BBP192" s="412"/>
      <c r="BBQ192" s="412"/>
      <c r="BBR192" s="412"/>
      <c r="BBS192" s="412"/>
      <c r="BBT192" s="412"/>
      <c r="BBU192" s="412"/>
      <c r="BBV192" s="412"/>
      <c r="BBW192" s="412"/>
      <c r="BBX192" s="412"/>
      <c r="BBY192" s="412"/>
      <c r="BBZ192" s="412"/>
      <c r="BCA192" s="412"/>
      <c r="BCB192" s="412"/>
      <c r="BCC192" s="412"/>
      <c r="BCD192" s="412"/>
      <c r="BCE192" s="412"/>
      <c r="BCF192" s="412"/>
      <c r="BCG192" s="412"/>
      <c r="BCH192" s="412"/>
      <c r="BCI192" s="412"/>
      <c r="BCJ192" s="412"/>
      <c r="BCK192" s="412"/>
      <c r="BCL192" s="412"/>
      <c r="BCM192" s="412"/>
      <c r="BCN192" s="412"/>
      <c r="BCO192" s="412"/>
      <c r="BCP192" s="412"/>
      <c r="BCQ192" s="412"/>
      <c r="BCR192" s="412"/>
      <c r="BCS192" s="412"/>
      <c r="BCT192" s="412"/>
      <c r="BCU192" s="412"/>
      <c r="BCV192" s="412"/>
      <c r="BCW192" s="412"/>
      <c r="BCX192" s="412"/>
      <c r="BCY192" s="412"/>
      <c r="BCZ192" s="412"/>
      <c r="BDA192" s="412"/>
      <c r="BDB192" s="412"/>
      <c r="BDC192" s="412"/>
      <c r="BDD192" s="412"/>
      <c r="BDE192" s="412"/>
      <c r="BDF192" s="412"/>
      <c r="BDG192" s="412"/>
      <c r="BDH192" s="412"/>
      <c r="BDI192" s="412"/>
      <c r="BDJ192" s="412"/>
      <c r="BDK192" s="412"/>
      <c r="BDL192" s="412"/>
      <c r="BDM192" s="412"/>
      <c r="BDN192" s="412"/>
      <c r="BDO192" s="412"/>
      <c r="BDP192" s="412"/>
      <c r="BDQ192" s="412"/>
      <c r="BDR192" s="412"/>
      <c r="BDS192" s="412"/>
      <c r="BDT192" s="412"/>
      <c r="BDU192" s="412"/>
      <c r="BDV192" s="412"/>
      <c r="BDW192" s="412"/>
      <c r="BDX192" s="412"/>
      <c r="BDY192" s="412"/>
      <c r="BDZ192" s="412"/>
      <c r="BEA192" s="412"/>
      <c r="BEB192" s="412"/>
      <c r="BEC192" s="412"/>
      <c r="BED192" s="412"/>
      <c r="BEE192" s="412"/>
      <c r="BEF192" s="412"/>
      <c r="BEG192" s="412"/>
      <c r="BEH192" s="412"/>
      <c r="BEI192" s="412"/>
      <c r="BEJ192" s="412"/>
      <c r="BEK192" s="412"/>
      <c r="BEL192" s="412"/>
      <c r="BEM192" s="412"/>
      <c r="BEN192" s="412"/>
      <c r="BEO192" s="412"/>
      <c r="BEP192" s="412"/>
      <c r="BEQ192" s="412"/>
      <c r="BER192" s="412"/>
      <c r="BES192" s="412"/>
      <c r="BET192" s="412"/>
      <c r="BEU192" s="412"/>
      <c r="BEV192" s="412"/>
      <c r="BEW192" s="412"/>
      <c r="BEX192" s="412"/>
      <c r="BEY192" s="412"/>
      <c r="BEZ192" s="412"/>
      <c r="BFA192" s="412"/>
      <c r="BFB192" s="412"/>
      <c r="BFC192" s="412"/>
      <c r="BFD192" s="412"/>
      <c r="BFE192" s="412"/>
      <c r="BFF192" s="412"/>
      <c r="BFG192" s="412"/>
      <c r="BFH192" s="412"/>
      <c r="BFI192" s="412"/>
      <c r="BFJ192" s="412"/>
      <c r="BFK192" s="412"/>
      <c r="BFL192" s="412"/>
      <c r="BFM192" s="412"/>
      <c r="BFN192" s="412"/>
      <c r="BFO192" s="412"/>
      <c r="BFP192" s="412"/>
      <c r="BFQ192" s="412"/>
      <c r="BFR192" s="412"/>
      <c r="BFS192" s="412"/>
      <c r="BFT192" s="412"/>
      <c r="BFU192" s="412"/>
      <c r="BFV192" s="412"/>
      <c r="BFW192" s="412"/>
      <c r="BFX192" s="412"/>
      <c r="BFY192" s="412"/>
      <c r="BFZ192" s="412"/>
      <c r="BGA192" s="412"/>
      <c r="BGB192" s="412"/>
      <c r="BGC192" s="412"/>
      <c r="BGD192" s="412"/>
      <c r="BGE192" s="412"/>
      <c r="BGF192" s="412"/>
      <c r="BGG192" s="412"/>
      <c r="BGH192" s="412"/>
      <c r="BGI192" s="412"/>
      <c r="BGJ192" s="412"/>
      <c r="BGK192" s="412"/>
      <c r="BGL192" s="412"/>
      <c r="BGM192" s="412"/>
      <c r="BGN192" s="412"/>
      <c r="BGO192" s="412"/>
      <c r="BGP192" s="412"/>
      <c r="BGQ192" s="412"/>
      <c r="BGR192" s="412"/>
      <c r="BGS192" s="412"/>
      <c r="BGT192" s="412"/>
      <c r="BGU192" s="412"/>
      <c r="BGV192" s="412"/>
      <c r="BGW192" s="412"/>
      <c r="BGX192" s="412"/>
      <c r="BGY192" s="412"/>
      <c r="BGZ192" s="412"/>
      <c r="BHA192" s="412"/>
      <c r="BHB192" s="412"/>
      <c r="BHC192" s="412"/>
      <c r="BHD192" s="412"/>
      <c r="BHE192" s="412"/>
      <c r="BHF192" s="412"/>
      <c r="BHG192" s="412"/>
      <c r="BHH192" s="412"/>
      <c r="BHI192" s="412"/>
      <c r="BHJ192" s="412"/>
      <c r="BHK192" s="412"/>
      <c r="BHL192" s="412"/>
      <c r="BHM192" s="412"/>
      <c r="BHN192" s="412"/>
      <c r="BHO192" s="412"/>
      <c r="BHP192" s="412"/>
      <c r="BHQ192" s="412"/>
      <c r="BHR192" s="412"/>
      <c r="BHS192" s="412"/>
      <c r="BHT192" s="412"/>
      <c r="BHU192" s="412"/>
      <c r="BHV192" s="412"/>
      <c r="BHW192" s="412"/>
      <c r="BHX192" s="412"/>
      <c r="BHY192" s="412"/>
      <c r="BHZ192" s="412"/>
      <c r="BIA192" s="412"/>
      <c r="BIB192" s="412"/>
      <c r="BIC192" s="412"/>
      <c r="BID192" s="412"/>
      <c r="BIE192" s="412"/>
      <c r="BIF192" s="412"/>
      <c r="BIG192" s="412"/>
      <c r="BIH192" s="412"/>
      <c r="BII192" s="412"/>
      <c r="BIJ192" s="412"/>
      <c r="BIK192" s="412"/>
      <c r="BIL192" s="412"/>
      <c r="BIM192" s="412"/>
      <c r="BIN192" s="412"/>
      <c r="BIO192" s="412"/>
      <c r="BIP192" s="412"/>
      <c r="BIQ192" s="412"/>
      <c r="BIR192" s="412"/>
      <c r="BIS192" s="412"/>
      <c r="BIT192" s="412"/>
      <c r="BIU192" s="412"/>
      <c r="BIV192" s="412"/>
      <c r="BIW192" s="412"/>
      <c r="BIX192" s="412"/>
      <c r="BIY192" s="412"/>
      <c r="BIZ192" s="412"/>
      <c r="BJA192" s="412"/>
      <c r="BJB192" s="412"/>
      <c r="BJC192" s="412"/>
      <c r="BJD192" s="412"/>
      <c r="BJE192" s="412"/>
      <c r="BJF192" s="412"/>
      <c r="BJG192" s="412"/>
      <c r="BJH192" s="412"/>
      <c r="BJI192" s="412"/>
      <c r="BJJ192" s="412"/>
      <c r="BJK192" s="412"/>
      <c r="BJL192" s="412"/>
      <c r="BJM192" s="412"/>
      <c r="BJN192" s="412"/>
      <c r="BJO192" s="412"/>
      <c r="BJP192" s="412"/>
      <c r="BJQ192" s="412"/>
      <c r="BJR192" s="412"/>
      <c r="BJS192" s="412"/>
      <c r="BJT192" s="412"/>
      <c r="BJU192" s="412"/>
      <c r="BJV192" s="412"/>
      <c r="BJW192" s="412"/>
      <c r="BJX192" s="412"/>
      <c r="BJY192" s="412"/>
      <c r="BJZ192" s="412"/>
      <c r="BKA192" s="412"/>
      <c r="BKB192" s="412"/>
      <c r="BKC192" s="412"/>
      <c r="BKD192" s="412"/>
      <c r="BKE192" s="412"/>
      <c r="BKF192" s="412"/>
      <c r="BKG192" s="412"/>
      <c r="BKH192" s="412"/>
      <c r="BKI192" s="412"/>
      <c r="BKJ192" s="412"/>
      <c r="BKK192" s="412"/>
      <c r="BKL192" s="412"/>
      <c r="BKM192" s="412"/>
      <c r="BKN192" s="412"/>
      <c r="BKO192" s="412"/>
      <c r="BKP192" s="412"/>
      <c r="BKQ192" s="412"/>
      <c r="BKR192" s="412"/>
      <c r="BKS192" s="412"/>
      <c r="BKT192" s="412"/>
      <c r="BKU192" s="412"/>
      <c r="BKV192" s="412"/>
      <c r="BKW192" s="412"/>
      <c r="BKX192" s="412"/>
      <c r="BKY192" s="412"/>
      <c r="BKZ192" s="412"/>
      <c r="BLA192" s="412"/>
      <c r="BLB192" s="412"/>
      <c r="BLC192" s="412"/>
      <c r="BLD192" s="412"/>
      <c r="BLE192" s="412"/>
      <c r="BLF192" s="412"/>
      <c r="BLG192" s="412"/>
      <c r="BLH192" s="412"/>
      <c r="BLI192" s="412"/>
      <c r="BLJ192" s="412"/>
      <c r="BLK192" s="412"/>
      <c r="BLL192" s="412"/>
      <c r="BLM192" s="412"/>
      <c r="BLN192" s="412"/>
      <c r="BLO192" s="412"/>
      <c r="BLP192" s="412"/>
      <c r="BLQ192" s="412"/>
      <c r="BLR192" s="412"/>
      <c r="BLS192" s="412"/>
      <c r="BLT192" s="412"/>
      <c r="BLU192" s="412"/>
      <c r="BLV192" s="412"/>
      <c r="BLW192" s="412"/>
      <c r="BLX192" s="412"/>
      <c r="BLY192" s="412"/>
      <c r="BLZ192" s="412"/>
      <c r="BMA192" s="412"/>
      <c r="BMB192" s="412"/>
      <c r="BMC192" s="412"/>
      <c r="BMD192" s="412"/>
      <c r="BME192" s="412"/>
      <c r="BMF192" s="412"/>
      <c r="BMG192" s="412"/>
      <c r="BMH192" s="412"/>
      <c r="BMI192" s="412"/>
      <c r="BMJ192" s="412"/>
      <c r="BMK192" s="412"/>
      <c r="BML192" s="412"/>
      <c r="BMM192" s="412"/>
      <c r="BMN192" s="412"/>
      <c r="BMO192" s="412"/>
      <c r="BMP192" s="412"/>
      <c r="BMQ192" s="412"/>
      <c r="BMR192" s="412"/>
      <c r="BMS192" s="412"/>
      <c r="BMT192" s="412"/>
      <c r="BMU192" s="412"/>
      <c r="BMV192" s="412"/>
      <c r="BMW192" s="412"/>
      <c r="BMX192" s="412"/>
      <c r="BMY192" s="412"/>
      <c r="BMZ192" s="412"/>
      <c r="BNA192" s="412"/>
      <c r="BNB192" s="412"/>
      <c r="BNC192" s="412"/>
      <c r="BND192" s="412"/>
      <c r="BNE192" s="412"/>
      <c r="BNF192" s="412"/>
      <c r="BNG192" s="412"/>
      <c r="BNH192" s="412"/>
      <c r="BNI192" s="412"/>
      <c r="BNJ192" s="412"/>
      <c r="BNK192" s="412"/>
      <c r="BNL192" s="412"/>
      <c r="BNM192" s="412"/>
      <c r="BNN192" s="412"/>
      <c r="BNO192" s="412"/>
      <c r="BNP192" s="412"/>
      <c r="BNQ192" s="412"/>
      <c r="BNR192" s="412"/>
      <c r="BNS192" s="412"/>
      <c r="BNT192" s="412"/>
      <c r="BNU192" s="412"/>
      <c r="BNV192" s="412"/>
      <c r="BNW192" s="412"/>
      <c r="BNX192" s="412"/>
      <c r="BNY192" s="412"/>
      <c r="BNZ192" s="412"/>
      <c r="BOA192" s="412"/>
      <c r="BOB192" s="412"/>
      <c r="BOC192" s="412"/>
      <c r="BOD192" s="412"/>
      <c r="BOE192" s="412"/>
      <c r="BOF192" s="412"/>
      <c r="BOG192" s="412"/>
      <c r="BOH192" s="412"/>
      <c r="BOI192" s="412"/>
      <c r="BOJ192" s="412"/>
      <c r="BOK192" s="412"/>
      <c r="BOL192" s="412"/>
      <c r="BOM192" s="412"/>
      <c r="BON192" s="412"/>
      <c r="BOO192" s="412"/>
      <c r="BOP192" s="412"/>
      <c r="BOQ192" s="412"/>
      <c r="BOR192" s="412"/>
      <c r="BOS192" s="412"/>
      <c r="BOT192" s="412"/>
      <c r="BOU192" s="412"/>
      <c r="BOV192" s="412"/>
      <c r="BOW192" s="412"/>
      <c r="BOX192" s="412"/>
      <c r="BOY192" s="412"/>
      <c r="BOZ192" s="412"/>
      <c r="BPA192" s="412"/>
      <c r="BPB192" s="412"/>
      <c r="BPC192" s="412"/>
      <c r="BPD192" s="412"/>
      <c r="BPE192" s="412"/>
      <c r="BPF192" s="412"/>
      <c r="BPG192" s="412"/>
      <c r="BPH192" s="412"/>
      <c r="BPI192" s="412"/>
      <c r="BPJ192" s="412"/>
      <c r="BPK192" s="412"/>
      <c r="BPL192" s="412"/>
      <c r="BPM192" s="412"/>
      <c r="BPN192" s="412"/>
      <c r="BPO192" s="412"/>
      <c r="BPP192" s="412"/>
      <c r="BPQ192" s="412"/>
      <c r="BPR192" s="412"/>
      <c r="BPS192" s="412"/>
      <c r="BPT192" s="412"/>
      <c r="BPU192" s="412"/>
      <c r="BPV192" s="412"/>
      <c r="BPW192" s="412"/>
      <c r="BPX192" s="412"/>
      <c r="BPY192" s="412"/>
      <c r="BPZ192" s="412"/>
      <c r="BQA192" s="412"/>
      <c r="BQB192" s="412"/>
      <c r="BQC192" s="412"/>
      <c r="BQD192" s="412"/>
      <c r="BQE192" s="412"/>
      <c r="BQF192" s="412"/>
      <c r="BQG192" s="412"/>
      <c r="BQH192" s="412"/>
      <c r="BQI192" s="412"/>
      <c r="BQJ192" s="412"/>
      <c r="BQK192" s="412"/>
      <c r="BQL192" s="412"/>
      <c r="BQM192" s="412"/>
      <c r="BQN192" s="412"/>
      <c r="BQO192" s="412"/>
      <c r="BQP192" s="412"/>
      <c r="BQQ192" s="412"/>
      <c r="BQR192" s="412"/>
      <c r="BQS192" s="412"/>
      <c r="BQT192" s="412"/>
      <c r="BQU192" s="412"/>
      <c r="BQV192" s="412"/>
      <c r="BQW192" s="412"/>
      <c r="BQX192" s="412"/>
      <c r="BQY192" s="412"/>
      <c r="BQZ192" s="412"/>
      <c r="BRA192" s="412"/>
      <c r="BRB192" s="412"/>
      <c r="BRC192" s="412"/>
      <c r="BRD192" s="412"/>
      <c r="BRE192" s="412"/>
      <c r="BRF192" s="412"/>
      <c r="BRG192" s="412"/>
      <c r="BRH192" s="412"/>
      <c r="BRI192" s="412"/>
      <c r="BRJ192" s="412"/>
      <c r="BRK192" s="412"/>
      <c r="BRL192" s="412"/>
      <c r="BRM192" s="412"/>
      <c r="BRN192" s="412"/>
      <c r="BRO192" s="412"/>
      <c r="BRP192" s="412"/>
      <c r="BRQ192" s="412"/>
      <c r="BRR192" s="412"/>
      <c r="BRS192" s="412"/>
      <c r="BRT192" s="412"/>
      <c r="BRU192" s="412"/>
      <c r="BRV192" s="412"/>
      <c r="BRW192" s="412"/>
      <c r="BRX192" s="412"/>
      <c r="BRY192" s="412"/>
      <c r="BRZ192" s="412"/>
      <c r="BSA192" s="412"/>
      <c r="BSB192" s="412"/>
      <c r="BSC192" s="412"/>
      <c r="BSD192" s="412"/>
      <c r="BSE192" s="412"/>
      <c r="BSF192" s="412"/>
      <c r="BSG192" s="412"/>
      <c r="BSH192" s="412"/>
      <c r="BSI192" s="412"/>
      <c r="BSJ192" s="412"/>
      <c r="BSK192" s="412"/>
      <c r="BSL192" s="412"/>
      <c r="BSM192" s="412"/>
      <c r="BSN192" s="412"/>
      <c r="BSO192" s="412"/>
      <c r="BSP192" s="412"/>
      <c r="BSQ192" s="412"/>
      <c r="BSR192" s="412"/>
      <c r="BSS192" s="412"/>
      <c r="BST192" s="412"/>
      <c r="BSU192" s="412"/>
      <c r="BSV192" s="412"/>
      <c r="BSW192" s="412"/>
      <c r="BSX192" s="412"/>
      <c r="BSY192" s="412"/>
      <c r="BSZ192" s="412"/>
      <c r="BTA192" s="412"/>
      <c r="BTB192" s="412"/>
      <c r="BTC192" s="412"/>
      <c r="BTD192" s="412"/>
      <c r="BTE192" s="412"/>
      <c r="BTF192" s="412"/>
      <c r="BTG192" s="412"/>
      <c r="BTH192" s="412"/>
      <c r="BTI192" s="412"/>
    </row>
    <row r="193" spans="1:1881" s="320" customFormat="1" ht="24.75" customHeight="1" x14ac:dyDescent="0.25">
      <c r="A193" s="189"/>
      <c r="B193" s="182"/>
      <c r="C193" s="182"/>
      <c r="D193" s="170" t="s">
        <v>38</v>
      </c>
      <c r="E193" s="378" t="e">
        <f>SUM(E189:E192)</f>
        <v>#N/A</v>
      </c>
      <c r="F193" s="378">
        <f>SUM(F189:F192)</f>
        <v>0</v>
      </c>
      <c r="G193" s="319"/>
      <c r="H193" s="13"/>
      <c r="I193" s="31"/>
      <c r="J193" s="412"/>
      <c r="K193" s="412"/>
      <c r="L193" s="412"/>
      <c r="M193" s="412"/>
      <c r="N193"/>
      <c r="O193" s="412"/>
      <c r="P193" s="412"/>
      <c r="Q193" s="412"/>
      <c r="R193" s="412"/>
      <c r="S193" s="412"/>
      <c r="T193" s="412"/>
      <c r="U193" s="412"/>
      <c r="V193" s="412"/>
      <c r="W193" s="412"/>
      <c r="X193" s="412"/>
      <c r="Y193" s="412"/>
      <c r="Z193" s="412"/>
      <c r="AA193" s="412"/>
      <c r="AB193" s="412"/>
      <c r="AC193" s="412"/>
      <c r="AD193" s="412"/>
      <c r="AE193" s="412"/>
      <c r="AF193" s="412"/>
      <c r="AG193" s="412"/>
      <c r="AH193" s="412"/>
      <c r="AI193" s="412"/>
      <c r="AJ193" s="412"/>
      <c r="AK193" s="412"/>
      <c r="AL193" s="412"/>
      <c r="AM193" s="412"/>
      <c r="AN193" s="412"/>
      <c r="AO193" s="412"/>
      <c r="AP193" s="412"/>
      <c r="AQ193" s="412"/>
      <c r="AR193" s="412"/>
      <c r="AS193" s="412"/>
      <c r="AT193" s="412"/>
      <c r="AU193" s="412"/>
      <c r="AV193" s="412"/>
      <c r="AW193" s="412"/>
      <c r="AX193" s="412"/>
      <c r="AY193" s="412"/>
      <c r="AZ193" s="412"/>
      <c r="BA193" s="412"/>
      <c r="BB193" s="412"/>
      <c r="BC193" s="412"/>
      <c r="BD193" s="412"/>
      <c r="BE193" s="412"/>
      <c r="BF193" s="412"/>
      <c r="BG193" s="412"/>
      <c r="BH193" s="412"/>
      <c r="BI193" s="412"/>
      <c r="BJ193" s="412"/>
      <c r="BK193" s="412"/>
      <c r="BL193" s="412"/>
      <c r="BM193" s="412"/>
      <c r="BN193" s="412"/>
      <c r="BO193" s="412"/>
      <c r="BP193" s="412"/>
      <c r="BQ193" s="412"/>
      <c r="BR193" s="412"/>
      <c r="BS193" s="412"/>
      <c r="BT193" s="412"/>
      <c r="BU193" s="412"/>
      <c r="BV193" s="412"/>
      <c r="BW193" s="412"/>
      <c r="BX193" s="412"/>
      <c r="BY193" s="412"/>
      <c r="BZ193" s="412"/>
      <c r="CA193" s="412"/>
      <c r="CB193" s="412"/>
      <c r="CC193" s="412"/>
      <c r="CD193" s="412"/>
      <c r="CE193" s="412"/>
      <c r="CF193" s="412"/>
      <c r="CG193" s="412"/>
      <c r="CH193" s="412"/>
      <c r="CI193" s="412"/>
      <c r="CJ193" s="412"/>
      <c r="CK193" s="412"/>
      <c r="CL193" s="412"/>
      <c r="CM193" s="412"/>
      <c r="CN193" s="412"/>
      <c r="CO193" s="412"/>
      <c r="CP193" s="412"/>
      <c r="CQ193" s="412"/>
      <c r="CR193" s="412"/>
      <c r="CS193" s="412"/>
      <c r="CT193" s="412"/>
      <c r="CU193" s="412"/>
      <c r="CV193" s="412"/>
      <c r="CW193" s="412"/>
      <c r="CX193" s="412"/>
      <c r="CY193" s="412"/>
      <c r="CZ193" s="412"/>
      <c r="DA193" s="412"/>
      <c r="DB193" s="412"/>
      <c r="DC193" s="412"/>
      <c r="DD193" s="412"/>
      <c r="DE193" s="412"/>
      <c r="DF193" s="412"/>
      <c r="DG193" s="412"/>
      <c r="DH193" s="412"/>
      <c r="DI193" s="412"/>
      <c r="DJ193" s="412"/>
      <c r="DK193" s="412"/>
      <c r="DL193" s="412"/>
      <c r="DM193" s="412"/>
      <c r="DN193" s="412"/>
      <c r="DO193" s="412"/>
      <c r="DP193" s="412"/>
      <c r="DQ193" s="412"/>
      <c r="DR193" s="412"/>
      <c r="DS193" s="412"/>
      <c r="DT193" s="412"/>
      <c r="DU193" s="412"/>
      <c r="DV193" s="412"/>
      <c r="DW193" s="412"/>
      <c r="DX193" s="412"/>
      <c r="DY193" s="412"/>
      <c r="DZ193" s="412"/>
      <c r="EA193" s="412"/>
      <c r="EB193" s="412"/>
      <c r="EC193" s="412"/>
      <c r="ED193" s="412"/>
      <c r="EE193" s="412"/>
      <c r="EF193" s="412"/>
      <c r="EG193" s="412"/>
      <c r="EH193" s="412"/>
      <c r="EI193" s="412"/>
      <c r="EJ193" s="412"/>
      <c r="EK193" s="412"/>
      <c r="EL193" s="412"/>
      <c r="EM193" s="412"/>
      <c r="EN193" s="412"/>
      <c r="EO193" s="412"/>
      <c r="EP193" s="412"/>
      <c r="EQ193" s="412"/>
      <c r="ER193" s="412"/>
      <c r="ES193" s="412"/>
      <c r="ET193" s="412"/>
      <c r="EU193" s="412"/>
      <c r="EV193" s="412"/>
      <c r="EW193" s="412"/>
      <c r="EX193" s="412"/>
      <c r="EY193" s="412"/>
      <c r="EZ193" s="412"/>
      <c r="FA193" s="412"/>
      <c r="FB193" s="412"/>
      <c r="FC193" s="412"/>
      <c r="FD193" s="412"/>
      <c r="FE193" s="412"/>
      <c r="FF193" s="412"/>
      <c r="FG193" s="412"/>
      <c r="FH193" s="412"/>
      <c r="FI193" s="412"/>
      <c r="FJ193" s="412"/>
      <c r="FK193" s="412"/>
      <c r="FL193" s="412"/>
      <c r="FM193" s="412"/>
      <c r="FN193" s="412"/>
      <c r="FO193" s="412"/>
      <c r="FP193" s="412"/>
      <c r="FQ193" s="412"/>
      <c r="FR193" s="412"/>
      <c r="FS193" s="412"/>
      <c r="FT193" s="412"/>
      <c r="FU193" s="412"/>
      <c r="FV193" s="412"/>
      <c r="FW193" s="412"/>
      <c r="FX193" s="412"/>
      <c r="FY193" s="412"/>
      <c r="FZ193" s="412"/>
      <c r="GA193" s="412"/>
      <c r="GB193" s="412"/>
      <c r="GC193" s="412"/>
      <c r="GD193" s="412"/>
      <c r="GE193" s="412"/>
      <c r="GF193" s="412"/>
      <c r="GG193" s="412"/>
      <c r="GH193" s="412"/>
      <c r="GI193" s="412"/>
      <c r="GJ193" s="412"/>
      <c r="GK193" s="412"/>
      <c r="GL193" s="412"/>
      <c r="GM193" s="412"/>
      <c r="GN193" s="412"/>
      <c r="GO193" s="412"/>
      <c r="GP193" s="412"/>
      <c r="GQ193" s="412"/>
      <c r="GR193" s="412"/>
      <c r="GS193" s="412"/>
      <c r="GT193" s="412"/>
      <c r="GU193" s="412"/>
      <c r="GV193" s="412"/>
      <c r="GW193" s="412"/>
      <c r="GX193" s="412"/>
      <c r="GY193" s="412"/>
      <c r="GZ193" s="412"/>
      <c r="HA193" s="412"/>
      <c r="HB193" s="412"/>
      <c r="HC193" s="412"/>
      <c r="HD193" s="412"/>
      <c r="HE193" s="412"/>
      <c r="HF193" s="412"/>
      <c r="HG193" s="412"/>
      <c r="HH193" s="412"/>
      <c r="HI193" s="412"/>
      <c r="HJ193" s="412"/>
      <c r="HK193" s="412"/>
      <c r="HL193" s="412"/>
      <c r="HM193" s="412"/>
      <c r="HN193" s="412"/>
      <c r="HO193" s="412"/>
      <c r="HP193" s="412"/>
      <c r="HQ193" s="412"/>
      <c r="HR193" s="412"/>
      <c r="HS193" s="412"/>
      <c r="HT193" s="412"/>
      <c r="HU193" s="412"/>
      <c r="HV193" s="412"/>
      <c r="HW193" s="412"/>
      <c r="HX193" s="412"/>
      <c r="HY193" s="412"/>
      <c r="HZ193" s="412"/>
      <c r="IA193" s="412"/>
      <c r="IB193" s="412"/>
      <c r="IC193" s="412"/>
      <c r="ID193" s="412"/>
      <c r="IE193" s="412"/>
      <c r="IF193" s="412"/>
      <c r="IG193" s="412"/>
      <c r="IH193" s="412"/>
      <c r="II193" s="412"/>
      <c r="IJ193" s="412"/>
      <c r="IK193" s="412"/>
      <c r="IL193" s="412"/>
      <c r="IM193" s="412"/>
      <c r="IN193" s="412"/>
      <c r="IO193" s="412"/>
      <c r="IP193" s="412"/>
      <c r="IQ193" s="412"/>
      <c r="IR193" s="412"/>
      <c r="IS193" s="412"/>
      <c r="IT193" s="412"/>
      <c r="IU193" s="412"/>
      <c r="IV193" s="412"/>
      <c r="IW193" s="412"/>
      <c r="IX193" s="412"/>
      <c r="IY193" s="412"/>
      <c r="IZ193" s="412"/>
      <c r="JA193" s="412"/>
      <c r="JB193" s="412"/>
      <c r="JC193" s="412"/>
      <c r="JD193" s="412"/>
      <c r="JE193" s="412"/>
      <c r="JF193" s="412"/>
      <c r="JG193" s="412"/>
      <c r="JH193" s="412"/>
      <c r="JI193" s="412"/>
      <c r="JJ193" s="412"/>
      <c r="JK193" s="412"/>
      <c r="JL193" s="412"/>
      <c r="JM193" s="412"/>
      <c r="JN193" s="412"/>
      <c r="JO193" s="412"/>
      <c r="JP193" s="412"/>
      <c r="JQ193" s="412"/>
      <c r="JR193" s="412"/>
      <c r="JS193" s="412"/>
      <c r="JT193" s="412"/>
      <c r="JU193" s="412"/>
      <c r="JV193" s="412"/>
      <c r="JW193" s="412"/>
      <c r="JX193" s="412"/>
      <c r="JY193" s="412"/>
      <c r="JZ193" s="412"/>
      <c r="KA193" s="412"/>
      <c r="KB193" s="412"/>
      <c r="KC193" s="412"/>
      <c r="KD193" s="412"/>
      <c r="KE193" s="412"/>
      <c r="KF193" s="412"/>
      <c r="KG193" s="412"/>
      <c r="KH193" s="412"/>
      <c r="KI193" s="412"/>
      <c r="KJ193" s="412"/>
      <c r="KK193" s="412"/>
      <c r="KL193" s="412"/>
      <c r="KM193" s="412"/>
      <c r="KN193" s="412"/>
      <c r="KO193" s="412"/>
      <c r="KP193" s="412"/>
      <c r="KQ193" s="412"/>
      <c r="KR193" s="412"/>
      <c r="KS193" s="412"/>
      <c r="KT193" s="412"/>
      <c r="KU193" s="412"/>
      <c r="KV193" s="412"/>
      <c r="KW193" s="412"/>
      <c r="KX193" s="412"/>
      <c r="KY193" s="412"/>
      <c r="KZ193" s="412"/>
      <c r="LA193" s="412"/>
      <c r="LB193" s="412"/>
      <c r="LC193" s="412"/>
      <c r="LD193" s="412"/>
      <c r="LE193" s="412"/>
      <c r="LF193" s="412"/>
      <c r="LG193" s="412"/>
      <c r="LH193" s="412"/>
      <c r="LI193" s="412"/>
      <c r="LJ193" s="412"/>
      <c r="LK193" s="412"/>
      <c r="LL193" s="412"/>
      <c r="LM193" s="412"/>
      <c r="LN193" s="412"/>
      <c r="LO193" s="412"/>
      <c r="LP193" s="412"/>
      <c r="LQ193" s="412"/>
      <c r="LR193" s="412"/>
      <c r="LS193" s="412"/>
      <c r="LT193" s="412"/>
      <c r="LU193" s="412"/>
      <c r="LV193" s="412"/>
      <c r="LW193" s="412"/>
      <c r="LX193" s="412"/>
      <c r="LY193" s="412"/>
      <c r="LZ193" s="412"/>
      <c r="MA193" s="412"/>
      <c r="MB193" s="412"/>
      <c r="MC193" s="412"/>
      <c r="MD193" s="412"/>
      <c r="ME193" s="412"/>
      <c r="MF193" s="412"/>
      <c r="MG193" s="412"/>
      <c r="MH193" s="412"/>
      <c r="MI193" s="412"/>
      <c r="MJ193" s="412"/>
      <c r="MK193" s="412"/>
      <c r="ML193" s="412"/>
      <c r="MM193" s="412"/>
      <c r="MN193" s="412"/>
      <c r="MO193" s="412"/>
      <c r="MP193" s="412"/>
      <c r="MQ193" s="412"/>
      <c r="MR193" s="412"/>
      <c r="MS193" s="412"/>
      <c r="MT193" s="412"/>
      <c r="MU193" s="412"/>
      <c r="MV193" s="412"/>
      <c r="MW193" s="412"/>
      <c r="MX193" s="412"/>
      <c r="MY193" s="412"/>
      <c r="MZ193" s="412"/>
      <c r="NA193" s="412"/>
      <c r="NB193" s="412"/>
      <c r="NC193" s="412"/>
      <c r="ND193" s="412"/>
      <c r="NE193" s="412"/>
      <c r="NF193" s="412"/>
      <c r="NG193" s="412"/>
      <c r="NH193" s="412"/>
      <c r="NI193" s="412"/>
      <c r="NJ193" s="412"/>
      <c r="NK193" s="412"/>
      <c r="NL193" s="412"/>
      <c r="NM193" s="412"/>
      <c r="NN193" s="412"/>
      <c r="NO193" s="412"/>
      <c r="NP193" s="412"/>
      <c r="NQ193" s="412"/>
      <c r="NR193" s="412"/>
      <c r="NS193" s="412"/>
      <c r="NT193" s="412"/>
      <c r="NU193" s="412"/>
      <c r="NV193" s="412"/>
      <c r="NW193" s="412"/>
      <c r="NX193" s="412"/>
      <c r="NY193" s="412"/>
      <c r="NZ193" s="412"/>
      <c r="OA193" s="412"/>
      <c r="OB193" s="412"/>
      <c r="OC193" s="412"/>
      <c r="OD193" s="412"/>
      <c r="OE193" s="412"/>
      <c r="OF193" s="412"/>
      <c r="OG193" s="412"/>
      <c r="OH193" s="412"/>
      <c r="OI193" s="412"/>
      <c r="OJ193" s="412"/>
      <c r="OK193" s="412"/>
      <c r="OL193" s="412"/>
      <c r="OM193" s="412"/>
      <c r="ON193" s="412"/>
      <c r="OO193" s="412"/>
      <c r="OP193" s="412"/>
      <c r="OQ193" s="412"/>
      <c r="OR193" s="412"/>
      <c r="OS193" s="412"/>
      <c r="OT193" s="412"/>
      <c r="OU193" s="412"/>
      <c r="OV193" s="412"/>
      <c r="OW193" s="412"/>
      <c r="OX193" s="412"/>
      <c r="OY193" s="412"/>
      <c r="OZ193" s="412"/>
      <c r="PA193" s="412"/>
      <c r="PB193" s="412"/>
      <c r="PC193" s="412"/>
      <c r="PD193" s="412"/>
      <c r="PE193" s="412"/>
      <c r="PF193" s="412"/>
      <c r="PG193" s="412"/>
      <c r="PH193" s="412"/>
      <c r="PI193" s="412"/>
      <c r="PJ193" s="412"/>
      <c r="PK193" s="412"/>
      <c r="PL193" s="412"/>
      <c r="PM193" s="412"/>
      <c r="PN193" s="412"/>
      <c r="PO193" s="412"/>
      <c r="PP193" s="412"/>
      <c r="PQ193" s="412"/>
      <c r="PR193" s="412"/>
      <c r="PS193" s="412"/>
      <c r="PT193" s="412"/>
      <c r="PU193" s="412"/>
      <c r="PV193" s="412"/>
      <c r="PW193" s="412"/>
      <c r="PX193" s="412"/>
      <c r="PY193" s="412"/>
      <c r="PZ193" s="412"/>
      <c r="QA193" s="412"/>
      <c r="QB193" s="412"/>
      <c r="QC193" s="412"/>
      <c r="QD193" s="412"/>
      <c r="QE193" s="412"/>
      <c r="QF193" s="412"/>
      <c r="QG193" s="412"/>
      <c r="QH193" s="412"/>
      <c r="QI193" s="412"/>
      <c r="QJ193" s="412"/>
      <c r="QK193" s="412"/>
      <c r="QL193" s="412"/>
      <c r="QM193" s="412"/>
      <c r="QN193" s="412"/>
      <c r="QO193" s="412"/>
      <c r="QP193" s="412"/>
      <c r="QQ193" s="412"/>
      <c r="QR193" s="412"/>
      <c r="QS193" s="412"/>
      <c r="QT193" s="412"/>
      <c r="QU193" s="412"/>
      <c r="QV193" s="412"/>
      <c r="QW193" s="412"/>
      <c r="QX193" s="412"/>
      <c r="QY193" s="412"/>
      <c r="QZ193" s="412"/>
      <c r="RA193" s="412"/>
      <c r="RB193" s="412"/>
      <c r="RC193" s="412"/>
      <c r="RD193" s="412"/>
      <c r="RE193" s="412"/>
      <c r="RF193" s="412"/>
      <c r="RG193" s="412"/>
      <c r="RH193" s="412"/>
      <c r="RI193" s="412"/>
      <c r="RJ193" s="412"/>
      <c r="RK193" s="412"/>
      <c r="RL193" s="412"/>
      <c r="RM193" s="412"/>
      <c r="RN193" s="412"/>
      <c r="RO193" s="412"/>
      <c r="RP193" s="412"/>
      <c r="RQ193" s="412"/>
      <c r="RR193" s="412"/>
      <c r="RS193" s="412"/>
      <c r="RT193" s="412"/>
      <c r="RU193" s="412"/>
      <c r="RV193" s="412"/>
      <c r="RW193" s="412"/>
      <c r="RX193" s="412"/>
      <c r="RY193" s="412"/>
      <c r="RZ193" s="412"/>
      <c r="SA193" s="412"/>
      <c r="SB193" s="412"/>
      <c r="SC193" s="412"/>
      <c r="SD193" s="412"/>
      <c r="SE193" s="412"/>
      <c r="SF193" s="412"/>
      <c r="SG193" s="412"/>
      <c r="SH193" s="412"/>
      <c r="SI193" s="412"/>
      <c r="SJ193" s="412"/>
      <c r="SK193" s="412"/>
      <c r="SL193" s="412"/>
      <c r="SM193" s="412"/>
      <c r="SN193" s="412"/>
      <c r="SO193" s="412"/>
      <c r="SP193" s="412"/>
      <c r="SQ193" s="412"/>
      <c r="SR193" s="412"/>
      <c r="SS193" s="412"/>
      <c r="ST193" s="412"/>
      <c r="SU193" s="412"/>
      <c r="SV193" s="412"/>
      <c r="SW193" s="412"/>
      <c r="SX193" s="412"/>
      <c r="SY193" s="412"/>
      <c r="SZ193" s="412"/>
      <c r="TA193" s="412"/>
      <c r="TB193" s="412"/>
      <c r="TC193" s="412"/>
      <c r="TD193" s="412"/>
      <c r="TE193" s="412"/>
      <c r="TF193" s="412"/>
      <c r="TG193" s="412"/>
      <c r="TH193" s="412"/>
      <c r="TI193" s="412"/>
      <c r="TJ193" s="412"/>
      <c r="TK193" s="412"/>
      <c r="TL193" s="412"/>
      <c r="TM193" s="412"/>
      <c r="TN193" s="412"/>
      <c r="TO193" s="412"/>
      <c r="TP193" s="412"/>
      <c r="TQ193" s="412"/>
      <c r="TR193" s="412"/>
      <c r="TS193" s="412"/>
      <c r="TT193" s="412"/>
      <c r="TU193" s="412"/>
      <c r="TV193" s="412"/>
      <c r="TW193" s="412"/>
      <c r="TX193" s="412"/>
      <c r="TY193" s="412"/>
      <c r="TZ193" s="412"/>
      <c r="UA193" s="412"/>
      <c r="UB193" s="412"/>
      <c r="UC193" s="412"/>
      <c r="UD193" s="412"/>
      <c r="UE193" s="412"/>
      <c r="UF193" s="412"/>
      <c r="UG193" s="412"/>
      <c r="UH193" s="412"/>
      <c r="UI193" s="412"/>
      <c r="UJ193" s="412"/>
      <c r="UK193" s="412"/>
      <c r="UL193" s="412"/>
      <c r="UM193" s="412"/>
      <c r="UN193" s="412"/>
      <c r="UO193" s="412"/>
      <c r="UP193" s="412"/>
      <c r="UQ193" s="412"/>
      <c r="UR193" s="412"/>
      <c r="US193" s="412"/>
      <c r="UT193" s="412"/>
      <c r="UU193" s="412"/>
      <c r="UV193" s="412"/>
      <c r="UW193" s="412"/>
      <c r="UX193" s="412"/>
      <c r="UY193" s="412"/>
      <c r="UZ193" s="412"/>
      <c r="VA193" s="412"/>
      <c r="VB193" s="412"/>
      <c r="VC193" s="412"/>
      <c r="VD193" s="412"/>
      <c r="VE193" s="412"/>
      <c r="VF193" s="412"/>
      <c r="VG193" s="412"/>
      <c r="VH193" s="412"/>
      <c r="VI193" s="412"/>
      <c r="VJ193" s="412"/>
      <c r="VK193" s="412"/>
      <c r="VL193" s="412"/>
      <c r="VM193" s="412"/>
      <c r="VN193" s="412"/>
      <c r="VO193" s="412"/>
      <c r="VP193" s="412"/>
      <c r="VQ193" s="412"/>
      <c r="VR193" s="412"/>
      <c r="VS193" s="412"/>
      <c r="VT193" s="412"/>
      <c r="VU193" s="412"/>
      <c r="VV193" s="412"/>
      <c r="VW193" s="412"/>
      <c r="VX193" s="412"/>
      <c r="VY193" s="412"/>
      <c r="VZ193" s="412"/>
      <c r="WA193" s="412"/>
      <c r="WB193" s="412"/>
      <c r="WC193" s="412"/>
      <c r="WD193" s="412"/>
      <c r="WE193" s="412"/>
      <c r="WF193" s="412"/>
      <c r="WG193" s="412"/>
      <c r="WH193" s="412"/>
      <c r="WI193" s="412"/>
      <c r="WJ193" s="412"/>
      <c r="WK193" s="412"/>
      <c r="WL193" s="412"/>
      <c r="WM193" s="412"/>
      <c r="WN193" s="412"/>
      <c r="WO193" s="412"/>
      <c r="WP193" s="412"/>
      <c r="WQ193" s="412"/>
      <c r="WR193" s="412"/>
      <c r="WS193" s="412"/>
      <c r="WT193" s="412"/>
      <c r="WU193" s="412"/>
      <c r="WV193" s="412"/>
      <c r="WW193" s="412"/>
      <c r="WX193" s="412"/>
      <c r="WY193" s="412"/>
      <c r="WZ193" s="412"/>
      <c r="XA193" s="412"/>
      <c r="XB193" s="412"/>
      <c r="XC193" s="412"/>
      <c r="XD193" s="412"/>
      <c r="XE193" s="412"/>
      <c r="XF193" s="412"/>
      <c r="XG193" s="412"/>
      <c r="XH193" s="412"/>
      <c r="XI193" s="412"/>
      <c r="XJ193" s="412"/>
      <c r="XK193" s="412"/>
      <c r="XL193" s="412"/>
      <c r="XM193" s="412"/>
      <c r="XN193" s="412"/>
      <c r="XO193" s="412"/>
      <c r="XP193" s="412"/>
      <c r="XQ193" s="412"/>
      <c r="XR193" s="412"/>
      <c r="XS193" s="412"/>
      <c r="XT193" s="412"/>
      <c r="XU193" s="412"/>
      <c r="XV193" s="412"/>
      <c r="XW193" s="412"/>
      <c r="XX193" s="412"/>
      <c r="XY193" s="412"/>
      <c r="XZ193" s="412"/>
      <c r="YA193" s="412"/>
      <c r="YB193" s="412"/>
      <c r="YC193" s="412"/>
      <c r="YD193" s="412"/>
      <c r="YE193" s="412"/>
      <c r="YF193" s="412"/>
      <c r="YG193" s="412"/>
      <c r="YH193" s="412"/>
      <c r="YI193" s="412"/>
      <c r="YJ193" s="412"/>
      <c r="YK193" s="412"/>
      <c r="YL193" s="412"/>
      <c r="YM193" s="412"/>
      <c r="YN193" s="412"/>
      <c r="YO193" s="412"/>
      <c r="YP193" s="412"/>
      <c r="YQ193" s="412"/>
      <c r="YR193" s="412"/>
      <c r="YS193" s="412"/>
      <c r="YT193" s="412"/>
      <c r="YU193" s="412"/>
      <c r="YV193" s="412"/>
      <c r="YW193" s="412"/>
      <c r="YX193" s="412"/>
      <c r="YY193" s="412"/>
      <c r="YZ193" s="412"/>
      <c r="ZA193" s="412"/>
      <c r="ZB193" s="412"/>
      <c r="ZC193" s="412"/>
      <c r="ZD193" s="412"/>
      <c r="ZE193" s="412"/>
      <c r="ZF193" s="412"/>
      <c r="ZG193" s="412"/>
      <c r="ZH193" s="412"/>
      <c r="ZI193" s="412"/>
      <c r="ZJ193" s="412"/>
      <c r="ZK193" s="412"/>
      <c r="ZL193" s="412"/>
      <c r="ZM193" s="412"/>
      <c r="ZN193" s="412"/>
      <c r="ZO193" s="412"/>
      <c r="ZP193" s="412"/>
      <c r="ZQ193" s="412"/>
      <c r="ZR193" s="412"/>
      <c r="ZS193" s="412"/>
      <c r="ZT193" s="412"/>
      <c r="ZU193" s="412"/>
      <c r="ZV193" s="412"/>
      <c r="ZW193" s="412"/>
      <c r="ZX193" s="412"/>
      <c r="ZY193" s="412"/>
      <c r="ZZ193" s="412"/>
      <c r="AAA193" s="412"/>
      <c r="AAB193" s="412"/>
      <c r="AAC193" s="412"/>
      <c r="AAD193" s="412"/>
      <c r="AAE193" s="412"/>
      <c r="AAF193" s="412"/>
      <c r="AAG193" s="412"/>
      <c r="AAH193" s="412"/>
      <c r="AAI193" s="412"/>
      <c r="AAJ193" s="412"/>
      <c r="AAK193" s="412"/>
      <c r="AAL193" s="412"/>
      <c r="AAM193" s="412"/>
      <c r="AAN193" s="412"/>
      <c r="AAO193" s="412"/>
      <c r="AAP193" s="412"/>
      <c r="AAQ193" s="412"/>
      <c r="AAR193" s="412"/>
      <c r="AAS193" s="412"/>
      <c r="AAT193" s="412"/>
      <c r="AAU193" s="412"/>
      <c r="AAV193" s="412"/>
      <c r="AAW193" s="412"/>
      <c r="AAX193" s="412"/>
      <c r="AAY193" s="412"/>
      <c r="AAZ193" s="412"/>
      <c r="ABA193" s="412"/>
      <c r="ABB193" s="412"/>
      <c r="ABC193" s="412"/>
      <c r="ABD193" s="412"/>
      <c r="ABE193" s="412"/>
      <c r="ABF193" s="412"/>
      <c r="ABG193" s="412"/>
      <c r="ABH193" s="412"/>
      <c r="ABI193" s="412"/>
      <c r="ABJ193" s="412"/>
      <c r="ABK193" s="412"/>
      <c r="ABL193" s="412"/>
      <c r="ABM193" s="412"/>
      <c r="ABN193" s="412"/>
      <c r="ABO193" s="412"/>
      <c r="ABP193" s="412"/>
      <c r="ABQ193" s="412"/>
      <c r="ABR193" s="412"/>
      <c r="ABS193" s="412"/>
      <c r="ABT193" s="412"/>
      <c r="ABU193" s="412"/>
      <c r="ABV193" s="412"/>
      <c r="ABW193" s="412"/>
      <c r="ABX193" s="412"/>
      <c r="ABY193" s="412"/>
      <c r="ABZ193" s="412"/>
      <c r="ACA193" s="412"/>
      <c r="ACB193" s="412"/>
      <c r="ACC193" s="412"/>
      <c r="ACD193" s="412"/>
      <c r="ACE193" s="412"/>
      <c r="ACF193" s="412"/>
      <c r="ACG193" s="412"/>
      <c r="ACH193" s="412"/>
      <c r="ACI193" s="412"/>
      <c r="ACJ193" s="412"/>
      <c r="ACK193" s="412"/>
      <c r="ACL193" s="412"/>
      <c r="ACM193" s="412"/>
      <c r="ACN193" s="412"/>
      <c r="ACO193" s="412"/>
      <c r="ACP193" s="412"/>
      <c r="ACQ193" s="412"/>
      <c r="ACR193" s="412"/>
      <c r="ACS193" s="412"/>
      <c r="ACT193" s="412"/>
      <c r="ACU193" s="412"/>
      <c r="ACV193" s="412"/>
      <c r="ACW193" s="412"/>
      <c r="ACX193" s="412"/>
      <c r="ACY193" s="412"/>
      <c r="ACZ193" s="412"/>
      <c r="ADA193" s="412"/>
      <c r="ADB193" s="412"/>
      <c r="ADC193" s="412"/>
      <c r="ADD193" s="412"/>
      <c r="ADE193" s="412"/>
      <c r="ADF193" s="412"/>
      <c r="ADG193" s="412"/>
      <c r="ADH193" s="412"/>
      <c r="ADI193" s="412"/>
      <c r="ADJ193" s="412"/>
      <c r="ADK193" s="412"/>
      <c r="ADL193" s="412"/>
      <c r="ADM193" s="412"/>
      <c r="ADN193" s="412"/>
      <c r="ADO193" s="412"/>
      <c r="ADP193" s="412"/>
      <c r="ADQ193" s="412"/>
      <c r="ADR193" s="412"/>
      <c r="ADS193" s="412"/>
      <c r="ADT193" s="412"/>
      <c r="ADU193" s="412"/>
      <c r="ADV193" s="412"/>
      <c r="ADW193" s="412"/>
      <c r="ADX193" s="412"/>
      <c r="ADY193" s="412"/>
      <c r="ADZ193" s="412"/>
      <c r="AEA193" s="412"/>
      <c r="AEB193" s="412"/>
      <c r="AEC193" s="412"/>
      <c r="AED193" s="412"/>
      <c r="AEE193" s="412"/>
      <c r="AEF193" s="412"/>
      <c r="AEG193" s="412"/>
      <c r="AEH193" s="412"/>
      <c r="AEI193" s="412"/>
      <c r="AEJ193" s="412"/>
      <c r="AEK193" s="412"/>
      <c r="AEL193" s="412"/>
      <c r="AEM193" s="412"/>
      <c r="AEN193" s="412"/>
      <c r="AEO193" s="412"/>
      <c r="AEP193" s="412"/>
      <c r="AEQ193" s="412"/>
      <c r="AER193" s="412"/>
      <c r="AES193" s="412"/>
      <c r="AET193" s="412"/>
      <c r="AEU193" s="412"/>
      <c r="AEV193" s="412"/>
      <c r="AEW193" s="412"/>
      <c r="AEX193" s="412"/>
      <c r="AEY193" s="412"/>
      <c r="AEZ193" s="412"/>
      <c r="AFA193" s="412"/>
      <c r="AFB193" s="412"/>
      <c r="AFC193" s="412"/>
      <c r="AFD193" s="412"/>
      <c r="AFE193" s="412"/>
      <c r="AFF193" s="412"/>
      <c r="AFG193" s="412"/>
      <c r="AFH193" s="412"/>
      <c r="AFI193" s="412"/>
      <c r="AFJ193" s="412"/>
      <c r="AFK193" s="412"/>
      <c r="AFL193" s="412"/>
      <c r="AFM193" s="412"/>
      <c r="AFN193" s="412"/>
      <c r="AFO193" s="412"/>
      <c r="AFP193" s="412"/>
      <c r="AFQ193" s="412"/>
      <c r="AFR193" s="412"/>
      <c r="AFS193" s="412"/>
      <c r="AFT193" s="412"/>
      <c r="AFU193" s="412"/>
      <c r="AFV193" s="412"/>
      <c r="AFW193" s="412"/>
      <c r="AFX193" s="412"/>
      <c r="AFY193" s="412"/>
      <c r="AFZ193" s="412"/>
      <c r="AGA193" s="412"/>
      <c r="AGB193" s="412"/>
      <c r="AGC193" s="412"/>
      <c r="AGD193" s="412"/>
      <c r="AGE193" s="412"/>
      <c r="AGF193" s="412"/>
      <c r="AGG193" s="412"/>
      <c r="AGH193" s="412"/>
      <c r="AGI193" s="412"/>
      <c r="AGJ193" s="412"/>
      <c r="AGK193" s="412"/>
      <c r="AGL193" s="412"/>
      <c r="AGM193" s="412"/>
      <c r="AGN193" s="412"/>
      <c r="AGO193" s="412"/>
      <c r="AGP193" s="412"/>
      <c r="AGQ193" s="412"/>
      <c r="AGR193" s="412"/>
      <c r="AGS193" s="412"/>
      <c r="AGT193" s="412"/>
      <c r="AGU193" s="412"/>
      <c r="AGV193" s="412"/>
      <c r="AGW193" s="412"/>
      <c r="AGX193" s="412"/>
      <c r="AGY193" s="412"/>
      <c r="AGZ193" s="412"/>
      <c r="AHA193" s="412"/>
      <c r="AHB193" s="412"/>
      <c r="AHC193" s="412"/>
      <c r="AHD193" s="412"/>
      <c r="AHE193" s="412"/>
      <c r="AHF193" s="412"/>
      <c r="AHG193" s="412"/>
      <c r="AHH193" s="412"/>
      <c r="AHI193" s="412"/>
      <c r="AHJ193" s="412"/>
      <c r="AHK193" s="412"/>
      <c r="AHL193" s="412"/>
      <c r="AHM193" s="412"/>
      <c r="AHN193" s="412"/>
      <c r="AHO193" s="412"/>
      <c r="AHP193" s="412"/>
      <c r="AHQ193" s="412"/>
      <c r="AHR193" s="412"/>
      <c r="AHS193" s="412"/>
      <c r="AHT193" s="412"/>
      <c r="AHU193" s="412"/>
      <c r="AHV193" s="412"/>
      <c r="AHW193" s="412"/>
      <c r="AHX193" s="412"/>
      <c r="AHY193" s="412"/>
      <c r="AHZ193" s="412"/>
      <c r="AIA193" s="412"/>
      <c r="AIB193" s="412"/>
      <c r="AIC193" s="412"/>
      <c r="AID193" s="412"/>
      <c r="AIE193" s="412"/>
      <c r="AIF193" s="412"/>
      <c r="AIG193" s="412"/>
      <c r="AIH193" s="412"/>
      <c r="AII193" s="412"/>
      <c r="AIJ193" s="412"/>
      <c r="AIK193" s="412"/>
      <c r="AIL193" s="412"/>
      <c r="AIM193" s="412"/>
      <c r="AIN193" s="412"/>
      <c r="AIO193" s="412"/>
      <c r="AIP193" s="412"/>
      <c r="AIQ193" s="412"/>
      <c r="AIR193" s="412"/>
      <c r="AIS193" s="412"/>
      <c r="AIT193" s="412"/>
      <c r="AIU193" s="412"/>
      <c r="AIV193" s="412"/>
      <c r="AIW193" s="412"/>
      <c r="AIX193" s="412"/>
      <c r="AIY193" s="412"/>
      <c r="AIZ193" s="412"/>
      <c r="AJA193" s="412"/>
      <c r="AJB193" s="412"/>
      <c r="AJC193" s="412"/>
      <c r="AJD193" s="412"/>
      <c r="AJE193" s="412"/>
      <c r="AJF193" s="412"/>
      <c r="AJG193" s="412"/>
      <c r="AJH193" s="412"/>
      <c r="AJI193" s="412"/>
      <c r="AJJ193" s="412"/>
      <c r="AJK193" s="412"/>
      <c r="AJL193" s="412"/>
      <c r="AJM193" s="412"/>
      <c r="AJN193" s="412"/>
      <c r="AJO193" s="412"/>
      <c r="AJP193" s="412"/>
      <c r="AJQ193" s="412"/>
      <c r="AJR193" s="412"/>
      <c r="AJS193" s="412"/>
      <c r="AJT193" s="412"/>
      <c r="AJU193" s="412"/>
      <c r="AJV193" s="412"/>
      <c r="AJW193" s="412"/>
      <c r="AJX193" s="412"/>
      <c r="AJY193" s="412"/>
      <c r="AJZ193" s="412"/>
      <c r="AKA193" s="412"/>
      <c r="AKB193" s="412"/>
      <c r="AKC193" s="412"/>
      <c r="AKD193" s="412"/>
      <c r="AKE193" s="412"/>
      <c r="AKF193" s="412"/>
      <c r="AKG193" s="412"/>
      <c r="AKH193" s="412"/>
      <c r="AKI193" s="412"/>
      <c r="AKJ193" s="412"/>
      <c r="AKK193" s="412"/>
      <c r="AKL193" s="412"/>
      <c r="AKM193" s="412"/>
      <c r="AKN193" s="412"/>
      <c r="AKO193" s="412"/>
      <c r="AKP193" s="412"/>
      <c r="AKQ193" s="412"/>
      <c r="AKR193" s="412"/>
      <c r="AKS193" s="412"/>
      <c r="AKT193" s="412"/>
      <c r="AKU193" s="412"/>
      <c r="AKV193" s="412"/>
      <c r="AKW193" s="412"/>
      <c r="AKX193" s="412"/>
      <c r="AKY193" s="412"/>
      <c r="AKZ193" s="412"/>
      <c r="ALA193" s="412"/>
      <c r="ALB193" s="412"/>
      <c r="ALC193" s="412"/>
      <c r="ALD193" s="412"/>
      <c r="ALE193" s="412"/>
      <c r="ALF193" s="412"/>
      <c r="ALG193" s="412"/>
      <c r="ALH193" s="412"/>
      <c r="ALI193" s="412"/>
      <c r="ALJ193" s="412"/>
      <c r="ALK193" s="412"/>
      <c r="ALL193" s="412"/>
      <c r="ALM193" s="412"/>
      <c r="ALN193" s="412"/>
      <c r="ALO193" s="412"/>
      <c r="ALP193" s="412"/>
      <c r="ALQ193" s="412"/>
      <c r="ALR193" s="412"/>
      <c r="ALS193" s="412"/>
      <c r="ALT193" s="412"/>
      <c r="ALU193" s="412"/>
      <c r="ALV193" s="412"/>
      <c r="ALW193" s="412"/>
      <c r="ALX193" s="412"/>
      <c r="ALY193" s="412"/>
      <c r="ALZ193" s="412"/>
      <c r="AMA193" s="412"/>
      <c r="AMB193" s="412"/>
      <c r="AMC193" s="412"/>
      <c r="AMD193" s="412"/>
      <c r="AME193" s="412"/>
      <c r="AMF193" s="412"/>
      <c r="AMG193" s="412"/>
      <c r="AMH193" s="412"/>
      <c r="AMI193" s="412"/>
      <c r="AMJ193" s="412"/>
      <c r="AMK193" s="412"/>
      <c r="AML193" s="412"/>
      <c r="AMM193" s="412"/>
      <c r="AMN193" s="412"/>
      <c r="AMO193" s="412"/>
      <c r="AMP193" s="412"/>
      <c r="AMQ193" s="412"/>
      <c r="AMR193" s="412"/>
      <c r="AMS193" s="412"/>
      <c r="AMT193" s="412"/>
      <c r="AMU193" s="412"/>
      <c r="AMV193" s="412"/>
      <c r="AMW193" s="412"/>
      <c r="AMX193" s="412"/>
      <c r="AMY193" s="412"/>
      <c r="AMZ193" s="412"/>
      <c r="ANA193" s="412"/>
      <c r="ANB193" s="412"/>
      <c r="ANC193" s="412"/>
      <c r="AND193" s="412"/>
      <c r="ANE193" s="412"/>
      <c r="ANF193" s="412"/>
      <c r="ANG193" s="412"/>
      <c r="ANH193" s="412"/>
      <c r="ANI193" s="412"/>
      <c r="ANJ193" s="412"/>
      <c r="ANK193" s="412"/>
      <c r="ANL193" s="412"/>
      <c r="ANM193" s="412"/>
      <c r="ANN193" s="412"/>
      <c r="ANO193" s="412"/>
      <c r="ANP193" s="412"/>
      <c r="ANQ193" s="412"/>
      <c r="ANR193" s="412"/>
      <c r="ANS193" s="412"/>
      <c r="ANT193" s="412"/>
      <c r="ANU193" s="412"/>
      <c r="ANV193" s="412"/>
      <c r="ANW193" s="412"/>
      <c r="ANX193" s="412"/>
      <c r="ANY193" s="412"/>
      <c r="ANZ193" s="412"/>
      <c r="AOA193" s="412"/>
      <c r="AOB193" s="412"/>
      <c r="AOC193" s="412"/>
      <c r="AOD193" s="412"/>
      <c r="AOE193" s="412"/>
      <c r="AOF193" s="412"/>
      <c r="AOG193" s="412"/>
      <c r="AOH193" s="412"/>
      <c r="AOI193" s="412"/>
      <c r="AOJ193" s="412"/>
      <c r="AOK193" s="412"/>
      <c r="AOL193" s="412"/>
      <c r="AOM193" s="412"/>
      <c r="AON193" s="412"/>
      <c r="AOO193" s="412"/>
      <c r="AOP193" s="412"/>
      <c r="AOQ193" s="412"/>
      <c r="AOR193" s="412"/>
      <c r="AOS193" s="412"/>
      <c r="AOT193" s="412"/>
      <c r="AOU193" s="412"/>
      <c r="AOV193" s="412"/>
      <c r="AOW193" s="412"/>
      <c r="AOX193" s="412"/>
      <c r="AOY193" s="412"/>
      <c r="AOZ193" s="412"/>
      <c r="APA193" s="412"/>
      <c r="APB193" s="412"/>
      <c r="APC193" s="412"/>
      <c r="APD193" s="412"/>
      <c r="APE193" s="412"/>
      <c r="APF193" s="412"/>
      <c r="APG193" s="412"/>
      <c r="APH193" s="412"/>
      <c r="API193" s="412"/>
      <c r="APJ193" s="412"/>
      <c r="APK193" s="412"/>
      <c r="APL193" s="412"/>
      <c r="APM193" s="412"/>
      <c r="APN193" s="412"/>
      <c r="APO193" s="412"/>
      <c r="APP193" s="412"/>
      <c r="APQ193" s="412"/>
      <c r="APR193" s="412"/>
      <c r="APS193" s="412"/>
      <c r="APT193" s="412"/>
      <c r="APU193" s="412"/>
      <c r="APV193" s="412"/>
      <c r="APW193" s="412"/>
      <c r="APX193" s="412"/>
      <c r="APY193" s="412"/>
      <c r="APZ193" s="412"/>
      <c r="AQA193" s="412"/>
      <c r="AQB193" s="412"/>
      <c r="AQC193" s="412"/>
      <c r="AQD193" s="412"/>
      <c r="AQE193" s="412"/>
      <c r="AQF193" s="412"/>
      <c r="AQG193" s="412"/>
      <c r="AQH193" s="412"/>
      <c r="AQI193" s="412"/>
      <c r="AQJ193" s="412"/>
      <c r="AQK193" s="412"/>
      <c r="AQL193" s="412"/>
      <c r="AQM193" s="412"/>
      <c r="AQN193" s="412"/>
      <c r="AQO193" s="412"/>
      <c r="AQP193" s="412"/>
      <c r="AQQ193" s="412"/>
      <c r="AQR193" s="412"/>
      <c r="AQS193" s="412"/>
      <c r="AQT193" s="412"/>
      <c r="AQU193" s="412"/>
      <c r="AQV193" s="412"/>
      <c r="AQW193" s="412"/>
      <c r="AQX193" s="412"/>
      <c r="AQY193" s="412"/>
      <c r="AQZ193" s="412"/>
      <c r="ARA193" s="412"/>
      <c r="ARB193" s="412"/>
      <c r="ARC193" s="412"/>
      <c r="ARD193" s="412"/>
      <c r="ARE193" s="412"/>
      <c r="ARF193" s="412"/>
      <c r="ARG193" s="412"/>
      <c r="ARH193" s="412"/>
      <c r="ARI193" s="412"/>
      <c r="ARJ193" s="412"/>
      <c r="ARK193" s="412"/>
      <c r="ARL193" s="412"/>
      <c r="ARM193" s="412"/>
      <c r="ARN193" s="412"/>
      <c r="ARO193" s="412"/>
      <c r="ARP193" s="412"/>
      <c r="ARQ193" s="412"/>
      <c r="ARR193" s="412"/>
      <c r="ARS193" s="412"/>
      <c r="ART193" s="412"/>
      <c r="ARU193" s="412"/>
      <c r="ARV193" s="412"/>
      <c r="ARW193" s="412"/>
      <c r="ARX193" s="412"/>
      <c r="ARY193" s="412"/>
      <c r="ARZ193" s="412"/>
      <c r="ASA193" s="412"/>
      <c r="ASB193" s="412"/>
      <c r="ASC193" s="412"/>
      <c r="ASD193" s="412"/>
      <c r="ASE193" s="412"/>
      <c r="ASF193" s="412"/>
      <c r="ASG193" s="412"/>
      <c r="ASH193" s="412"/>
      <c r="ASI193" s="412"/>
      <c r="ASJ193" s="412"/>
      <c r="ASK193" s="412"/>
      <c r="ASL193" s="412"/>
      <c r="ASM193" s="412"/>
      <c r="ASN193" s="412"/>
      <c r="ASO193" s="412"/>
      <c r="ASP193" s="412"/>
      <c r="ASQ193" s="412"/>
      <c r="ASR193" s="412"/>
      <c r="ASS193" s="412"/>
      <c r="AST193" s="412"/>
      <c r="ASU193" s="412"/>
      <c r="ASV193" s="412"/>
      <c r="ASW193" s="412"/>
      <c r="ASX193" s="412"/>
      <c r="ASY193" s="412"/>
      <c r="ASZ193" s="412"/>
      <c r="ATA193" s="412"/>
      <c r="ATB193" s="412"/>
      <c r="ATC193" s="412"/>
      <c r="ATD193" s="412"/>
      <c r="ATE193" s="412"/>
      <c r="ATF193" s="412"/>
      <c r="ATG193" s="412"/>
      <c r="ATH193" s="412"/>
      <c r="ATI193" s="412"/>
      <c r="ATJ193" s="412"/>
      <c r="ATK193" s="412"/>
      <c r="ATL193" s="412"/>
      <c r="ATM193" s="412"/>
      <c r="ATN193" s="412"/>
      <c r="ATO193" s="412"/>
      <c r="ATP193" s="412"/>
      <c r="ATQ193" s="412"/>
      <c r="ATR193" s="412"/>
      <c r="ATS193" s="412"/>
      <c r="ATT193" s="412"/>
      <c r="ATU193" s="412"/>
      <c r="ATV193" s="412"/>
      <c r="ATW193" s="412"/>
      <c r="ATX193" s="412"/>
      <c r="ATY193" s="412"/>
      <c r="ATZ193" s="412"/>
      <c r="AUA193" s="412"/>
      <c r="AUB193" s="412"/>
      <c r="AUC193" s="412"/>
      <c r="AUD193" s="412"/>
      <c r="AUE193" s="412"/>
      <c r="AUF193" s="412"/>
      <c r="AUG193" s="412"/>
      <c r="AUH193" s="412"/>
      <c r="AUI193" s="412"/>
      <c r="AUJ193" s="412"/>
      <c r="AUK193" s="412"/>
      <c r="AUL193" s="412"/>
      <c r="AUM193" s="412"/>
      <c r="AUN193" s="412"/>
      <c r="AUO193" s="412"/>
      <c r="AUP193" s="412"/>
      <c r="AUQ193" s="412"/>
      <c r="AUR193" s="412"/>
      <c r="AUS193" s="412"/>
      <c r="AUT193" s="412"/>
      <c r="AUU193" s="412"/>
      <c r="AUV193" s="412"/>
      <c r="AUW193" s="412"/>
      <c r="AUX193" s="412"/>
      <c r="AUY193" s="412"/>
      <c r="AUZ193" s="412"/>
      <c r="AVA193" s="412"/>
      <c r="AVB193" s="412"/>
      <c r="AVC193" s="412"/>
      <c r="AVD193" s="412"/>
      <c r="AVE193" s="412"/>
      <c r="AVF193" s="412"/>
      <c r="AVG193" s="412"/>
      <c r="AVH193" s="412"/>
      <c r="AVI193" s="412"/>
      <c r="AVJ193" s="412"/>
      <c r="AVK193" s="412"/>
      <c r="AVL193" s="412"/>
      <c r="AVM193" s="412"/>
      <c r="AVN193" s="412"/>
      <c r="AVO193" s="412"/>
      <c r="AVP193" s="412"/>
      <c r="AVQ193" s="412"/>
      <c r="AVR193" s="412"/>
      <c r="AVS193" s="412"/>
      <c r="AVT193" s="412"/>
      <c r="AVU193" s="412"/>
      <c r="AVV193" s="412"/>
      <c r="AVW193" s="412"/>
      <c r="AVX193" s="412"/>
      <c r="AVY193" s="412"/>
      <c r="AVZ193" s="412"/>
      <c r="AWA193" s="412"/>
      <c r="AWB193" s="412"/>
      <c r="AWC193" s="412"/>
      <c r="AWD193" s="412"/>
      <c r="AWE193" s="412"/>
      <c r="AWF193" s="412"/>
      <c r="AWG193" s="412"/>
      <c r="AWH193" s="412"/>
      <c r="AWI193" s="412"/>
      <c r="AWJ193" s="412"/>
      <c r="AWK193" s="412"/>
      <c r="AWL193" s="412"/>
      <c r="AWM193" s="412"/>
      <c r="AWN193" s="412"/>
      <c r="AWO193" s="412"/>
      <c r="AWP193" s="412"/>
      <c r="AWQ193" s="412"/>
      <c r="AWR193" s="412"/>
      <c r="AWS193" s="412"/>
      <c r="AWT193" s="412"/>
      <c r="AWU193" s="412"/>
      <c r="AWV193" s="412"/>
      <c r="AWW193" s="412"/>
      <c r="AWX193" s="412"/>
      <c r="AWY193" s="412"/>
      <c r="AWZ193" s="412"/>
      <c r="AXA193" s="412"/>
      <c r="AXB193" s="412"/>
      <c r="AXC193" s="412"/>
      <c r="AXD193" s="412"/>
      <c r="AXE193" s="412"/>
      <c r="AXF193" s="412"/>
      <c r="AXG193" s="412"/>
      <c r="AXH193" s="412"/>
      <c r="AXI193" s="412"/>
      <c r="AXJ193" s="412"/>
      <c r="AXK193" s="412"/>
      <c r="AXL193" s="412"/>
      <c r="AXM193" s="412"/>
      <c r="AXN193" s="412"/>
      <c r="AXO193" s="412"/>
      <c r="AXP193" s="412"/>
      <c r="AXQ193" s="412"/>
      <c r="AXR193" s="412"/>
      <c r="AXS193" s="412"/>
      <c r="AXT193" s="412"/>
      <c r="AXU193" s="412"/>
      <c r="AXV193" s="412"/>
      <c r="AXW193" s="412"/>
      <c r="AXX193" s="412"/>
      <c r="AXY193" s="412"/>
      <c r="AXZ193" s="412"/>
      <c r="AYA193" s="412"/>
      <c r="AYB193" s="412"/>
      <c r="AYC193" s="412"/>
      <c r="AYD193" s="412"/>
      <c r="AYE193" s="412"/>
      <c r="AYF193" s="412"/>
      <c r="AYG193" s="412"/>
      <c r="AYH193" s="412"/>
      <c r="AYI193" s="412"/>
      <c r="AYJ193" s="412"/>
      <c r="AYK193" s="412"/>
      <c r="AYL193" s="412"/>
      <c r="AYM193" s="412"/>
      <c r="AYN193" s="412"/>
      <c r="AYO193" s="412"/>
      <c r="AYP193" s="412"/>
      <c r="AYQ193" s="412"/>
      <c r="AYR193" s="412"/>
      <c r="AYS193" s="412"/>
      <c r="AYT193" s="412"/>
      <c r="AYU193" s="412"/>
      <c r="AYV193" s="412"/>
      <c r="AYW193" s="412"/>
      <c r="AYX193" s="412"/>
      <c r="AYY193" s="412"/>
      <c r="AYZ193" s="412"/>
      <c r="AZA193" s="412"/>
      <c r="AZB193" s="412"/>
      <c r="AZC193" s="412"/>
      <c r="AZD193" s="412"/>
      <c r="AZE193" s="412"/>
      <c r="AZF193" s="412"/>
      <c r="AZG193" s="412"/>
      <c r="AZH193" s="412"/>
      <c r="AZI193" s="412"/>
      <c r="AZJ193" s="412"/>
      <c r="AZK193" s="412"/>
      <c r="AZL193" s="412"/>
      <c r="AZM193" s="412"/>
      <c r="AZN193" s="412"/>
      <c r="AZO193" s="412"/>
      <c r="AZP193" s="412"/>
      <c r="AZQ193" s="412"/>
      <c r="AZR193" s="412"/>
      <c r="AZS193" s="412"/>
      <c r="AZT193" s="412"/>
      <c r="AZU193" s="412"/>
      <c r="AZV193" s="412"/>
      <c r="AZW193" s="412"/>
      <c r="AZX193" s="412"/>
      <c r="AZY193" s="412"/>
      <c r="AZZ193" s="412"/>
      <c r="BAA193" s="412"/>
      <c r="BAB193" s="412"/>
      <c r="BAC193" s="412"/>
      <c r="BAD193" s="412"/>
      <c r="BAE193" s="412"/>
      <c r="BAF193" s="412"/>
      <c r="BAG193" s="412"/>
      <c r="BAH193" s="412"/>
      <c r="BAI193" s="412"/>
      <c r="BAJ193" s="412"/>
      <c r="BAK193" s="412"/>
      <c r="BAL193" s="412"/>
      <c r="BAM193" s="412"/>
      <c r="BAN193" s="412"/>
      <c r="BAO193" s="412"/>
      <c r="BAP193" s="412"/>
      <c r="BAQ193" s="412"/>
      <c r="BAR193" s="412"/>
      <c r="BAS193" s="412"/>
      <c r="BAT193" s="412"/>
      <c r="BAU193" s="412"/>
      <c r="BAV193" s="412"/>
      <c r="BAW193" s="412"/>
      <c r="BAX193" s="412"/>
      <c r="BAY193" s="412"/>
      <c r="BAZ193" s="412"/>
      <c r="BBA193" s="412"/>
      <c r="BBB193" s="412"/>
      <c r="BBC193" s="412"/>
      <c r="BBD193" s="412"/>
      <c r="BBE193" s="412"/>
      <c r="BBF193" s="412"/>
      <c r="BBG193" s="412"/>
      <c r="BBH193" s="412"/>
      <c r="BBI193" s="412"/>
      <c r="BBJ193" s="412"/>
      <c r="BBK193" s="412"/>
      <c r="BBL193" s="412"/>
      <c r="BBM193" s="412"/>
      <c r="BBN193" s="412"/>
      <c r="BBO193" s="412"/>
      <c r="BBP193" s="412"/>
      <c r="BBQ193" s="412"/>
      <c r="BBR193" s="412"/>
      <c r="BBS193" s="412"/>
      <c r="BBT193" s="412"/>
      <c r="BBU193" s="412"/>
      <c r="BBV193" s="412"/>
      <c r="BBW193" s="412"/>
      <c r="BBX193" s="412"/>
      <c r="BBY193" s="412"/>
      <c r="BBZ193" s="412"/>
      <c r="BCA193" s="412"/>
      <c r="BCB193" s="412"/>
      <c r="BCC193" s="412"/>
      <c r="BCD193" s="412"/>
      <c r="BCE193" s="412"/>
      <c r="BCF193" s="412"/>
      <c r="BCG193" s="412"/>
      <c r="BCH193" s="412"/>
      <c r="BCI193" s="412"/>
      <c r="BCJ193" s="412"/>
      <c r="BCK193" s="412"/>
      <c r="BCL193" s="412"/>
      <c r="BCM193" s="412"/>
      <c r="BCN193" s="412"/>
      <c r="BCO193" s="412"/>
      <c r="BCP193" s="412"/>
      <c r="BCQ193" s="412"/>
      <c r="BCR193" s="412"/>
      <c r="BCS193" s="412"/>
      <c r="BCT193" s="412"/>
      <c r="BCU193" s="412"/>
      <c r="BCV193" s="412"/>
      <c r="BCW193" s="412"/>
      <c r="BCX193" s="412"/>
      <c r="BCY193" s="412"/>
      <c r="BCZ193" s="412"/>
      <c r="BDA193" s="412"/>
      <c r="BDB193" s="412"/>
      <c r="BDC193" s="412"/>
      <c r="BDD193" s="412"/>
      <c r="BDE193" s="412"/>
      <c r="BDF193" s="412"/>
      <c r="BDG193" s="412"/>
      <c r="BDH193" s="412"/>
      <c r="BDI193" s="412"/>
      <c r="BDJ193" s="412"/>
      <c r="BDK193" s="412"/>
      <c r="BDL193" s="412"/>
      <c r="BDM193" s="412"/>
      <c r="BDN193" s="412"/>
      <c r="BDO193" s="412"/>
      <c r="BDP193" s="412"/>
      <c r="BDQ193" s="412"/>
      <c r="BDR193" s="412"/>
      <c r="BDS193" s="412"/>
      <c r="BDT193" s="412"/>
      <c r="BDU193" s="412"/>
      <c r="BDV193" s="412"/>
      <c r="BDW193" s="412"/>
      <c r="BDX193" s="412"/>
      <c r="BDY193" s="412"/>
      <c r="BDZ193" s="412"/>
      <c r="BEA193" s="412"/>
      <c r="BEB193" s="412"/>
      <c r="BEC193" s="412"/>
      <c r="BED193" s="412"/>
      <c r="BEE193" s="412"/>
      <c r="BEF193" s="412"/>
      <c r="BEG193" s="412"/>
      <c r="BEH193" s="412"/>
      <c r="BEI193" s="412"/>
      <c r="BEJ193" s="412"/>
      <c r="BEK193" s="412"/>
      <c r="BEL193" s="412"/>
      <c r="BEM193" s="412"/>
      <c r="BEN193" s="412"/>
      <c r="BEO193" s="412"/>
      <c r="BEP193" s="412"/>
      <c r="BEQ193" s="412"/>
      <c r="BER193" s="412"/>
      <c r="BES193" s="412"/>
      <c r="BET193" s="412"/>
      <c r="BEU193" s="412"/>
      <c r="BEV193" s="412"/>
      <c r="BEW193" s="412"/>
      <c r="BEX193" s="412"/>
      <c r="BEY193" s="412"/>
      <c r="BEZ193" s="412"/>
      <c r="BFA193" s="412"/>
      <c r="BFB193" s="412"/>
      <c r="BFC193" s="412"/>
      <c r="BFD193" s="412"/>
      <c r="BFE193" s="412"/>
      <c r="BFF193" s="412"/>
      <c r="BFG193" s="412"/>
      <c r="BFH193" s="412"/>
      <c r="BFI193" s="412"/>
      <c r="BFJ193" s="412"/>
      <c r="BFK193" s="412"/>
      <c r="BFL193" s="412"/>
      <c r="BFM193" s="412"/>
      <c r="BFN193" s="412"/>
      <c r="BFO193" s="412"/>
      <c r="BFP193" s="412"/>
      <c r="BFQ193" s="412"/>
      <c r="BFR193" s="412"/>
      <c r="BFS193" s="412"/>
      <c r="BFT193" s="412"/>
      <c r="BFU193" s="412"/>
      <c r="BFV193" s="412"/>
      <c r="BFW193" s="412"/>
      <c r="BFX193" s="412"/>
      <c r="BFY193" s="412"/>
      <c r="BFZ193" s="412"/>
      <c r="BGA193" s="412"/>
      <c r="BGB193" s="412"/>
      <c r="BGC193" s="412"/>
      <c r="BGD193" s="412"/>
      <c r="BGE193" s="412"/>
      <c r="BGF193" s="412"/>
      <c r="BGG193" s="412"/>
      <c r="BGH193" s="412"/>
      <c r="BGI193" s="412"/>
      <c r="BGJ193" s="412"/>
      <c r="BGK193" s="412"/>
      <c r="BGL193" s="412"/>
      <c r="BGM193" s="412"/>
      <c r="BGN193" s="412"/>
      <c r="BGO193" s="412"/>
      <c r="BGP193" s="412"/>
      <c r="BGQ193" s="412"/>
      <c r="BGR193" s="412"/>
      <c r="BGS193" s="412"/>
      <c r="BGT193" s="412"/>
      <c r="BGU193" s="412"/>
      <c r="BGV193" s="412"/>
      <c r="BGW193" s="412"/>
      <c r="BGX193" s="412"/>
      <c r="BGY193" s="412"/>
      <c r="BGZ193" s="412"/>
      <c r="BHA193" s="412"/>
      <c r="BHB193" s="412"/>
      <c r="BHC193" s="412"/>
      <c r="BHD193" s="412"/>
      <c r="BHE193" s="412"/>
      <c r="BHF193" s="412"/>
      <c r="BHG193" s="412"/>
      <c r="BHH193" s="412"/>
      <c r="BHI193" s="412"/>
      <c r="BHJ193" s="412"/>
      <c r="BHK193" s="412"/>
      <c r="BHL193" s="412"/>
      <c r="BHM193" s="412"/>
      <c r="BHN193" s="412"/>
      <c r="BHO193" s="412"/>
      <c r="BHP193" s="412"/>
      <c r="BHQ193" s="412"/>
      <c r="BHR193" s="412"/>
      <c r="BHS193" s="412"/>
      <c r="BHT193" s="412"/>
      <c r="BHU193" s="412"/>
      <c r="BHV193" s="412"/>
      <c r="BHW193" s="412"/>
      <c r="BHX193" s="412"/>
      <c r="BHY193" s="412"/>
      <c r="BHZ193" s="412"/>
      <c r="BIA193" s="412"/>
      <c r="BIB193" s="412"/>
      <c r="BIC193" s="412"/>
      <c r="BID193" s="412"/>
      <c r="BIE193" s="412"/>
      <c r="BIF193" s="412"/>
      <c r="BIG193" s="412"/>
      <c r="BIH193" s="412"/>
      <c r="BII193" s="412"/>
      <c r="BIJ193" s="412"/>
      <c r="BIK193" s="412"/>
      <c r="BIL193" s="412"/>
      <c r="BIM193" s="412"/>
      <c r="BIN193" s="412"/>
      <c r="BIO193" s="412"/>
      <c r="BIP193" s="412"/>
      <c r="BIQ193" s="412"/>
      <c r="BIR193" s="412"/>
      <c r="BIS193" s="412"/>
      <c r="BIT193" s="412"/>
      <c r="BIU193" s="412"/>
      <c r="BIV193" s="412"/>
      <c r="BIW193" s="412"/>
      <c r="BIX193" s="412"/>
      <c r="BIY193" s="412"/>
      <c r="BIZ193" s="412"/>
      <c r="BJA193" s="412"/>
      <c r="BJB193" s="412"/>
      <c r="BJC193" s="412"/>
      <c r="BJD193" s="412"/>
      <c r="BJE193" s="412"/>
      <c r="BJF193" s="412"/>
      <c r="BJG193" s="412"/>
      <c r="BJH193" s="412"/>
      <c r="BJI193" s="412"/>
      <c r="BJJ193" s="412"/>
      <c r="BJK193" s="412"/>
      <c r="BJL193" s="412"/>
      <c r="BJM193" s="412"/>
      <c r="BJN193" s="412"/>
      <c r="BJO193" s="412"/>
      <c r="BJP193" s="412"/>
      <c r="BJQ193" s="412"/>
      <c r="BJR193" s="412"/>
      <c r="BJS193" s="412"/>
      <c r="BJT193" s="412"/>
      <c r="BJU193" s="412"/>
      <c r="BJV193" s="412"/>
      <c r="BJW193" s="412"/>
      <c r="BJX193" s="412"/>
      <c r="BJY193" s="412"/>
      <c r="BJZ193" s="412"/>
      <c r="BKA193" s="412"/>
      <c r="BKB193" s="412"/>
      <c r="BKC193" s="412"/>
      <c r="BKD193" s="412"/>
      <c r="BKE193" s="412"/>
      <c r="BKF193" s="412"/>
      <c r="BKG193" s="412"/>
      <c r="BKH193" s="412"/>
      <c r="BKI193" s="412"/>
      <c r="BKJ193" s="412"/>
      <c r="BKK193" s="412"/>
      <c r="BKL193" s="412"/>
      <c r="BKM193" s="412"/>
      <c r="BKN193" s="412"/>
      <c r="BKO193" s="412"/>
      <c r="BKP193" s="412"/>
      <c r="BKQ193" s="412"/>
      <c r="BKR193" s="412"/>
      <c r="BKS193" s="412"/>
      <c r="BKT193" s="412"/>
      <c r="BKU193" s="412"/>
      <c r="BKV193" s="412"/>
      <c r="BKW193" s="412"/>
      <c r="BKX193" s="412"/>
      <c r="BKY193" s="412"/>
      <c r="BKZ193" s="412"/>
      <c r="BLA193" s="412"/>
      <c r="BLB193" s="412"/>
      <c r="BLC193" s="412"/>
      <c r="BLD193" s="412"/>
      <c r="BLE193" s="412"/>
      <c r="BLF193" s="412"/>
      <c r="BLG193" s="412"/>
      <c r="BLH193" s="412"/>
      <c r="BLI193" s="412"/>
      <c r="BLJ193" s="412"/>
      <c r="BLK193" s="412"/>
      <c r="BLL193" s="412"/>
      <c r="BLM193" s="412"/>
      <c r="BLN193" s="412"/>
      <c r="BLO193" s="412"/>
      <c r="BLP193" s="412"/>
      <c r="BLQ193" s="412"/>
      <c r="BLR193" s="412"/>
      <c r="BLS193" s="412"/>
      <c r="BLT193" s="412"/>
      <c r="BLU193" s="412"/>
      <c r="BLV193" s="412"/>
      <c r="BLW193" s="412"/>
      <c r="BLX193" s="412"/>
      <c r="BLY193" s="412"/>
      <c r="BLZ193" s="412"/>
      <c r="BMA193" s="412"/>
      <c r="BMB193" s="412"/>
      <c r="BMC193" s="412"/>
      <c r="BMD193" s="412"/>
      <c r="BME193" s="412"/>
      <c r="BMF193" s="412"/>
      <c r="BMG193" s="412"/>
      <c r="BMH193" s="412"/>
      <c r="BMI193" s="412"/>
      <c r="BMJ193" s="412"/>
      <c r="BMK193" s="412"/>
      <c r="BML193" s="412"/>
      <c r="BMM193" s="412"/>
      <c r="BMN193" s="412"/>
      <c r="BMO193" s="412"/>
      <c r="BMP193" s="412"/>
      <c r="BMQ193" s="412"/>
      <c r="BMR193" s="412"/>
      <c r="BMS193" s="412"/>
      <c r="BMT193" s="412"/>
      <c r="BMU193" s="412"/>
      <c r="BMV193" s="412"/>
      <c r="BMW193" s="412"/>
      <c r="BMX193" s="412"/>
      <c r="BMY193" s="412"/>
      <c r="BMZ193" s="412"/>
      <c r="BNA193" s="412"/>
      <c r="BNB193" s="412"/>
      <c r="BNC193" s="412"/>
      <c r="BND193" s="412"/>
      <c r="BNE193" s="412"/>
      <c r="BNF193" s="412"/>
      <c r="BNG193" s="412"/>
      <c r="BNH193" s="412"/>
      <c r="BNI193" s="412"/>
      <c r="BNJ193" s="412"/>
      <c r="BNK193" s="412"/>
      <c r="BNL193" s="412"/>
      <c r="BNM193" s="412"/>
      <c r="BNN193" s="412"/>
      <c r="BNO193" s="412"/>
      <c r="BNP193" s="412"/>
      <c r="BNQ193" s="412"/>
      <c r="BNR193" s="412"/>
      <c r="BNS193" s="412"/>
      <c r="BNT193" s="412"/>
      <c r="BNU193" s="412"/>
      <c r="BNV193" s="412"/>
      <c r="BNW193" s="412"/>
      <c r="BNX193" s="412"/>
      <c r="BNY193" s="412"/>
      <c r="BNZ193" s="412"/>
      <c r="BOA193" s="412"/>
      <c r="BOB193" s="412"/>
      <c r="BOC193" s="412"/>
      <c r="BOD193" s="412"/>
      <c r="BOE193" s="412"/>
      <c r="BOF193" s="412"/>
      <c r="BOG193" s="412"/>
      <c r="BOH193" s="412"/>
      <c r="BOI193" s="412"/>
      <c r="BOJ193" s="412"/>
      <c r="BOK193" s="412"/>
      <c r="BOL193" s="412"/>
      <c r="BOM193" s="412"/>
      <c r="BON193" s="412"/>
      <c r="BOO193" s="412"/>
      <c r="BOP193" s="412"/>
      <c r="BOQ193" s="412"/>
      <c r="BOR193" s="412"/>
      <c r="BOS193" s="412"/>
      <c r="BOT193" s="412"/>
      <c r="BOU193" s="412"/>
      <c r="BOV193" s="412"/>
      <c r="BOW193" s="412"/>
      <c r="BOX193" s="412"/>
      <c r="BOY193" s="412"/>
      <c r="BOZ193" s="412"/>
      <c r="BPA193" s="412"/>
      <c r="BPB193" s="412"/>
      <c r="BPC193" s="412"/>
      <c r="BPD193" s="412"/>
      <c r="BPE193" s="412"/>
      <c r="BPF193" s="412"/>
      <c r="BPG193" s="412"/>
      <c r="BPH193" s="412"/>
      <c r="BPI193" s="412"/>
      <c r="BPJ193" s="412"/>
      <c r="BPK193" s="412"/>
      <c r="BPL193" s="412"/>
      <c r="BPM193" s="412"/>
      <c r="BPN193" s="412"/>
      <c r="BPO193" s="412"/>
      <c r="BPP193" s="412"/>
      <c r="BPQ193" s="412"/>
      <c r="BPR193" s="412"/>
      <c r="BPS193" s="412"/>
      <c r="BPT193" s="412"/>
      <c r="BPU193" s="412"/>
      <c r="BPV193" s="412"/>
      <c r="BPW193" s="412"/>
      <c r="BPX193" s="412"/>
      <c r="BPY193" s="412"/>
      <c r="BPZ193" s="412"/>
      <c r="BQA193" s="412"/>
      <c r="BQB193" s="412"/>
      <c r="BQC193" s="412"/>
      <c r="BQD193" s="412"/>
      <c r="BQE193" s="412"/>
      <c r="BQF193" s="412"/>
      <c r="BQG193" s="412"/>
      <c r="BQH193" s="412"/>
      <c r="BQI193" s="412"/>
      <c r="BQJ193" s="412"/>
      <c r="BQK193" s="412"/>
      <c r="BQL193" s="412"/>
      <c r="BQM193" s="412"/>
      <c r="BQN193" s="412"/>
      <c r="BQO193" s="412"/>
      <c r="BQP193" s="412"/>
      <c r="BQQ193" s="412"/>
      <c r="BQR193" s="412"/>
      <c r="BQS193" s="412"/>
      <c r="BQT193" s="412"/>
      <c r="BQU193" s="412"/>
      <c r="BQV193" s="412"/>
      <c r="BQW193" s="412"/>
      <c r="BQX193" s="412"/>
      <c r="BQY193" s="412"/>
      <c r="BQZ193" s="412"/>
      <c r="BRA193" s="412"/>
      <c r="BRB193" s="412"/>
      <c r="BRC193" s="412"/>
      <c r="BRD193" s="412"/>
      <c r="BRE193" s="412"/>
      <c r="BRF193" s="412"/>
      <c r="BRG193" s="412"/>
      <c r="BRH193" s="412"/>
      <c r="BRI193" s="412"/>
      <c r="BRJ193" s="412"/>
      <c r="BRK193" s="412"/>
      <c r="BRL193" s="412"/>
      <c r="BRM193" s="412"/>
      <c r="BRN193" s="412"/>
      <c r="BRO193" s="412"/>
      <c r="BRP193" s="412"/>
      <c r="BRQ193" s="412"/>
      <c r="BRR193" s="412"/>
      <c r="BRS193" s="412"/>
      <c r="BRT193" s="412"/>
      <c r="BRU193" s="412"/>
      <c r="BRV193" s="412"/>
      <c r="BRW193" s="412"/>
      <c r="BRX193" s="412"/>
      <c r="BRY193" s="412"/>
      <c r="BRZ193" s="412"/>
      <c r="BSA193" s="412"/>
      <c r="BSB193" s="412"/>
      <c r="BSC193" s="412"/>
      <c r="BSD193" s="412"/>
      <c r="BSE193" s="412"/>
      <c r="BSF193" s="412"/>
      <c r="BSG193" s="412"/>
      <c r="BSH193" s="412"/>
      <c r="BSI193" s="412"/>
      <c r="BSJ193" s="412"/>
      <c r="BSK193" s="412"/>
      <c r="BSL193" s="412"/>
      <c r="BSM193" s="412"/>
      <c r="BSN193" s="412"/>
      <c r="BSO193" s="412"/>
      <c r="BSP193" s="412"/>
      <c r="BSQ193" s="412"/>
      <c r="BSR193" s="412"/>
      <c r="BSS193" s="412"/>
      <c r="BST193" s="412"/>
      <c r="BSU193" s="412"/>
      <c r="BSV193" s="412"/>
      <c r="BSW193" s="412"/>
      <c r="BSX193" s="412"/>
      <c r="BSY193" s="412"/>
      <c r="BSZ193" s="412"/>
      <c r="BTA193" s="412"/>
      <c r="BTB193" s="412"/>
      <c r="BTC193" s="412"/>
      <c r="BTD193" s="412"/>
      <c r="BTE193" s="412"/>
      <c r="BTF193" s="412"/>
      <c r="BTG193" s="412"/>
      <c r="BTH193" s="412"/>
      <c r="BTI193" s="412"/>
    </row>
    <row r="194" spans="1:1881" s="69" customFormat="1" ht="24.75" customHeight="1" x14ac:dyDescent="0.25">
      <c r="A194" s="190"/>
      <c r="B194" s="182"/>
      <c r="C194" s="182"/>
      <c r="D194" s="171" t="s">
        <v>40</v>
      </c>
      <c r="E194" s="378" t="e">
        <f>E174+E181-E193</f>
        <v>#N/A</v>
      </c>
      <c r="F194" s="378">
        <f>F174+F181-F193</f>
        <v>0</v>
      </c>
      <c r="G194" s="319"/>
      <c r="H194" s="13"/>
      <c r="I194" s="31"/>
      <c r="J194" s="368"/>
      <c r="K194" s="412"/>
      <c r="L194" s="412"/>
      <c r="M194" s="412"/>
      <c r="N194"/>
      <c r="O194" s="412"/>
      <c r="P194" s="412"/>
      <c r="Q194" s="412"/>
      <c r="R194" s="412"/>
      <c r="S194" s="412"/>
      <c r="T194" s="412"/>
      <c r="U194" s="412"/>
      <c r="V194" s="412"/>
      <c r="W194" s="412"/>
      <c r="X194" s="412"/>
      <c r="Y194" s="412"/>
      <c r="Z194" s="412"/>
      <c r="AA194" s="412"/>
      <c r="AB194" s="412"/>
      <c r="AC194" s="412"/>
      <c r="AD194" s="412"/>
      <c r="AE194" s="412"/>
      <c r="AF194" s="412"/>
      <c r="AG194" s="412"/>
      <c r="AH194" s="412"/>
      <c r="AI194" s="412"/>
      <c r="AJ194" s="412"/>
      <c r="AK194" s="412"/>
      <c r="AL194" s="412"/>
      <c r="AM194" s="412"/>
      <c r="AN194" s="412"/>
      <c r="AO194" s="412"/>
      <c r="AP194" s="412"/>
      <c r="AQ194" s="412"/>
      <c r="AR194" s="412"/>
      <c r="AS194" s="412"/>
      <c r="AT194" s="412"/>
      <c r="AU194" s="412"/>
      <c r="AV194" s="412"/>
      <c r="AW194" s="412"/>
      <c r="AX194" s="412"/>
      <c r="AY194" s="412"/>
      <c r="AZ194" s="412"/>
      <c r="BA194" s="412"/>
      <c r="BB194" s="412"/>
      <c r="BC194" s="412"/>
      <c r="BD194" s="412"/>
      <c r="BE194" s="412"/>
      <c r="BF194" s="412"/>
      <c r="BG194" s="412"/>
      <c r="BH194" s="412"/>
      <c r="BI194" s="412"/>
      <c r="BJ194" s="412"/>
      <c r="BK194" s="412"/>
      <c r="BL194" s="412"/>
      <c r="BM194" s="412"/>
      <c r="BN194" s="412"/>
      <c r="BO194" s="412"/>
      <c r="BP194" s="412"/>
      <c r="BQ194" s="412"/>
      <c r="BR194" s="412"/>
      <c r="BS194" s="412"/>
      <c r="BT194" s="412"/>
      <c r="BU194" s="412"/>
      <c r="BV194" s="412"/>
      <c r="BW194" s="412"/>
      <c r="BX194" s="412"/>
      <c r="BY194" s="412"/>
      <c r="BZ194" s="412"/>
      <c r="CA194" s="412"/>
      <c r="CB194" s="412"/>
      <c r="CC194" s="412"/>
      <c r="CD194" s="412"/>
      <c r="CE194" s="412"/>
      <c r="CF194" s="412"/>
      <c r="CG194" s="412"/>
      <c r="CH194" s="412"/>
      <c r="CI194" s="412"/>
      <c r="CJ194" s="412"/>
      <c r="CK194" s="412"/>
      <c r="CL194" s="412"/>
      <c r="CM194" s="412"/>
      <c r="CN194" s="412"/>
      <c r="CO194" s="412"/>
      <c r="CP194" s="412"/>
      <c r="CQ194" s="412"/>
      <c r="CR194" s="412"/>
      <c r="CS194" s="412"/>
      <c r="CT194" s="412"/>
      <c r="CU194" s="412"/>
      <c r="CV194" s="412"/>
      <c r="CW194" s="412"/>
      <c r="CX194" s="412"/>
      <c r="CY194" s="412"/>
      <c r="CZ194" s="412"/>
      <c r="DA194" s="412"/>
      <c r="DB194" s="412"/>
      <c r="DC194" s="412"/>
      <c r="DD194" s="412"/>
      <c r="DE194" s="412"/>
      <c r="DF194" s="412"/>
      <c r="DG194" s="412"/>
      <c r="DH194" s="412"/>
      <c r="DI194" s="412"/>
      <c r="DJ194" s="412"/>
      <c r="DK194" s="412"/>
      <c r="DL194" s="412"/>
      <c r="DM194" s="412"/>
      <c r="DN194" s="412"/>
      <c r="DO194" s="412"/>
      <c r="DP194" s="412"/>
      <c r="DQ194" s="412"/>
      <c r="DR194" s="412"/>
      <c r="DS194" s="412"/>
      <c r="DT194" s="412"/>
      <c r="DU194" s="412"/>
      <c r="DV194" s="412"/>
      <c r="DW194" s="412"/>
      <c r="DX194" s="412"/>
      <c r="DY194" s="412"/>
      <c r="DZ194" s="412"/>
      <c r="EA194" s="412"/>
      <c r="EB194" s="412"/>
      <c r="EC194" s="412"/>
      <c r="ED194" s="412"/>
      <c r="EE194" s="412"/>
      <c r="EF194" s="412"/>
      <c r="EG194" s="412"/>
      <c r="EH194" s="412"/>
      <c r="EI194" s="412"/>
      <c r="EJ194" s="412"/>
      <c r="EK194" s="412"/>
      <c r="EL194" s="412"/>
      <c r="EM194" s="412"/>
      <c r="EN194" s="412"/>
      <c r="EO194" s="412"/>
      <c r="EP194" s="412"/>
      <c r="EQ194" s="412"/>
      <c r="ER194" s="412"/>
      <c r="ES194" s="412"/>
      <c r="ET194" s="412"/>
      <c r="EU194" s="412"/>
      <c r="EV194" s="412"/>
      <c r="EW194" s="412"/>
      <c r="EX194" s="412"/>
      <c r="EY194" s="412"/>
      <c r="EZ194" s="412"/>
      <c r="FA194" s="412"/>
      <c r="FB194" s="412"/>
      <c r="FC194" s="412"/>
      <c r="FD194" s="412"/>
      <c r="FE194" s="412"/>
      <c r="FF194" s="412"/>
      <c r="FG194" s="412"/>
      <c r="FH194" s="412"/>
      <c r="FI194" s="412"/>
      <c r="FJ194" s="412"/>
      <c r="FK194" s="412"/>
      <c r="FL194" s="412"/>
      <c r="FM194" s="412"/>
      <c r="FN194" s="412"/>
      <c r="FO194" s="412"/>
      <c r="FP194" s="412"/>
      <c r="FQ194" s="412"/>
      <c r="FR194" s="412"/>
      <c r="FS194" s="412"/>
      <c r="FT194" s="412"/>
      <c r="FU194" s="412"/>
      <c r="FV194" s="412"/>
      <c r="FW194" s="412"/>
      <c r="FX194" s="412"/>
      <c r="FY194" s="412"/>
      <c r="FZ194" s="412"/>
      <c r="GA194" s="412"/>
      <c r="GB194" s="412"/>
      <c r="GC194" s="412"/>
      <c r="GD194" s="412"/>
      <c r="GE194" s="412"/>
      <c r="GF194" s="412"/>
      <c r="GG194" s="412"/>
      <c r="GH194" s="412"/>
      <c r="GI194" s="412"/>
      <c r="GJ194" s="412"/>
      <c r="GK194" s="412"/>
      <c r="GL194" s="412"/>
      <c r="GM194" s="412"/>
      <c r="GN194" s="412"/>
      <c r="GO194" s="412"/>
      <c r="GP194" s="412"/>
      <c r="GQ194" s="412"/>
      <c r="GR194" s="412"/>
      <c r="GS194" s="412"/>
      <c r="GT194" s="412"/>
      <c r="GU194" s="412"/>
      <c r="GV194" s="412"/>
      <c r="GW194" s="412"/>
      <c r="GX194" s="412"/>
      <c r="GY194" s="412"/>
      <c r="GZ194" s="412"/>
      <c r="HA194" s="412"/>
      <c r="HB194" s="412"/>
      <c r="HC194" s="412"/>
      <c r="HD194" s="412"/>
      <c r="HE194" s="412"/>
      <c r="HF194" s="412"/>
      <c r="HG194" s="412"/>
      <c r="HH194" s="412"/>
      <c r="HI194" s="412"/>
      <c r="HJ194" s="412"/>
      <c r="HK194" s="412"/>
      <c r="HL194" s="412"/>
      <c r="HM194" s="412"/>
      <c r="HN194" s="412"/>
      <c r="HO194" s="412"/>
      <c r="HP194" s="412"/>
      <c r="HQ194" s="412"/>
      <c r="HR194" s="412"/>
      <c r="HS194" s="412"/>
      <c r="HT194" s="412"/>
      <c r="HU194" s="412"/>
      <c r="HV194" s="412"/>
      <c r="HW194" s="412"/>
      <c r="HX194" s="412"/>
      <c r="HY194" s="412"/>
      <c r="HZ194" s="412"/>
      <c r="IA194" s="412"/>
      <c r="IB194" s="412"/>
      <c r="IC194" s="412"/>
      <c r="ID194" s="412"/>
      <c r="IE194" s="412"/>
      <c r="IF194" s="412"/>
      <c r="IG194" s="412"/>
      <c r="IH194" s="412"/>
      <c r="II194" s="412"/>
      <c r="IJ194" s="412"/>
      <c r="IK194" s="412"/>
      <c r="IL194" s="412"/>
      <c r="IM194" s="412"/>
      <c r="IN194" s="412"/>
      <c r="IO194" s="412"/>
      <c r="IP194" s="412"/>
      <c r="IQ194" s="412"/>
      <c r="IR194" s="412"/>
      <c r="IS194" s="412"/>
      <c r="IT194" s="412"/>
      <c r="IU194" s="412"/>
      <c r="IV194" s="412"/>
      <c r="IW194" s="412"/>
      <c r="IX194" s="412"/>
      <c r="IY194" s="412"/>
      <c r="IZ194" s="412"/>
      <c r="JA194" s="412"/>
      <c r="JB194" s="412"/>
      <c r="JC194" s="412"/>
      <c r="JD194" s="412"/>
      <c r="JE194" s="412"/>
      <c r="JF194" s="412"/>
      <c r="JG194" s="412"/>
      <c r="JH194" s="412"/>
      <c r="JI194" s="412"/>
      <c r="JJ194" s="412"/>
      <c r="JK194" s="412"/>
      <c r="JL194" s="412"/>
      <c r="JM194" s="412"/>
      <c r="JN194" s="412"/>
      <c r="JO194" s="412"/>
      <c r="JP194" s="412"/>
      <c r="JQ194" s="412"/>
      <c r="JR194" s="412"/>
      <c r="JS194" s="412"/>
      <c r="JT194" s="412"/>
      <c r="JU194" s="412"/>
      <c r="JV194" s="412"/>
      <c r="JW194" s="412"/>
      <c r="JX194" s="412"/>
      <c r="JY194" s="412"/>
      <c r="JZ194" s="412"/>
      <c r="KA194" s="412"/>
      <c r="KB194" s="412"/>
      <c r="KC194" s="412"/>
      <c r="KD194" s="412"/>
      <c r="KE194" s="412"/>
      <c r="KF194" s="412"/>
      <c r="KG194" s="412"/>
      <c r="KH194" s="412"/>
      <c r="KI194" s="412"/>
      <c r="KJ194" s="412"/>
      <c r="KK194" s="412"/>
      <c r="KL194" s="412"/>
      <c r="KM194" s="412"/>
      <c r="KN194" s="412"/>
      <c r="KO194" s="412"/>
      <c r="KP194" s="412"/>
      <c r="KQ194" s="412"/>
      <c r="KR194" s="412"/>
      <c r="KS194" s="412"/>
      <c r="KT194" s="412"/>
      <c r="KU194" s="412"/>
      <c r="KV194" s="412"/>
      <c r="KW194" s="412"/>
      <c r="KX194" s="412"/>
      <c r="KY194" s="412"/>
      <c r="KZ194" s="412"/>
      <c r="LA194" s="412"/>
      <c r="LB194" s="412"/>
      <c r="LC194" s="412"/>
      <c r="LD194" s="412"/>
      <c r="LE194" s="412"/>
      <c r="LF194" s="412"/>
      <c r="LG194" s="412"/>
      <c r="LH194" s="412"/>
      <c r="LI194" s="412"/>
      <c r="LJ194" s="412"/>
      <c r="LK194" s="412"/>
      <c r="LL194" s="412"/>
      <c r="LM194" s="412"/>
      <c r="LN194" s="412"/>
      <c r="LO194" s="412"/>
      <c r="LP194" s="412"/>
      <c r="LQ194" s="412"/>
      <c r="LR194" s="412"/>
      <c r="LS194" s="412"/>
      <c r="LT194" s="412"/>
      <c r="LU194" s="412"/>
      <c r="LV194" s="412"/>
      <c r="LW194" s="412"/>
      <c r="LX194" s="412"/>
      <c r="LY194" s="412"/>
      <c r="LZ194" s="412"/>
      <c r="MA194" s="412"/>
      <c r="MB194" s="412"/>
      <c r="MC194" s="412"/>
      <c r="MD194" s="412"/>
      <c r="ME194" s="412"/>
      <c r="MF194" s="412"/>
      <c r="MG194" s="412"/>
      <c r="MH194" s="412"/>
      <c r="MI194" s="412"/>
      <c r="MJ194" s="412"/>
      <c r="MK194" s="412"/>
      <c r="ML194" s="412"/>
      <c r="MM194" s="412"/>
      <c r="MN194" s="412"/>
      <c r="MO194" s="412"/>
      <c r="MP194" s="412"/>
      <c r="MQ194" s="412"/>
      <c r="MR194" s="412"/>
      <c r="MS194" s="412"/>
      <c r="MT194" s="412"/>
      <c r="MU194" s="412"/>
      <c r="MV194" s="412"/>
      <c r="MW194" s="412"/>
      <c r="MX194" s="412"/>
      <c r="MY194" s="412"/>
      <c r="MZ194" s="412"/>
      <c r="NA194" s="412"/>
      <c r="NB194" s="412"/>
      <c r="NC194" s="412"/>
      <c r="ND194" s="412"/>
      <c r="NE194" s="412"/>
      <c r="NF194" s="412"/>
      <c r="NG194" s="412"/>
      <c r="NH194" s="412"/>
      <c r="NI194" s="412"/>
      <c r="NJ194" s="412"/>
      <c r="NK194" s="412"/>
      <c r="NL194" s="412"/>
      <c r="NM194" s="412"/>
      <c r="NN194" s="412"/>
      <c r="NO194" s="412"/>
      <c r="NP194" s="412"/>
      <c r="NQ194" s="412"/>
      <c r="NR194" s="412"/>
      <c r="NS194" s="412"/>
      <c r="NT194" s="412"/>
      <c r="NU194" s="412"/>
      <c r="NV194" s="412"/>
      <c r="NW194" s="412"/>
      <c r="NX194" s="412"/>
      <c r="NY194" s="412"/>
      <c r="NZ194" s="412"/>
      <c r="OA194" s="412"/>
      <c r="OB194" s="412"/>
      <c r="OC194" s="412"/>
      <c r="OD194" s="412"/>
      <c r="OE194" s="412"/>
      <c r="OF194" s="412"/>
      <c r="OG194" s="412"/>
      <c r="OH194" s="412"/>
      <c r="OI194" s="412"/>
      <c r="OJ194" s="412"/>
      <c r="OK194" s="412"/>
      <c r="OL194" s="412"/>
      <c r="OM194" s="412"/>
      <c r="ON194" s="412"/>
      <c r="OO194" s="412"/>
      <c r="OP194" s="412"/>
      <c r="OQ194" s="412"/>
      <c r="OR194" s="412"/>
      <c r="OS194" s="412"/>
      <c r="OT194" s="412"/>
      <c r="OU194" s="412"/>
      <c r="OV194" s="412"/>
      <c r="OW194" s="412"/>
      <c r="OX194" s="412"/>
      <c r="OY194" s="412"/>
      <c r="OZ194" s="412"/>
      <c r="PA194" s="412"/>
      <c r="PB194" s="412"/>
      <c r="PC194" s="412"/>
      <c r="PD194" s="412"/>
      <c r="PE194" s="412"/>
      <c r="PF194" s="412"/>
      <c r="PG194" s="412"/>
      <c r="PH194" s="412"/>
      <c r="PI194" s="412"/>
      <c r="PJ194" s="412"/>
      <c r="PK194" s="412"/>
      <c r="PL194" s="412"/>
      <c r="PM194" s="412"/>
      <c r="PN194" s="412"/>
      <c r="PO194" s="412"/>
      <c r="PP194" s="412"/>
      <c r="PQ194" s="412"/>
      <c r="PR194" s="412"/>
      <c r="PS194" s="412"/>
      <c r="PT194" s="412"/>
      <c r="PU194" s="412"/>
      <c r="PV194" s="412"/>
      <c r="PW194" s="412"/>
      <c r="PX194" s="412"/>
      <c r="PY194" s="412"/>
      <c r="PZ194" s="412"/>
      <c r="QA194" s="412"/>
      <c r="QB194" s="412"/>
      <c r="QC194" s="412"/>
      <c r="QD194" s="412"/>
      <c r="QE194" s="412"/>
      <c r="QF194" s="412"/>
      <c r="QG194" s="412"/>
      <c r="QH194" s="412"/>
      <c r="QI194" s="412"/>
      <c r="QJ194" s="412"/>
      <c r="QK194" s="412"/>
      <c r="QL194" s="412"/>
      <c r="QM194" s="412"/>
      <c r="QN194" s="412"/>
      <c r="QO194" s="412"/>
      <c r="QP194" s="412"/>
      <c r="QQ194" s="412"/>
      <c r="QR194" s="412"/>
      <c r="QS194" s="412"/>
      <c r="QT194" s="412"/>
      <c r="QU194" s="412"/>
      <c r="QV194" s="412"/>
      <c r="QW194" s="412"/>
      <c r="QX194" s="412"/>
      <c r="QY194" s="412"/>
      <c r="QZ194" s="412"/>
      <c r="RA194" s="412"/>
      <c r="RB194" s="412"/>
      <c r="RC194" s="412"/>
      <c r="RD194" s="412"/>
      <c r="RE194" s="412"/>
      <c r="RF194" s="412"/>
      <c r="RG194" s="412"/>
      <c r="RH194" s="412"/>
      <c r="RI194" s="412"/>
      <c r="RJ194" s="412"/>
      <c r="RK194" s="412"/>
      <c r="RL194" s="412"/>
      <c r="RM194" s="412"/>
      <c r="RN194" s="412"/>
      <c r="RO194" s="412"/>
      <c r="RP194" s="412"/>
      <c r="RQ194" s="412"/>
      <c r="RR194" s="412"/>
      <c r="RS194" s="412"/>
      <c r="RT194" s="412"/>
      <c r="RU194" s="412"/>
      <c r="RV194" s="412"/>
      <c r="RW194" s="412"/>
      <c r="RX194" s="412"/>
      <c r="RY194" s="412"/>
      <c r="RZ194" s="412"/>
      <c r="SA194" s="412"/>
      <c r="SB194" s="412"/>
      <c r="SC194" s="412"/>
      <c r="SD194" s="412"/>
      <c r="SE194" s="412"/>
      <c r="SF194" s="412"/>
      <c r="SG194" s="412"/>
      <c r="SH194" s="412"/>
      <c r="SI194" s="412"/>
      <c r="SJ194" s="412"/>
      <c r="SK194" s="412"/>
      <c r="SL194" s="412"/>
      <c r="SM194" s="412"/>
      <c r="SN194" s="412"/>
      <c r="SO194" s="412"/>
      <c r="SP194" s="412"/>
      <c r="SQ194" s="412"/>
      <c r="SR194" s="412"/>
      <c r="SS194" s="412"/>
      <c r="ST194" s="412"/>
      <c r="SU194" s="412"/>
      <c r="SV194" s="412"/>
      <c r="SW194" s="412"/>
      <c r="SX194" s="412"/>
      <c r="SY194" s="412"/>
      <c r="SZ194" s="412"/>
      <c r="TA194" s="412"/>
      <c r="TB194" s="412"/>
      <c r="TC194" s="412"/>
      <c r="TD194" s="412"/>
      <c r="TE194" s="412"/>
      <c r="TF194" s="412"/>
      <c r="TG194" s="412"/>
      <c r="TH194" s="412"/>
      <c r="TI194" s="412"/>
      <c r="TJ194" s="412"/>
      <c r="TK194" s="412"/>
      <c r="TL194" s="412"/>
      <c r="TM194" s="412"/>
      <c r="TN194" s="412"/>
      <c r="TO194" s="412"/>
      <c r="TP194" s="412"/>
      <c r="TQ194" s="412"/>
      <c r="TR194" s="412"/>
      <c r="TS194" s="412"/>
      <c r="TT194" s="412"/>
      <c r="TU194" s="412"/>
      <c r="TV194" s="412"/>
      <c r="TW194" s="412"/>
      <c r="TX194" s="412"/>
      <c r="TY194" s="412"/>
      <c r="TZ194" s="412"/>
      <c r="UA194" s="412"/>
      <c r="UB194" s="412"/>
      <c r="UC194" s="412"/>
      <c r="UD194" s="412"/>
      <c r="UE194" s="412"/>
      <c r="UF194" s="412"/>
      <c r="UG194" s="412"/>
      <c r="UH194" s="412"/>
      <c r="UI194" s="412"/>
      <c r="UJ194" s="412"/>
      <c r="UK194" s="412"/>
      <c r="UL194" s="412"/>
      <c r="UM194" s="412"/>
      <c r="UN194" s="412"/>
      <c r="UO194" s="412"/>
      <c r="UP194" s="412"/>
      <c r="UQ194" s="412"/>
      <c r="UR194" s="412"/>
      <c r="US194" s="412"/>
      <c r="UT194" s="412"/>
      <c r="UU194" s="412"/>
      <c r="UV194" s="412"/>
      <c r="UW194" s="412"/>
      <c r="UX194" s="412"/>
      <c r="UY194" s="412"/>
      <c r="UZ194" s="412"/>
      <c r="VA194" s="412"/>
      <c r="VB194" s="412"/>
      <c r="VC194" s="412"/>
      <c r="VD194" s="412"/>
      <c r="VE194" s="412"/>
      <c r="VF194" s="412"/>
      <c r="VG194" s="412"/>
      <c r="VH194" s="412"/>
      <c r="VI194" s="412"/>
      <c r="VJ194" s="412"/>
      <c r="VK194" s="412"/>
      <c r="VL194" s="412"/>
      <c r="VM194" s="412"/>
      <c r="VN194" s="412"/>
      <c r="VO194" s="412"/>
      <c r="VP194" s="412"/>
      <c r="VQ194" s="412"/>
      <c r="VR194" s="412"/>
      <c r="VS194" s="412"/>
      <c r="VT194" s="412"/>
      <c r="VU194" s="412"/>
      <c r="VV194" s="412"/>
      <c r="VW194" s="412"/>
      <c r="VX194" s="412"/>
      <c r="VY194" s="412"/>
      <c r="VZ194" s="412"/>
      <c r="WA194" s="412"/>
      <c r="WB194" s="412"/>
      <c r="WC194" s="412"/>
      <c r="WD194" s="412"/>
      <c r="WE194" s="412"/>
      <c r="WF194" s="412"/>
      <c r="WG194" s="412"/>
      <c r="WH194" s="412"/>
      <c r="WI194" s="412"/>
      <c r="WJ194" s="412"/>
      <c r="WK194" s="412"/>
      <c r="WL194" s="412"/>
      <c r="WM194" s="412"/>
      <c r="WN194" s="412"/>
      <c r="WO194" s="412"/>
      <c r="WP194" s="412"/>
      <c r="WQ194" s="412"/>
      <c r="WR194" s="412"/>
      <c r="WS194" s="412"/>
      <c r="WT194" s="412"/>
      <c r="WU194" s="412"/>
      <c r="WV194" s="412"/>
      <c r="WW194" s="412"/>
      <c r="WX194" s="412"/>
      <c r="WY194" s="412"/>
      <c r="WZ194" s="412"/>
      <c r="XA194" s="412"/>
      <c r="XB194" s="412"/>
      <c r="XC194" s="412"/>
      <c r="XD194" s="412"/>
      <c r="XE194" s="412"/>
      <c r="XF194" s="412"/>
      <c r="XG194" s="412"/>
      <c r="XH194" s="412"/>
      <c r="XI194" s="412"/>
      <c r="XJ194" s="412"/>
      <c r="XK194" s="412"/>
      <c r="XL194" s="412"/>
      <c r="XM194" s="412"/>
      <c r="XN194" s="412"/>
      <c r="XO194" s="412"/>
      <c r="XP194" s="412"/>
      <c r="XQ194" s="412"/>
      <c r="XR194" s="412"/>
      <c r="XS194" s="412"/>
      <c r="XT194" s="412"/>
      <c r="XU194" s="412"/>
      <c r="XV194" s="412"/>
      <c r="XW194" s="412"/>
      <c r="XX194" s="412"/>
      <c r="XY194" s="412"/>
      <c r="XZ194" s="412"/>
      <c r="YA194" s="412"/>
      <c r="YB194" s="412"/>
      <c r="YC194" s="412"/>
      <c r="YD194" s="412"/>
      <c r="YE194" s="412"/>
      <c r="YF194" s="412"/>
      <c r="YG194" s="412"/>
      <c r="YH194" s="412"/>
      <c r="YI194" s="412"/>
      <c r="YJ194" s="412"/>
      <c r="YK194" s="412"/>
      <c r="YL194" s="412"/>
      <c r="YM194" s="412"/>
      <c r="YN194" s="412"/>
      <c r="YO194" s="412"/>
      <c r="YP194" s="412"/>
      <c r="YQ194" s="412"/>
      <c r="YR194" s="412"/>
      <c r="YS194" s="412"/>
      <c r="YT194" s="412"/>
      <c r="YU194" s="412"/>
      <c r="YV194" s="412"/>
      <c r="YW194" s="412"/>
      <c r="YX194" s="412"/>
      <c r="YY194" s="412"/>
      <c r="YZ194" s="412"/>
      <c r="ZA194" s="412"/>
      <c r="ZB194" s="412"/>
      <c r="ZC194" s="412"/>
      <c r="ZD194" s="412"/>
      <c r="ZE194" s="412"/>
      <c r="ZF194" s="412"/>
      <c r="ZG194" s="412"/>
      <c r="ZH194" s="412"/>
      <c r="ZI194" s="412"/>
      <c r="ZJ194" s="412"/>
      <c r="ZK194" s="412"/>
      <c r="ZL194" s="412"/>
      <c r="ZM194" s="412"/>
      <c r="ZN194" s="412"/>
      <c r="ZO194" s="412"/>
      <c r="ZP194" s="412"/>
      <c r="ZQ194" s="412"/>
      <c r="ZR194" s="412"/>
      <c r="ZS194" s="412"/>
      <c r="ZT194" s="412"/>
      <c r="ZU194" s="412"/>
      <c r="ZV194" s="412"/>
      <c r="ZW194" s="412"/>
      <c r="ZX194" s="412"/>
      <c r="ZY194" s="412"/>
      <c r="ZZ194" s="412"/>
      <c r="AAA194" s="412"/>
      <c r="AAB194" s="412"/>
      <c r="AAC194" s="412"/>
      <c r="AAD194" s="412"/>
      <c r="AAE194" s="412"/>
      <c r="AAF194" s="412"/>
      <c r="AAG194" s="412"/>
      <c r="AAH194" s="412"/>
      <c r="AAI194" s="412"/>
      <c r="AAJ194" s="412"/>
      <c r="AAK194" s="412"/>
      <c r="AAL194" s="412"/>
      <c r="AAM194" s="412"/>
      <c r="AAN194" s="412"/>
      <c r="AAO194" s="412"/>
      <c r="AAP194" s="412"/>
      <c r="AAQ194" s="412"/>
      <c r="AAR194" s="412"/>
      <c r="AAS194" s="412"/>
      <c r="AAT194" s="412"/>
      <c r="AAU194" s="412"/>
      <c r="AAV194" s="412"/>
      <c r="AAW194" s="412"/>
      <c r="AAX194" s="412"/>
      <c r="AAY194" s="412"/>
      <c r="AAZ194" s="412"/>
      <c r="ABA194" s="412"/>
      <c r="ABB194" s="412"/>
      <c r="ABC194" s="412"/>
      <c r="ABD194" s="412"/>
      <c r="ABE194" s="412"/>
      <c r="ABF194" s="412"/>
      <c r="ABG194" s="412"/>
      <c r="ABH194" s="412"/>
      <c r="ABI194" s="412"/>
      <c r="ABJ194" s="412"/>
      <c r="ABK194" s="412"/>
      <c r="ABL194" s="412"/>
      <c r="ABM194" s="412"/>
      <c r="ABN194" s="412"/>
      <c r="ABO194" s="412"/>
      <c r="ABP194" s="412"/>
      <c r="ABQ194" s="412"/>
      <c r="ABR194" s="412"/>
      <c r="ABS194" s="412"/>
      <c r="ABT194" s="412"/>
      <c r="ABU194" s="412"/>
      <c r="ABV194" s="412"/>
      <c r="ABW194" s="412"/>
      <c r="ABX194" s="412"/>
      <c r="ABY194" s="412"/>
      <c r="ABZ194" s="412"/>
      <c r="ACA194" s="412"/>
      <c r="ACB194" s="412"/>
      <c r="ACC194" s="412"/>
      <c r="ACD194" s="412"/>
      <c r="ACE194" s="412"/>
      <c r="ACF194" s="412"/>
      <c r="ACG194" s="412"/>
      <c r="ACH194" s="412"/>
      <c r="ACI194" s="412"/>
      <c r="ACJ194" s="412"/>
      <c r="ACK194" s="412"/>
      <c r="ACL194" s="412"/>
      <c r="ACM194" s="412"/>
      <c r="ACN194" s="412"/>
      <c r="ACO194" s="412"/>
      <c r="ACP194" s="412"/>
      <c r="ACQ194" s="412"/>
      <c r="ACR194" s="412"/>
      <c r="ACS194" s="412"/>
      <c r="ACT194" s="412"/>
      <c r="ACU194" s="412"/>
      <c r="ACV194" s="412"/>
      <c r="ACW194" s="412"/>
      <c r="ACX194" s="412"/>
      <c r="ACY194" s="412"/>
      <c r="ACZ194" s="412"/>
      <c r="ADA194" s="412"/>
      <c r="ADB194" s="412"/>
      <c r="ADC194" s="412"/>
      <c r="ADD194" s="412"/>
      <c r="ADE194" s="412"/>
      <c r="ADF194" s="412"/>
      <c r="ADG194" s="412"/>
      <c r="ADH194" s="412"/>
      <c r="ADI194" s="412"/>
      <c r="ADJ194" s="412"/>
      <c r="ADK194" s="412"/>
      <c r="ADL194" s="412"/>
      <c r="ADM194" s="412"/>
      <c r="ADN194" s="412"/>
      <c r="ADO194" s="412"/>
      <c r="ADP194" s="412"/>
      <c r="ADQ194" s="412"/>
      <c r="ADR194" s="412"/>
      <c r="ADS194" s="412"/>
      <c r="ADT194" s="412"/>
      <c r="ADU194" s="412"/>
      <c r="ADV194" s="412"/>
      <c r="ADW194" s="412"/>
      <c r="ADX194" s="412"/>
      <c r="ADY194" s="412"/>
      <c r="ADZ194" s="412"/>
      <c r="AEA194" s="412"/>
      <c r="AEB194" s="412"/>
      <c r="AEC194" s="412"/>
      <c r="AED194" s="412"/>
      <c r="AEE194" s="412"/>
      <c r="AEF194" s="412"/>
      <c r="AEG194" s="412"/>
      <c r="AEH194" s="412"/>
      <c r="AEI194" s="412"/>
      <c r="AEJ194" s="412"/>
      <c r="AEK194" s="412"/>
      <c r="AEL194" s="412"/>
      <c r="AEM194" s="412"/>
      <c r="AEN194" s="412"/>
      <c r="AEO194" s="412"/>
      <c r="AEP194" s="412"/>
      <c r="AEQ194" s="412"/>
      <c r="AER194" s="412"/>
      <c r="AES194" s="412"/>
      <c r="AET194" s="412"/>
      <c r="AEU194" s="412"/>
      <c r="AEV194" s="412"/>
      <c r="AEW194" s="412"/>
      <c r="AEX194" s="412"/>
      <c r="AEY194" s="412"/>
      <c r="AEZ194" s="412"/>
      <c r="AFA194" s="412"/>
      <c r="AFB194" s="412"/>
      <c r="AFC194" s="412"/>
      <c r="AFD194" s="412"/>
      <c r="AFE194" s="412"/>
      <c r="AFF194" s="412"/>
      <c r="AFG194" s="412"/>
      <c r="AFH194" s="412"/>
      <c r="AFI194" s="412"/>
      <c r="AFJ194" s="412"/>
      <c r="AFK194" s="412"/>
      <c r="AFL194" s="412"/>
      <c r="AFM194" s="412"/>
      <c r="AFN194" s="412"/>
      <c r="AFO194" s="412"/>
      <c r="AFP194" s="412"/>
      <c r="AFQ194" s="412"/>
      <c r="AFR194" s="412"/>
      <c r="AFS194" s="412"/>
      <c r="AFT194" s="412"/>
      <c r="AFU194" s="412"/>
      <c r="AFV194" s="412"/>
      <c r="AFW194" s="412"/>
      <c r="AFX194" s="412"/>
      <c r="AFY194" s="412"/>
      <c r="AFZ194" s="412"/>
      <c r="AGA194" s="412"/>
      <c r="AGB194" s="412"/>
      <c r="AGC194" s="412"/>
      <c r="AGD194" s="412"/>
      <c r="AGE194" s="412"/>
      <c r="AGF194" s="412"/>
      <c r="AGG194" s="412"/>
      <c r="AGH194" s="412"/>
      <c r="AGI194" s="412"/>
      <c r="AGJ194" s="412"/>
      <c r="AGK194" s="412"/>
      <c r="AGL194" s="412"/>
      <c r="AGM194" s="412"/>
      <c r="AGN194" s="412"/>
      <c r="AGO194" s="412"/>
      <c r="AGP194" s="412"/>
      <c r="AGQ194" s="412"/>
      <c r="AGR194" s="412"/>
      <c r="AGS194" s="412"/>
      <c r="AGT194" s="412"/>
      <c r="AGU194" s="412"/>
      <c r="AGV194" s="412"/>
      <c r="AGW194" s="412"/>
      <c r="AGX194" s="412"/>
      <c r="AGY194" s="412"/>
      <c r="AGZ194" s="412"/>
      <c r="AHA194" s="412"/>
      <c r="AHB194" s="412"/>
      <c r="AHC194" s="412"/>
      <c r="AHD194" s="412"/>
      <c r="AHE194" s="412"/>
      <c r="AHF194" s="412"/>
      <c r="AHG194" s="412"/>
      <c r="AHH194" s="412"/>
      <c r="AHI194" s="412"/>
      <c r="AHJ194" s="412"/>
      <c r="AHK194" s="412"/>
      <c r="AHL194" s="412"/>
      <c r="AHM194" s="412"/>
      <c r="AHN194" s="412"/>
      <c r="AHO194" s="412"/>
      <c r="AHP194" s="412"/>
      <c r="AHQ194" s="412"/>
      <c r="AHR194" s="412"/>
      <c r="AHS194" s="412"/>
      <c r="AHT194" s="412"/>
      <c r="AHU194" s="412"/>
      <c r="AHV194" s="412"/>
      <c r="AHW194" s="412"/>
      <c r="AHX194" s="412"/>
      <c r="AHY194" s="412"/>
      <c r="AHZ194" s="412"/>
      <c r="AIA194" s="412"/>
      <c r="AIB194" s="412"/>
      <c r="AIC194" s="412"/>
      <c r="AID194" s="412"/>
      <c r="AIE194" s="412"/>
      <c r="AIF194" s="412"/>
      <c r="AIG194" s="412"/>
      <c r="AIH194" s="412"/>
      <c r="AII194" s="412"/>
      <c r="AIJ194" s="412"/>
      <c r="AIK194" s="412"/>
      <c r="AIL194" s="412"/>
      <c r="AIM194" s="412"/>
      <c r="AIN194" s="412"/>
      <c r="AIO194" s="412"/>
      <c r="AIP194" s="412"/>
      <c r="AIQ194" s="412"/>
      <c r="AIR194" s="412"/>
      <c r="AIS194" s="412"/>
      <c r="AIT194" s="412"/>
      <c r="AIU194" s="412"/>
      <c r="AIV194" s="412"/>
      <c r="AIW194" s="412"/>
      <c r="AIX194" s="412"/>
      <c r="AIY194" s="412"/>
      <c r="AIZ194" s="412"/>
      <c r="AJA194" s="412"/>
      <c r="AJB194" s="412"/>
      <c r="AJC194" s="412"/>
      <c r="AJD194" s="412"/>
      <c r="AJE194" s="412"/>
      <c r="AJF194" s="412"/>
      <c r="AJG194" s="412"/>
      <c r="AJH194" s="412"/>
      <c r="AJI194" s="412"/>
      <c r="AJJ194" s="412"/>
      <c r="AJK194" s="412"/>
      <c r="AJL194" s="412"/>
      <c r="AJM194" s="412"/>
      <c r="AJN194" s="412"/>
      <c r="AJO194" s="412"/>
      <c r="AJP194" s="412"/>
      <c r="AJQ194" s="412"/>
      <c r="AJR194" s="412"/>
      <c r="AJS194" s="412"/>
      <c r="AJT194" s="412"/>
      <c r="AJU194" s="412"/>
      <c r="AJV194" s="412"/>
      <c r="AJW194" s="412"/>
      <c r="AJX194" s="412"/>
      <c r="AJY194" s="412"/>
      <c r="AJZ194" s="412"/>
      <c r="AKA194" s="412"/>
      <c r="AKB194" s="412"/>
      <c r="AKC194" s="412"/>
      <c r="AKD194" s="412"/>
      <c r="AKE194" s="412"/>
      <c r="AKF194" s="412"/>
      <c r="AKG194" s="412"/>
      <c r="AKH194" s="412"/>
      <c r="AKI194" s="412"/>
      <c r="AKJ194" s="412"/>
      <c r="AKK194" s="412"/>
      <c r="AKL194" s="412"/>
      <c r="AKM194" s="412"/>
      <c r="AKN194" s="412"/>
      <c r="AKO194" s="412"/>
      <c r="AKP194" s="412"/>
      <c r="AKQ194" s="412"/>
      <c r="AKR194" s="412"/>
      <c r="AKS194" s="412"/>
      <c r="AKT194" s="412"/>
      <c r="AKU194" s="412"/>
      <c r="AKV194" s="412"/>
      <c r="AKW194" s="412"/>
      <c r="AKX194" s="412"/>
      <c r="AKY194" s="412"/>
      <c r="AKZ194" s="412"/>
      <c r="ALA194" s="412"/>
      <c r="ALB194" s="412"/>
      <c r="ALC194" s="412"/>
      <c r="ALD194" s="412"/>
      <c r="ALE194" s="412"/>
      <c r="ALF194" s="412"/>
      <c r="ALG194" s="412"/>
      <c r="ALH194" s="412"/>
      <c r="ALI194" s="412"/>
      <c r="ALJ194" s="412"/>
      <c r="ALK194" s="412"/>
      <c r="ALL194" s="412"/>
      <c r="ALM194" s="412"/>
      <c r="ALN194" s="412"/>
      <c r="ALO194" s="412"/>
      <c r="ALP194" s="412"/>
      <c r="ALQ194" s="412"/>
      <c r="ALR194" s="412"/>
      <c r="ALS194" s="412"/>
      <c r="ALT194" s="412"/>
      <c r="ALU194" s="412"/>
      <c r="ALV194" s="412"/>
      <c r="ALW194" s="412"/>
      <c r="ALX194" s="412"/>
      <c r="ALY194" s="412"/>
      <c r="ALZ194" s="412"/>
      <c r="AMA194" s="412"/>
      <c r="AMB194" s="412"/>
      <c r="AMC194" s="412"/>
      <c r="AMD194" s="412"/>
      <c r="AME194" s="412"/>
      <c r="AMF194" s="412"/>
      <c r="AMG194" s="412"/>
      <c r="AMH194" s="412"/>
      <c r="AMI194" s="412"/>
      <c r="AMJ194" s="412"/>
      <c r="AMK194" s="412"/>
      <c r="AML194" s="412"/>
      <c r="AMM194" s="412"/>
      <c r="AMN194" s="412"/>
      <c r="AMO194" s="412"/>
      <c r="AMP194" s="412"/>
      <c r="AMQ194" s="412"/>
      <c r="AMR194" s="412"/>
      <c r="AMS194" s="412"/>
      <c r="AMT194" s="412"/>
      <c r="AMU194" s="412"/>
      <c r="AMV194" s="412"/>
      <c r="AMW194" s="412"/>
      <c r="AMX194" s="412"/>
      <c r="AMY194" s="412"/>
      <c r="AMZ194" s="412"/>
      <c r="ANA194" s="412"/>
      <c r="ANB194" s="412"/>
      <c r="ANC194" s="412"/>
      <c r="AND194" s="412"/>
      <c r="ANE194" s="412"/>
      <c r="ANF194" s="412"/>
      <c r="ANG194" s="412"/>
      <c r="ANH194" s="412"/>
      <c r="ANI194" s="412"/>
      <c r="ANJ194" s="412"/>
      <c r="ANK194" s="412"/>
      <c r="ANL194" s="412"/>
      <c r="ANM194" s="412"/>
      <c r="ANN194" s="412"/>
      <c r="ANO194" s="412"/>
      <c r="ANP194" s="412"/>
      <c r="ANQ194" s="412"/>
      <c r="ANR194" s="412"/>
      <c r="ANS194" s="412"/>
      <c r="ANT194" s="412"/>
      <c r="ANU194" s="412"/>
      <c r="ANV194" s="412"/>
      <c r="ANW194" s="412"/>
      <c r="ANX194" s="412"/>
      <c r="ANY194" s="412"/>
      <c r="ANZ194" s="412"/>
      <c r="AOA194" s="412"/>
      <c r="AOB194" s="412"/>
      <c r="AOC194" s="412"/>
      <c r="AOD194" s="412"/>
      <c r="AOE194" s="412"/>
      <c r="AOF194" s="412"/>
      <c r="AOG194" s="412"/>
      <c r="AOH194" s="412"/>
      <c r="AOI194" s="412"/>
      <c r="AOJ194" s="412"/>
      <c r="AOK194" s="412"/>
      <c r="AOL194" s="412"/>
      <c r="AOM194" s="412"/>
      <c r="AON194" s="412"/>
      <c r="AOO194" s="412"/>
      <c r="AOP194" s="412"/>
      <c r="AOQ194" s="412"/>
      <c r="AOR194" s="412"/>
      <c r="AOS194" s="412"/>
      <c r="AOT194" s="412"/>
      <c r="AOU194" s="412"/>
      <c r="AOV194" s="412"/>
      <c r="AOW194" s="412"/>
      <c r="AOX194" s="412"/>
      <c r="AOY194" s="412"/>
      <c r="AOZ194" s="412"/>
      <c r="APA194" s="412"/>
      <c r="APB194" s="412"/>
      <c r="APC194" s="412"/>
      <c r="APD194" s="412"/>
      <c r="APE194" s="412"/>
      <c r="APF194" s="412"/>
      <c r="APG194" s="412"/>
      <c r="APH194" s="412"/>
      <c r="API194" s="412"/>
      <c r="APJ194" s="412"/>
      <c r="APK194" s="412"/>
      <c r="APL194" s="412"/>
      <c r="APM194" s="412"/>
      <c r="APN194" s="412"/>
      <c r="APO194" s="412"/>
      <c r="APP194" s="412"/>
      <c r="APQ194" s="412"/>
      <c r="APR194" s="412"/>
      <c r="APS194" s="412"/>
      <c r="APT194" s="412"/>
      <c r="APU194" s="412"/>
      <c r="APV194" s="412"/>
      <c r="APW194" s="412"/>
      <c r="APX194" s="412"/>
      <c r="APY194" s="412"/>
      <c r="APZ194" s="412"/>
      <c r="AQA194" s="412"/>
      <c r="AQB194" s="412"/>
      <c r="AQC194" s="412"/>
      <c r="AQD194" s="412"/>
      <c r="AQE194" s="412"/>
      <c r="AQF194" s="412"/>
      <c r="AQG194" s="412"/>
      <c r="AQH194" s="412"/>
      <c r="AQI194" s="412"/>
      <c r="AQJ194" s="412"/>
      <c r="AQK194" s="412"/>
      <c r="AQL194" s="412"/>
      <c r="AQM194" s="412"/>
      <c r="AQN194" s="412"/>
      <c r="AQO194" s="412"/>
      <c r="AQP194" s="412"/>
      <c r="AQQ194" s="412"/>
      <c r="AQR194" s="412"/>
      <c r="AQS194" s="412"/>
      <c r="AQT194" s="412"/>
      <c r="AQU194" s="412"/>
      <c r="AQV194" s="412"/>
      <c r="AQW194" s="412"/>
      <c r="AQX194" s="412"/>
      <c r="AQY194" s="412"/>
      <c r="AQZ194" s="412"/>
      <c r="ARA194" s="412"/>
      <c r="ARB194" s="412"/>
      <c r="ARC194" s="412"/>
      <c r="ARD194" s="412"/>
      <c r="ARE194" s="412"/>
      <c r="ARF194" s="412"/>
      <c r="ARG194" s="412"/>
      <c r="ARH194" s="412"/>
      <c r="ARI194" s="412"/>
      <c r="ARJ194" s="412"/>
      <c r="ARK194" s="412"/>
      <c r="ARL194" s="412"/>
      <c r="ARM194" s="412"/>
      <c r="ARN194" s="412"/>
      <c r="ARO194" s="412"/>
      <c r="ARP194" s="412"/>
      <c r="ARQ194" s="412"/>
      <c r="ARR194" s="412"/>
      <c r="ARS194" s="412"/>
      <c r="ART194" s="412"/>
      <c r="ARU194" s="412"/>
      <c r="ARV194" s="412"/>
      <c r="ARW194" s="412"/>
      <c r="ARX194" s="412"/>
      <c r="ARY194" s="412"/>
      <c r="ARZ194" s="412"/>
      <c r="ASA194" s="412"/>
      <c r="ASB194" s="412"/>
      <c r="ASC194" s="412"/>
      <c r="ASD194" s="412"/>
      <c r="ASE194" s="412"/>
      <c r="ASF194" s="412"/>
      <c r="ASG194" s="412"/>
      <c r="ASH194" s="412"/>
      <c r="ASI194" s="412"/>
      <c r="ASJ194" s="412"/>
      <c r="ASK194" s="412"/>
      <c r="ASL194" s="412"/>
      <c r="ASM194" s="412"/>
      <c r="ASN194" s="412"/>
      <c r="ASO194" s="412"/>
      <c r="ASP194" s="412"/>
      <c r="ASQ194" s="412"/>
      <c r="ASR194" s="412"/>
      <c r="ASS194" s="412"/>
      <c r="AST194" s="412"/>
      <c r="ASU194" s="412"/>
      <c r="ASV194" s="412"/>
      <c r="ASW194" s="412"/>
      <c r="ASX194" s="412"/>
      <c r="ASY194" s="412"/>
      <c r="ASZ194" s="412"/>
      <c r="ATA194" s="412"/>
      <c r="ATB194" s="412"/>
      <c r="ATC194" s="412"/>
      <c r="ATD194" s="412"/>
      <c r="ATE194" s="412"/>
      <c r="ATF194" s="412"/>
      <c r="ATG194" s="412"/>
      <c r="ATH194" s="412"/>
      <c r="ATI194" s="412"/>
      <c r="ATJ194" s="412"/>
      <c r="ATK194" s="412"/>
      <c r="ATL194" s="412"/>
      <c r="ATM194" s="412"/>
      <c r="ATN194" s="412"/>
      <c r="ATO194" s="412"/>
      <c r="ATP194" s="412"/>
      <c r="ATQ194" s="412"/>
      <c r="ATR194" s="412"/>
      <c r="ATS194" s="412"/>
      <c r="ATT194" s="412"/>
      <c r="ATU194" s="412"/>
      <c r="ATV194" s="412"/>
      <c r="ATW194" s="412"/>
      <c r="ATX194" s="412"/>
      <c r="ATY194" s="412"/>
      <c r="ATZ194" s="412"/>
      <c r="AUA194" s="412"/>
      <c r="AUB194" s="412"/>
      <c r="AUC194" s="412"/>
      <c r="AUD194" s="412"/>
      <c r="AUE194" s="412"/>
      <c r="AUF194" s="412"/>
      <c r="AUG194" s="412"/>
      <c r="AUH194" s="412"/>
      <c r="AUI194" s="412"/>
      <c r="AUJ194" s="412"/>
      <c r="AUK194" s="412"/>
      <c r="AUL194" s="412"/>
      <c r="AUM194" s="412"/>
      <c r="AUN194" s="412"/>
      <c r="AUO194" s="412"/>
      <c r="AUP194" s="412"/>
      <c r="AUQ194" s="412"/>
      <c r="AUR194" s="412"/>
      <c r="AUS194" s="412"/>
      <c r="AUT194" s="412"/>
      <c r="AUU194" s="412"/>
      <c r="AUV194" s="412"/>
      <c r="AUW194" s="412"/>
      <c r="AUX194" s="412"/>
      <c r="AUY194" s="412"/>
      <c r="AUZ194" s="412"/>
      <c r="AVA194" s="412"/>
      <c r="AVB194" s="412"/>
      <c r="AVC194" s="412"/>
      <c r="AVD194" s="412"/>
      <c r="AVE194" s="412"/>
      <c r="AVF194" s="412"/>
      <c r="AVG194" s="412"/>
      <c r="AVH194" s="412"/>
      <c r="AVI194" s="412"/>
      <c r="AVJ194" s="412"/>
      <c r="AVK194" s="412"/>
      <c r="AVL194" s="412"/>
      <c r="AVM194" s="412"/>
      <c r="AVN194" s="412"/>
      <c r="AVO194" s="412"/>
      <c r="AVP194" s="412"/>
      <c r="AVQ194" s="412"/>
      <c r="AVR194" s="412"/>
      <c r="AVS194" s="412"/>
      <c r="AVT194" s="412"/>
      <c r="AVU194" s="412"/>
      <c r="AVV194" s="412"/>
      <c r="AVW194" s="412"/>
      <c r="AVX194" s="412"/>
      <c r="AVY194" s="412"/>
      <c r="AVZ194" s="412"/>
      <c r="AWA194" s="412"/>
      <c r="AWB194" s="412"/>
      <c r="AWC194" s="412"/>
      <c r="AWD194" s="412"/>
      <c r="AWE194" s="412"/>
      <c r="AWF194" s="412"/>
      <c r="AWG194" s="412"/>
      <c r="AWH194" s="412"/>
      <c r="AWI194" s="412"/>
      <c r="AWJ194" s="412"/>
      <c r="AWK194" s="412"/>
      <c r="AWL194" s="412"/>
      <c r="AWM194" s="412"/>
      <c r="AWN194" s="412"/>
      <c r="AWO194" s="412"/>
      <c r="AWP194" s="412"/>
      <c r="AWQ194" s="412"/>
      <c r="AWR194" s="412"/>
      <c r="AWS194" s="412"/>
      <c r="AWT194" s="412"/>
      <c r="AWU194" s="412"/>
      <c r="AWV194" s="412"/>
      <c r="AWW194" s="412"/>
      <c r="AWX194" s="412"/>
      <c r="AWY194" s="412"/>
      <c r="AWZ194" s="412"/>
      <c r="AXA194" s="412"/>
      <c r="AXB194" s="412"/>
      <c r="AXC194" s="412"/>
      <c r="AXD194" s="412"/>
      <c r="AXE194" s="412"/>
      <c r="AXF194" s="412"/>
      <c r="AXG194" s="412"/>
      <c r="AXH194" s="412"/>
      <c r="AXI194" s="412"/>
      <c r="AXJ194" s="412"/>
      <c r="AXK194" s="412"/>
      <c r="AXL194" s="412"/>
      <c r="AXM194" s="412"/>
      <c r="AXN194" s="412"/>
      <c r="AXO194" s="412"/>
      <c r="AXP194" s="412"/>
      <c r="AXQ194" s="412"/>
      <c r="AXR194" s="412"/>
      <c r="AXS194" s="412"/>
      <c r="AXT194" s="412"/>
      <c r="AXU194" s="412"/>
      <c r="AXV194" s="412"/>
      <c r="AXW194" s="412"/>
      <c r="AXX194" s="412"/>
      <c r="AXY194" s="412"/>
      <c r="AXZ194" s="412"/>
      <c r="AYA194" s="412"/>
      <c r="AYB194" s="412"/>
      <c r="AYC194" s="412"/>
      <c r="AYD194" s="412"/>
      <c r="AYE194" s="412"/>
      <c r="AYF194" s="412"/>
      <c r="AYG194" s="412"/>
      <c r="AYH194" s="412"/>
      <c r="AYI194" s="412"/>
      <c r="AYJ194" s="412"/>
      <c r="AYK194" s="412"/>
      <c r="AYL194" s="412"/>
      <c r="AYM194" s="412"/>
      <c r="AYN194" s="412"/>
      <c r="AYO194" s="412"/>
      <c r="AYP194" s="412"/>
      <c r="AYQ194" s="412"/>
      <c r="AYR194" s="412"/>
      <c r="AYS194" s="412"/>
      <c r="AYT194" s="412"/>
      <c r="AYU194" s="412"/>
      <c r="AYV194" s="412"/>
      <c r="AYW194" s="412"/>
      <c r="AYX194" s="412"/>
      <c r="AYY194" s="412"/>
      <c r="AYZ194" s="412"/>
      <c r="AZA194" s="412"/>
      <c r="AZB194" s="412"/>
      <c r="AZC194" s="412"/>
      <c r="AZD194" s="412"/>
      <c r="AZE194" s="412"/>
      <c r="AZF194" s="412"/>
      <c r="AZG194" s="412"/>
      <c r="AZH194" s="412"/>
      <c r="AZI194" s="412"/>
      <c r="AZJ194" s="412"/>
      <c r="AZK194" s="412"/>
      <c r="AZL194" s="412"/>
      <c r="AZM194" s="412"/>
      <c r="AZN194" s="412"/>
      <c r="AZO194" s="412"/>
      <c r="AZP194" s="412"/>
      <c r="AZQ194" s="412"/>
      <c r="AZR194" s="412"/>
      <c r="AZS194" s="412"/>
      <c r="AZT194" s="412"/>
      <c r="AZU194" s="412"/>
      <c r="AZV194" s="412"/>
      <c r="AZW194" s="412"/>
      <c r="AZX194" s="412"/>
      <c r="AZY194" s="412"/>
      <c r="AZZ194" s="412"/>
      <c r="BAA194" s="412"/>
      <c r="BAB194" s="412"/>
      <c r="BAC194" s="412"/>
      <c r="BAD194" s="412"/>
      <c r="BAE194" s="412"/>
      <c r="BAF194" s="412"/>
      <c r="BAG194" s="412"/>
      <c r="BAH194" s="412"/>
      <c r="BAI194" s="412"/>
      <c r="BAJ194" s="412"/>
      <c r="BAK194" s="412"/>
      <c r="BAL194" s="412"/>
      <c r="BAM194" s="412"/>
      <c r="BAN194" s="412"/>
      <c r="BAO194" s="412"/>
      <c r="BAP194" s="412"/>
      <c r="BAQ194" s="412"/>
      <c r="BAR194" s="412"/>
      <c r="BAS194" s="412"/>
      <c r="BAT194" s="412"/>
      <c r="BAU194" s="412"/>
      <c r="BAV194" s="412"/>
      <c r="BAW194" s="412"/>
      <c r="BAX194" s="412"/>
      <c r="BAY194" s="412"/>
      <c r="BAZ194" s="412"/>
      <c r="BBA194" s="412"/>
      <c r="BBB194" s="412"/>
      <c r="BBC194" s="412"/>
      <c r="BBD194" s="412"/>
      <c r="BBE194" s="412"/>
      <c r="BBF194" s="412"/>
      <c r="BBG194" s="412"/>
      <c r="BBH194" s="412"/>
      <c r="BBI194" s="412"/>
      <c r="BBJ194" s="412"/>
      <c r="BBK194" s="412"/>
      <c r="BBL194" s="412"/>
      <c r="BBM194" s="412"/>
      <c r="BBN194" s="412"/>
      <c r="BBO194" s="412"/>
      <c r="BBP194" s="412"/>
      <c r="BBQ194" s="412"/>
      <c r="BBR194" s="412"/>
      <c r="BBS194" s="412"/>
      <c r="BBT194" s="412"/>
      <c r="BBU194" s="412"/>
      <c r="BBV194" s="412"/>
      <c r="BBW194" s="412"/>
      <c r="BBX194" s="412"/>
      <c r="BBY194" s="412"/>
      <c r="BBZ194" s="412"/>
      <c r="BCA194" s="412"/>
      <c r="BCB194" s="412"/>
      <c r="BCC194" s="412"/>
      <c r="BCD194" s="412"/>
      <c r="BCE194" s="412"/>
      <c r="BCF194" s="412"/>
      <c r="BCG194" s="412"/>
      <c r="BCH194" s="412"/>
      <c r="BCI194" s="412"/>
      <c r="BCJ194" s="412"/>
      <c r="BCK194" s="412"/>
      <c r="BCL194" s="412"/>
      <c r="BCM194" s="412"/>
      <c r="BCN194" s="412"/>
      <c r="BCO194" s="412"/>
      <c r="BCP194" s="412"/>
      <c r="BCQ194" s="412"/>
      <c r="BCR194" s="412"/>
      <c r="BCS194" s="412"/>
      <c r="BCT194" s="412"/>
      <c r="BCU194" s="412"/>
      <c r="BCV194" s="412"/>
      <c r="BCW194" s="412"/>
      <c r="BCX194" s="412"/>
      <c r="BCY194" s="412"/>
      <c r="BCZ194" s="412"/>
      <c r="BDA194" s="412"/>
      <c r="BDB194" s="412"/>
      <c r="BDC194" s="412"/>
      <c r="BDD194" s="412"/>
      <c r="BDE194" s="412"/>
      <c r="BDF194" s="412"/>
      <c r="BDG194" s="412"/>
      <c r="BDH194" s="412"/>
      <c r="BDI194" s="412"/>
      <c r="BDJ194" s="412"/>
      <c r="BDK194" s="412"/>
      <c r="BDL194" s="412"/>
      <c r="BDM194" s="412"/>
      <c r="BDN194" s="412"/>
      <c r="BDO194" s="412"/>
      <c r="BDP194" s="412"/>
      <c r="BDQ194" s="412"/>
      <c r="BDR194" s="412"/>
      <c r="BDS194" s="412"/>
      <c r="BDT194" s="412"/>
      <c r="BDU194" s="412"/>
      <c r="BDV194" s="412"/>
      <c r="BDW194" s="412"/>
      <c r="BDX194" s="412"/>
      <c r="BDY194" s="412"/>
      <c r="BDZ194" s="412"/>
      <c r="BEA194" s="412"/>
      <c r="BEB194" s="412"/>
      <c r="BEC194" s="412"/>
      <c r="BED194" s="412"/>
      <c r="BEE194" s="412"/>
      <c r="BEF194" s="412"/>
      <c r="BEG194" s="412"/>
      <c r="BEH194" s="412"/>
      <c r="BEI194" s="412"/>
      <c r="BEJ194" s="412"/>
      <c r="BEK194" s="412"/>
      <c r="BEL194" s="412"/>
      <c r="BEM194" s="412"/>
      <c r="BEN194" s="412"/>
      <c r="BEO194" s="412"/>
      <c r="BEP194" s="412"/>
      <c r="BEQ194" s="412"/>
      <c r="BER194" s="412"/>
      <c r="BES194" s="412"/>
      <c r="BET194" s="412"/>
      <c r="BEU194" s="412"/>
      <c r="BEV194" s="412"/>
      <c r="BEW194" s="412"/>
      <c r="BEX194" s="412"/>
      <c r="BEY194" s="412"/>
      <c r="BEZ194" s="412"/>
      <c r="BFA194" s="412"/>
      <c r="BFB194" s="412"/>
      <c r="BFC194" s="412"/>
      <c r="BFD194" s="412"/>
      <c r="BFE194" s="412"/>
      <c r="BFF194" s="412"/>
      <c r="BFG194" s="412"/>
      <c r="BFH194" s="412"/>
      <c r="BFI194" s="412"/>
      <c r="BFJ194" s="412"/>
      <c r="BFK194" s="412"/>
      <c r="BFL194" s="412"/>
      <c r="BFM194" s="412"/>
      <c r="BFN194" s="412"/>
      <c r="BFO194" s="412"/>
      <c r="BFP194" s="412"/>
      <c r="BFQ194" s="412"/>
      <c r="BFR194" s="412"/>
      <c r="BFS194" s="412"/>
      <c r="BFT194" s="412"/>
      <c r="BFU194" s="412"/>
      <c r="BFV194" s="412"/>
      <c r="BFW194" s="412"/>
      <c r="BFX194" s="412"/>
      <c r="BFY194" s="412"/>
      <c r="BFZ194" s="412"/>
      <c r="BGA194" s="412"/>
      <c r="BGB194" s="412"/>
      <c r="BGC194" s="412"/>
      <c r="BGD194" s="412"/>
      <c r="BGE194" s="412"/>
      <c r="BGF194" s="412"/>
      <c r="BGG194" s="412"/>
      <c r="BGH194" s="412"/>
      <c r="BGI194" s="412"/>
      <c r="BGJ194" s="412"/>
      <c r="BGK194" s="412"/>
      <c r="BGL194" s="412"/>
      <c r="BGM194" s="412"/>
      <c r="BGN194" s="412"/>
      <c r="BGO194" s="412"/>
      <c r="BGP194" s="412"/>
      <c r="BGQ194" s="412"/>
      <c r="BGR194" s="412"/>
      <c r="BGS194" s="412"/>
      <c r="BGT194" s="412"/>
      <c r="BGU194" s="412"/>
      <c r="BGV194" s="412"/>
      <c r="BGW194" s="412"/>
      <c r="BGX194" s="412"/>
      <c r="BGY194" s="412"/>
      <c r="BGZ194" s="412"/>
      <c r="BHA194" s="412"/>
      <c r="BHB194" s="412"/>
      <c r="BHC194" s="412"/>
      <c r="BHD194" s="412"/>
      <c r="BHE194" s="412"/>
      <c r="BHF194" s="412"/>
      <c r="BHG194" s="412"/>
      <c r="BHH194" s="412"/>
      <c r="BHI194" s="412"/>
      <c r="BHJ194" s="412"/>
      <c r="BHK194" s="412"/>
      <c r="BHL194" s="412"/>
      <c r="BHM194" s="412"/>
      <c r="BHN194" s="412"/>
      <c r="BHO194" s="412"/>
      <c r="BHP194" s="412"/>
      <c r="BHQ194" s="412"/>
      <c r="BHR194" s="412"/>
      <c r="BHS194" s="412"/>
      <c r="BHT194" s="412"/>
      <c r="BHU194" s="412"/>
      <c r="BHV194" s="412"/>
      <c r="BHW194" s="412"/>
      <c r="BHX194" s="412"/>
      <c r="BHY194" s="412"/>
      <c r="BHZ194" s="412"/>
      <c r="BIA194" s="412"/>
      <c r="BIB194" s="412"/>
      <c r="BIC194" s="412"/>
      <c r="BID194" s="412"/>
      <c r="BIE194" s="412"/>
      <c r="BIF194" s="412"/>
      <c r="BIG194" s="412"/>
      <c r="BIH194" s="412"/>
      <c r="BII194" s="412"/>
      <c r="BIJ194" s="412"/>
      <c r="BIK194" s="412"/>
      <c r="BIL194" s="412"/>
      <c r="BIM194" s="412"/>
      <c r="BIN194" s="412"/>
      <c r="BIO194" s="412"/>
      <c r="BIP194" s="412"/>
      <c r="BIQ194" s="412"/>
      <c r="BIR194" s="412"/>
      <c r="BIS194" s="412"/>
      <c r="BIT194" s="412"/>
      <c r="BIU194" s="412"/>
      <c r="BIV194" s="412"/>
      <c r="BIW194" s="412"/>
      <c r="BIX194" s="412"/>
      <c r="BIY194" s="412"/>
      <c r="BIZ194" s="412"/>
      <c r="BJA194" s="412"/>
      <c r="BJB194" s="412"/>
      <c r="BJC194" s="412"/>
      <c r="BJD194" s="412"/>
      <c r="BJE194" s="412"/>
      <c r="BJF194" s="412"/>
      <c r="BJG194" s="412"/>
      <c r="BJH194" s="412"/>
      <c r="BJI194" s="412"/>
      <c r="BJJ194" s="412"/>
      <c r="BJK194" s="412"/>
      <c r="BJL194" s="412"/>
      <c r="BJM194" s="412"/>
      <c r="BJN194" s="412"/>
      <c r="BJO194" s="412"/>
      <c r="BJP194" s="412"/>
      <c r="BJQ194" s="412"/>
      <c r="BJR194" s="412"/>
      <c r="BJS194" s="412"/>
      <c r="BJT194" s="412"/>
      <c r="BJU194" s="412"/>
      <c r="BJV194" s="412"/>
      <c r="BJW194" s="412"/>
      <c r="BJX194" s="412"/>
      <c r="BJY194" s="412"/>
      <c r="BJZ194" s="412"/>
      <c r="BKA194" s="412"/>
      <c r="BKB194" s="412"/>
      <c r="BKC194" s="412"/>
      <c r="BKD194" s="412"/>
      <c r="BKE194" s="412"/>
      <c r="BKF194" s="412"/>
      <c r="BKG194" s="412"/>
      <c r="BKH194" s="412"/>
      <c r="BKI194" s="412"/>
      <c r="BKJ194" s="412"/>
      <c r="BKK194" s="412"/>
      <c r="BKL194" s="412"/>
      <c r="BKM194" s="412"/>
      <c r="BKN194" s="412"/>
      <c r="BKO194" s="412"/>
      <c r="BKP194" s="412"/>
      <c r="BKQ194" s="412"/>
      <c r="BKR194" s="412"/>
      <c r="BKS194" s="412"/>
      <c r="BKT194" s="412"/>
      <c r="BKU194" s="412"/>
      <c r="BKV194" s="412"/>
      <c r="BKW194" s="412"/>
      <c r="BKX194" s="412"/>
      <c r="BKY194" s="412"/>
      <c r="BKZ194" s="412"/>
      <c r="BLA194" s="412"/>
      <c r="BLB194" s="412"/>
      <c r="BLC194" s="412"/>
      <c r="BLD194" s="412"/>
      <c r="BLE194" s="412"/>
      <c r="BLF194" s="412"/>
      <c r="BLG194" s="412"/>
      <c r="BLH194" s="412"/>
      <c r="BLI194" s="412"/>
      <c r="BLJ194" s="412"/>
      <c r="BLK194" s="412"/>
      <c r="BLL194" s="412"/>
      <c r="BLM194" s="412"/>
      <c r="BLN194" s="412"/>
      <c r="BLO194" s="412"/>
      <c r="BLP194" s="412"/>
      <c r="BLQ194" s="412"/>
      <c r="BLR194" s="412"/>
      <c r="BLS194" s="412"/>
      <c r="BLT194" s="412"/>
      <c r="BLU194" s="412"/>
      <c r="BLV194" s="412"/>
      <c r="BLW194" s="412"/>
      <c r="BLX194" s="412"/>
      <c r="BLY194" s="412"/>
      <c r="BLZ194" s="412"/>
      <c r="BMA194" s="412"/>
      <c r="BMB194" s="412"/>
      <c r="BMC194" s="412"/>
      <c r="BMD194" s="412"/>
      <c r="BME194" s="412"/>
      <c r="BMF194" s="412"/>
      <c r="BMG194" s="412"/>
      <c r="BMH194" s="412"/>
      <c r="BMI194" s="412"/>
      <c r="BMJ194" s="412"/>
      <c r="BMK194" s="412"/>
      <c r="BML194" s="412"/>
      <c r="BMM194" s="412"/>
      <c r="BMN194" s="412"/>
      <c r="BMO194" s="412"/>
      <c r="BMP194" s="412"/>
      <c r="BMQ194" s="412"/>
      <c r="BMR194" s="412"/>
      <c r="BMS194" s="412"/>
      <c r="BMT194" s="412"/>
      <c r="BMU194" s="412"/>
      <c r="BMV194" s="412"/>
      <c r="BMW194" s="412"/>
      <c r="BMX194" s="412"/>
      <c r="BMY194" s="412"/>
      <c r="BMZ194" s="412"/>
      <c r="BNA194" s="412"/>
      <c r="BNB194" s="412"/>
      <c r="BNC194" s="412"/>
      <c r="BND194" s="412"/>
      <c r="BNE194" s="412"/>
      <c r="BNF194" s="412"/>
      <c r="BNG194" s="412"/>
      <c r="BNH194" s="412"/>
      <c r="BNI194" s="412"/>
      <c r="BNJ194" s="412"/>
      <c r="BNK194" s="412"/>
      <c r="BNL194" s="412"/>
      <c r="BNM194" s="412"/>
      <c r="BNN194" s="412"/>
      <c r="BNO194" s="412"/>
      <c r="BNP194" s="412"/>
      <c r="BNQ194" s="412"/>
      <c r="BNR194" s="412"/>
      <c r="BNS194" s="412"/>
      <c r="BNT194" s="412"/>
      <c r="BNU194" s="412"/>
      <c r="BNV194" s="412"/>
      <c r="BNW194" s="412"/>
      <c r="BNX194" s="412"/>
      <c r="BNY194" s="412"/>
      <c r="BNZ194" s="412"/>
      <c r="BOA194" s="412"/>
      <c r="BOB194" s="412"/>
      <c r="BOC194" s="412"/>
      <c r="BOD194" s="412"/>
      <c r="BOE194" s="412"/>
      <c r="BOF194" s="412"/>
      <c r="BOG194" s="412"/>
      <c r="BOH194" s="412"/>
      <c r="BOI194" s="412"/>
      <c r="BOJ194" s="412"/>
      <c r="BOK194" s="412"/>
      <c r="BOL194" s="412"/>
      <c r="BOM194" s="412"/>
      <c r="BON194" s="412"/>
      <c r="BOO194" s="412"/>
      <c r="BOP194" s="412"/>
      <c r="BOQ194" s="412"/>
      <c r="BOR194" s="412"/>
      <c r="BOS194" s="412"/>
      <c r="BOT194" s="412"/>
      <c r="BOU194" s="412"/>
      <c r="BOV194" s="412"/>
      <c r="BOW194" s="412"/>
      <c r="BOX194" s="412"/>
      <c r="BOY194" s="412"/>
      <c r="BOZ194" s="412"/>
      <c r="BPA194" s="412"/>
      <c r="BPB194" s="412"/>
      <c r="BPC194" s="412"/>
      <c r="BPD194" s="412"/>
      <c r="BPE194" s="412"/>
      <c r="BPF194" s="412"/>
      <c r="BPG194" s="412"/>
      <c r="BPH194" s="412"/>
      <c r="BPI194" s="412"/>
      <c r="BPJ194" s="412"/>
      <c r="BPK194" s="412"/>
      <c r="BPL194" s="412"/>
      <c r="BPM194" s="412"/>
      <c r="BPN194" s="412"/>
      <c r="BPO194" s="412"/>
      <c r="BPP194" s="412"/>
      <c r="BPQ194" s="412"/>
      <c r="BPR194" s="412"/>
      <c r="BPS194" s="412"/>
      <c r="BPT194" s="412"/>
      <c r="BPU194" s="412"/>
      <c r="BPV194" s="412"/>
      <c r="BPW194" s="412"/>
      <c r="BPX194" s="412"/>
      <c r="BPY194" s="412"/>
      <c r="BPZ194" s="412"/>
      <c r="BQA194" s="412"/>
      <c r="BQB194" s="412"/>
      <c r="BQC194" s="412"/>
      <c r="BQD194" s="412"/>
      <c r="BQE194" s="412"/>
      <c r="BQF194" s="412"/>
      <c r="BQG194" s="412"/>
      <c r="BQH194" s="412"/>
      <c r="BQI194" s="412"/>
      <c r="BQJ194" s="412"/>
      <c r="BQK194" s="412"/>
      <c r="BQL194" s="412"/>
      <c r="BQM194" s="412"/>
      <c r="BQN194" s="412"/>
      <c r="BQO194" s="412"/>
      <c r="BQP194" s="412"/>
      <c r="BQQ194" s="412"/>
      <c r="BQR194" s="412"/>
      <c r="BQS194" s="412"/>
      <c r="BQT194" s="412"/>
      <c r="BQU194" s="412"/>
      <c r="BQV194" s="412"/>
      <c r="BQW194" s="412"/>
      <c r="BQX194" s="412"/>
      <c r="BQY194" s="412"/>
      <c r="BQZ194" s="412"/>
      <c r="BRA194" s="412"/>
      <c r="BRB194" s="412"/>
      <c r="BRC194" s="412"/>
      <c r="BRD194" s="412"/>
      <c r="BRE194" s="412"/>
      <c r="BRF194" s="412"/>
      <c r="BRG194" s="412"/>
      <c r="BRH194" s="412"/>
      <c r="BRI194" s="412"/>
      <c r="BRJ194" s="412"/>
      <c r="BRK194" s="412"/>
      <c r="BRL194" s="412"/>
      <c r="BRM194" s="412"/>
      <c r="BRN194" s="412"/>
      <c r="BRO194" s="412"/>
      <c r="BRP194" s="412"/>
      <c r="BRQ194" s="412"/>
      <c r="BRR194" s="412"/>
      <c r="BRS194" s="412"/>
      <c r="BRT194" s="412"/>
      <c r="BRU194" s="412"/>
      <c r="BRV194" s="412"/>
      <c r="BRW194" s="412"/>
      <c r="BRX194" s="412"/>
      <c r="BRY194" s="412"/>
      <c r="BRZ194" s="412"/>
      <c r="BSA194" s="412"/>
      <c r="BSB194" s="412"/>
      <c r="BSC194" s="412"/>
      <c r="BSD194" s="412"/>
      <c r="BSE194" s="412"/>
      <c r="BSF194" s="412"/>
      <c r="BSG194" s="412"/>
      <c r="BSH194" s="412"/>
      <c r="BSI194" s="412"/>
      <c r="BSJ194" s="412"/>
      <c r="BSK194" s="412"/>
      <c r="BSL194" s="412"/>
      <c r="BSM194" s="412"/>
      <c r="BSN194" s="412"/>
      <c r="BSO194" s="412"/>
      <c r="BSP194" s="412"/>
      <c r="BSQ194" s="412"/>
      <c r="BSR194" s="412"/>
      <c r="BSS194" s="412"/>
      <c r="BST194" s="412"/>
      <c r="BSU194" s="412"/>
      <c r="BSV194" s="412"/>
      <c r="BSW194" s="412"/>
      <c r="BSX194" s="412"/>
      <c r="BSY194" s="412"/>
      <c r="BSZ194" s="412"/>
      <c r="BTA194" s="412"/>
      <c r="BTB194" s="412"/>
      <c r="BTC194" s="412"/>
      <c r="BTD194" s="412"/>
      <c r="BTE194" s="412"/>
      <c r="BTF194" s="412"/>
      <c r="BTG194" s="412"/>
      <c r="BTH194" s="412"/>
      <c r="BTI194" s="412"/>
    </row>
    <row r="195" spans="1:1881" s="69" customFormat="1" ht="70.5" customHeight="1" x14ac:dyDescent="0.3">
      <c r="A195" s="190"/>
      <c r="B195" s="181"/>
      <c r="C195" s="181"/>
      <c r="D195" s="168"/>
      <c r="E195" s="9"/>
      <c r="F195" s="758"/>
      <c r="G195" s="319"/>
      <c r="H195" s="13"/>
      <c r="I195" s="31"/>
      <c r="J195" s="368"/>
      <c r="K195" s="412"/>
      <c r="L195" s="412"/>
      <c r="M195" s="412"/>
      <c r="N195"/>
      <c r="O195" s="412"/>
      <c r="P195" s="412"/>
      <c r="Q195" s="412"/>
      <c r="R195" s="412"/>
      <c r="S195" s="412"/>
      <c r="T195" s="412"/>
      <c r="U195" s="412"/>
      <c r="V195" s="412"/>
      <c r="W195" s="412"/>
      <c r="X195" s="412"/>
      <c r="Y195" s="412"/>
      <c r="Z195" s="412"/>
      <c r="AA195" s="412"/>
      <c r="AB195" s="412"/>
      <c r="AC195" s="412"/>
      <c r="AD195" s="412"/>
      <c r="AE195" s="412"/>
      <c r="AF195" s="412"/>
      <c r="AG195" s="412"/>
      <c r="AH195" s="412"/>
      <c r="AI195" s="412"/>
      <c r="AJ195" s="412"/>
      <c r="AK195" s="412"/>
      <c r="AL195" s="412"/>
      <c r="AM195" s="412"/>
      <c r="AN195" s="412"/>
      <c r="AO195" s="412"/>
      <c r="AP195" s="412"/>
      <c r="AQ195" s="412"/>
      <c r="AR195" s="412"/>
      <c r="AS195" s="412"/>
      <c r="AT195" s="412"/>
      <c r="AU195" s="412"/>
      <c r="AV195" s="412"/>
      <c r="AW195" s="412"/>
      <c r="AX195" s="412"/>
      <c r="AY195" s="412"/>
      <c r="AZ195" s="412"/>
      <c r="BA195" s="412"/>
      <c r="BB195" s="412"/>
      <c r="BC195" s="412"/>
      <c r="BD195" s="412"/>
      <c r="BE195" s="412"/>
      <c r="BF195" s="412"/>
      <c r="BG195" s="412"/>
      <c r="BH195" s="412"/>
      <c r="BI195" s="412"/>
      <c r="BJ195" s="412"/>
      <c r="BK195" s="412"/>
      <c r="BL195" s="412"/>
      <c r="BM195" s="412"/>
      <c r="BN195" s="412"/>
      <c r="BO195" s="412"/>
      <c r="BP195" s="412"/>
      <c r="BQ195" s="412"/>
      <c r="BR195" s="412"/>
      <c r="BS195" s="412"/>
      <c r="BT195" s="412"/>
      <c r="BU195" s="412"/>
      <c r="BV195" s="412"/>
      <c r="BW195" s="412"/>
      <c r="BX195" s="412"/>
      <c r="BY195" s="412"/>
      <c r="BZ195" s="412"/>
      <c r="CA195" s="412"/>
      <c r="CB195" s="412"/>
      <c r="CC195" s="412"/>
      <c r="CD195" s="412"/>
      <c r="CE195" s="412"/>
      <c r="CF195" s="412"/>
      <c r="CG195" s="412"/>
      <c r="CH195" s="412"/>
      <c r="CI195" s="412"/>
      <c r="CJ195" s="412"/>
      <c r="CK195" s="412"/>
      <c r="CL195" s="412"/>
      <c r="CM195" s="412"/>
      <c r="CN195" s="412"/>
      <c r="CO195" s="412"/>
      <c r="CP195" s="412"/>
      <c r="CQ195" s="412"/>
      <c r="CR195" s="412"/>
      <c r="CS195" s="412"/>
      <c r="CT195" s="412"/>
      <c r="CU195" s="412"/>
      <c r="CV195" s="412"/>
      <c r="CW195" s="412"/>
      <c r="CX195" s="412"/>
      <c r="CY195" s="412"/>
      <c r="CZ195" s="412"/>
      <c r="DA195" s="412"/>
      <c r="DB195" s="412"/>
      <c r="DC195" s="412"/>
      <c r="DD195" s="412"/>
      <c r="DE195" s="412"/>
      <c r="DF195" s="412"/>
      <c r="DG195" s="412"/>
      <c r="DH195" s="412"/>
      <c r="DI195" s="412"/>
      <c r="DJ195" s="412"/>
      <c r="DK195" s="412"/>
      <c r="DL195" s="412"/>
      <c r="DM195" s="412"/>
      <c r="DN195" s="412"/>
      <c r="DO195" s="412"/>
      <c r="DP195" s="412"/>
      <c r="DQ195" s="412"/>
      <c r="DR195" s="412"/>
      <c r="DS195" s="412"/>
      <c r="DT195" s="412"/>
      <c r="DU195" s="412"/>
      <c r="DV195" s="412"/>
      <c r="DW195" s="412"/>
      <c r="DX195" s="412"/>
      <c r="DY195" s="412"/>
      <c r="DZ195" s="412"/>
      <c r="EA195" s="412"/>
      <c r="EB195" s="412"/>
      <c r="EC195" s="412"/>
      <c r="ED195" s="412"/>
      <c r="EE195" s="412"/>
      <c r="EF195" s="412"/>
      <c r="EG195" s="412"/>
      <c r="EH195" s="412"/>
      <c r="EI195" s="412"/>
      <c r="EJ195" s="412"/>
      <c r="EK195" s="412"/>
      <c r="EL195" s="412"/>
      <c r="EM195" s="412"/>
      <c r="EN195" s="412"/>
      <c r="EO195" s="412"/>
      <c r="EP195" s="412"/>
      <c r="EQ195" s="412"/>
      <c r="ER195" s="412"/>
      <c r="ES195" s="412"/>
      <c r="ET195" s="412"/>
      <c r="EU195" s="412"/>
      <c r="EV195" s="412"/>
      <c r="EW195" s="412"/>
      <c r="EX195" s="412"/>
      <c r="EY195" s="412"/>
      <c r="EZ195" s="412"/>
      <c r="FA195" s="412"/>
      <c r="FB195" s="412"/>
      <c r="FC195" s="412"/>
      <c r="FD195" s="412"/>
      <c r="FE195" s="412"/>
      <c r="FF195" s="412"/>
      <c r="FG195" s="412"/>
      <c r="FH195" s="412"/>
      <c r="FI195" s="412"/>
      <c r="FJ195" s="412"/>
      <c r="FK195" s="412"/>
      <c r="FL195" s="412"/>
      <c r="FM195" s="412"/>
      <c r="FN195" s="412"/>
      <c r="FO195" s="412"/>
      <c r="FP195" s="412"/>
      <c r="FQ195" s="412"/>
      <c r="FR195" s="412"/>
      <c r="FS195" s="412"/>
      <c r="FT195" s="412"/>
      <c r="FU195" s="412"/>
      <c r="FV195" s="412"/>
      <c r="FW195" s="412"/>
      <c r="FX195" s="412"/>
      <c r="FY195" s="412"/>
      <c r="FZ195" s="412"/>
      <c r="GA195" s="412"/>
      <c r="GB195" s="412"/>
      <c r="GC195" s="412"/>
      <c r="GD195" s="412"/>
      <c r="GE195" s="412"/>
      <c r="GF195" s="412"/>
      <c r="GG195" s="412"/>
      <c r="GH195" s="412"/>
      <c r="GI195" s="412"/>
      <c r="GJ195" s="412"/>
      <c r="GK195" s="412"/>
      <c r="GL195" s="412"/>
      <c r="GM195" s="412"/>
      <c r="GN195" s="412"/>
      <c r="GO195" s="412"/>
      <c r="GP195" s="412"/>
      <c r="GQ195" s="412"/>
      <c r="GR195" s="412"/>
      <c r="GS195" s="412"/>
      <c r="GT195" s="412"/>
      <c r="GU195" s="412"/>
      <c r="GV195" s="412"/>
      <c r="GW195" s="412"/>
      <c r="GX195" s="412"/>
      <c r="GY195" s="412"/>
      <c r="GZ195" s="412"/>
      <c r="HA195" s="412"/>
      <c r="HB195" s="412"/>
      <c r="HC195" s="412"/>
      <c r="HD195" s="412"/>
      <c r="HE195" s="412"/>
      <c r="HF195" s="412"/>
      <c r="HG195" s="412"/>
      <c r="HH195" s="412"/>
      <c r="HI195" s="412"/>
      <c r="HJ195" s="412"/>
      <c r="HK195" s="412"/>
      <c r="HL195" s="412"/>
      <c r="HM195" s="412"/>
      <c r="HN195" s="412"/>
      <c r="HO195" s="412"/>
      <c r="HP195" s="412"/>
      <c r="HQ195" s="412"/>
      <c r="HR195" s="412"/>
      <c r="HS195" s="412"/>
      <c r="HT195" s="412"/>
      <c r="HU195" s="412"/>
      <c r="HV195" s="412"/>
      <c r="HW195" s="412"/>
      <c r="HX195" s="412"/>
      <c r="HY195" s="412"/>
      <c r="HZ195" s="412"/>
      <c r="IA195" s="412"/>
      <c r="IB195" s="412"/>
      <c r="IC195" s="412"/>
      <c r="ID195" s="412"/>
      <c r="IE195" s="412"/>
      <c r="IF195" s="412"/>
      <c r="IG195" s="412"/>
      <c r="IH195" s="412"/>
      <c r="II195" s="412"/>
      <c r="IJ195" s="412"/>
      <c r="IK195" s="412"/>
      <c r="IL195" s="412"/>
      <c r="IM195" s="412"/>
      <c r="IN195" s="412"/>
      <c r="IO195" s="412"/>
      <c r="IP195" s="412"/>
      <c r="IQ195" s="412"/>
      <c r="IR195" s="412"/>
      <c r="IS195" s="412"/>
      <c r="IT195" s="412"/>
      <c r="IU195" s="412"/>
      <c r="IV195" s="412"/>
      <c r="IW195" s="412"/>
      <c r="IX195" s="412"/>
      <c r="IY195" s="412"/>
      <c r="IZ195" s="412"/>
      <c r="JA195" s="412"/>
      <c r="JB195" s="412"/>
      <c r="JC195" s="412"/>
      <c r="JD195" s="412"/>
      <c r="JE195" s="412"/>
      <c r="JF195" s="412"/>
      <c r="JG195" s="412"/>
      <c r="JH195" s="412"/>
      <c r="JI195" s="412"/>
      <c r="JJ195" s="412"/>
      <c r="JK195" s="412"/>
      <c r="JL195" s="412"/>
      <c r="JM195" s="412"/>
      <c r="JN195" s="412"/>
      <c r="JO195" s="412"/>
      <c r="JP195" s="412"/>
      <c r="JQ195" s="412"/>
      <c r="JR195" s="412"/>
      <c r="JS195" s="412"/>
      <c r="JT195" s="412"/>
      <c r="JU195" s="412"/>
      <c r="JV195" s="412"/>
      <c r="JW195" s="412"/>
      <c r="JX195" s="412"/>
      <c r="JY195" s="412"/>
      <c r="JZ195" s="412"/>
      <c r="KA195" s="412"/>
      <c r="KB195" s="412"/>
      <c r="KC195" s="412"/>
      <c r="KD195" s="412"/>
      <c r="KE195" s="412"/>
      <c r="KF195" s="412"/>
      <c r="KG195" s="412"/>
      <c r="KH195" s="412"/>
      <c r="KI195" s="412"/>
      <c r="KJ195" s="412"/>
      <c r="KK195" s="412"/>
      <c r="KL195" s="412"/>
      <c r="KM195" s="412"/>
      <c r="KN195" s="412"/>
      <c r="KO195" s="412"/>
      <c r="KP195" s="412"/>
      <c r="KQ195" s="412"/>
      <c r="KR195" s="412"/>
      <c r="KS195" s="412"/>
      <c r="KT195" s="412"/>
      <c r="KU195" s="412"/>
      <c r="KV195" s="412"/>
      <c r="KW195" s="412"/>
      <c r="KX195" s="412"/>
      <c r="KY195" s="412"/>
      <c r="KZ195" s="412"/>
      <c r="LA195" s="412"/>
      <c r="LB195" s="412"/>
      <c r="LC195" s="412"/>
      <c r="LD195" s="412"/>
      <c r="LE195" s="412"/>
      <c r="LF195" s="412"/>
      <c r="LG195" s="412"/>
      <c r="LH195" s="412"/>
      <c r="LI195" s="412"/>
      <c r="LJ195" s="412"/>
      <c r="LK195" s="412"/>
      <c r="LL195" s="412"/>
      <c r="LM195" s="412"/>
      <c r="LN195" s="412"/>
      <c r="LO195" s="412"/>
      <c r="LP195" s="412"/>
      <c r="LQ195" s="412"/>
      <c r="LR195" s="412"/>
      <c r="LS195" s="412"/>
      <c r="LT195" s="412"/>
      <c r="LU195" s="412"/>
      <c r="LV195" s="412"/>
      <c r="LW195" s="412"/>
      <c r="LX195" s="412"/>
      <c r="LY195" s="412"/>
      <c r="LZ195" s="412"/>
      <c r="MA195" s="412"/>
      <c r="MB195" s="412"/>
      <c r="MC195" s="412"/>
      <c r="MD195" s="412"/>
      <c r="ME195" s="412"/>
      <c r="MF195" s="412"/>
      <c r="MG195" s="412"/>
      <c r="MH195" s="412"/>
      <c r="MI195" s="412"/>
      <c r="MJ195" s="412"/>
      <c r="MK195" s="412"/>
      <c r="ML195" s="412"/>
      <c r="MM195" s="412"/>
      <c r="MN195" s="412"/>
      <c r="MO195" s="412"/>
      <c r="MP195" s="412"/>
      <c r="MQ195" s="412"/>
      <c r="MR195" s="412"/>
      <c r="MS195" s="412"/>
      <c r="MT195" s="412"/>
      <c r="MU195" s="412"/>
      <c r="MV195" s="412"/>
      <c r="MW195" s="412"/>
      <c r="MX195" s="412"/>
      <c r="MY195" s="412"/>
      <c r="MZ195" s="412"/>
      <c r="NA195" s="412"/>
      <c r="NB195" s="412"/>
      <c r="NC195" s="412"/>
      <c r="ND195" s="412"/>
      <c r="NE195" s="412"/>
      <c r="NF195" s="412"/>
      <c r="NG195" s="412"/>
      <c r="NH195" s="412"/>
      <c r="NI195" s="412"/>
      <c r="NJ195" s="412"/>
      <c r="NK195" s="412"/>
      <c r="NL195" s="412"/>
      <c r="NM195" s="412"/>
      <c r="NN195" s="412"/>
      <c r="NO195" s="412"/>
      <c r="NP195" s="412"/>
      <c r="NQ195" s="412"/>
      <c r="NR195" s="412"/>
      <c r="NS195" s="412"/>
      <c r="NT195" s="412"/>
      <c r="NU195" s="412"/>
      <c r="NV195" s="412"/>
      <c r="NW195" s="412"/>
      <c r="NX195" s="412"/>
      <c r="NY195" s="412"/>
      <c r="NZ195" s="412"/>
      <c r="OA195" s="412"/>
      <c r="OB195" s="412"/>
      <c r="OC195" s="412"/>
      <c r="OD195" s="412"/>
      <c r="OE195" s="412"/>
      <c r="OF195" s="412"/>
      <c r="OG195" s="412"/>
      <c r="OH195" s="412"/>
      <c r="OI195" s="412"/>
      <c r="OJ195" s="412"/>
      <c r="OK195" s="412"/>
      <c r="OL195" s="412"/>
      <c r="OM195" s="412"/>
      <c r="ON195" s="412"/>
      <c r="OO195" s="412"/>
      <c r="OP195" s="412"/>
      <c r="OQ195" s="412"/>
      <c r="OR195" s="412"/>
      <c r="OS195" s="412"/>
      <c r="OT195" s="412"/>
      <c r="OU195" s="412"/>
      <c r="OV195" s="412"/>
      <c r="OW195" s="412"/>
      <c r="OX195" s="412"/>
      <c r="OY195" s="412"/>
      <c r="OZ195" s="412"/>
      <c r="PA195" s="412"/>
      <c r="PB195" s="412"/>
      <c r="PC195" s="412"/>
      <c r="PD195" s="412"/>
      <c r="PE195" s="412"/>
      <c r="PF195" s="412"/>
      <c r="PG195" s="412"/>
      <c r="PH195" s="412"/>
      <c r="PI195" s="412"/>
      <c r="PJ195" s="412"/>
      <c r="PK195" s="412"/>
      <c r="PL195" s="412"/>
      <c r="PM195" s="412"/>
      <c r="PN195" s="412"/>
      <c r="PO195" s="412"/>
      <c r="PP195" s="412"/>
      <c r="PQ195" s="412"/>
      <c r="PR195" s="412"/>
      <c r="PS195" s="412"/>
      <c r="PT195" s="412"/>
      <c r="PU195" s="412"/>
      <c r="PV195" s="412"/>
      <c r="PW195" s="412"/>
      <c r="PX195" s="412"/>
      <c r="PY195" s="412"/>
      <c r="PZ195" s="412"/>
      <c r="QA195" s="412"/>
      <c r="QB195" s="412"/>
      <c r="QC195" s="412"/>
      <c r="QD195" s="412"/>
      <c r="QE195" s="412"/>
      <c r="QF195" s="412"/>
      <c r="QG195" s="412"/>
      <c r="QH195" s="412"/>
      <c r="QI195" s="412"/>
      <c r="QJ195" s="412"/>
      <c r="QK195" s="412"/>
      <c r="QL195" s="412"/>
      <c r="QM195" s="412"/>
      <c r="QN195" s="412"/>
      <c r="QO195" s="412"/>
      <c r="QP195" s="412"/>
      <c r="QQ195" s="412"/>
      <c r="QR195" s="412"/>
      <c r="QS195" s="412"/>
      <c r="QT195" s="412"/>
      <c r="QU195" s="412"/>
      <c r="QV195" s="412"/>
      <c r="QW195" s="412"/>
      <c r="QX195" s="412"/>
      <c r="QY195" s="412"/>
      <c r="QZ195" s="412"/>
      <c r="RA195" s="412"/>
      <c r="RB195" s="412"/>
      <c r="RC195" s="412"/>
      <c r="RD195" s="412"/>
      <c r="RE195" s="412"/>
      <c r="RF195" s="412"/>
      <c r="RG195" s="412"/>
      <c r="RH195" s="412"/>
      <c r="RI195" s="412"/>
      <c r="RJ195" s="412"/>
      <c r="RK195" s="412"/>
      <c r="RL195" s="412"/>
      <c r="RM195" s="412"/>
      <c r="RN195" s="412"/>
      <c r="RO195" s="412"/>
      <c r="RP195" s="412"/>
      <c r="RQ195" s="412"/>
      <c r="RR195" s="412"/>
      <c r="RS195" s="412"/>
      <c r="RT195" s="412"/>
      <c r="RU195" s="412"/>
      <c r="RV195" s="412"/>
      <c r="RW195" s="412"/>
      <c r="RX195" s="412"/>
      <c r="RY195" s="412"/>
      <c r="RZ195" s="412"/>
      <c r="SA195" s="412"/>
      <c r="SB195" s="412"/>
      <c r="SC195" s="412"/>
      <c r="SD195" s="412"/>
      <c r="SE195" s="412"/>
      <c r="SF195" s="412"/>
      <c r="SG195" s="412"/>
      <c r="SH195" s="412"/>
      <c r="SI195" s="412"/>
      <c r="SJ195" s="412"/>
      <c r="SK195" s="412"/>
      <c r="SL195" s="412"/>
      <c r="SM195" s="412"/>
      <c r="SN195" s="412"/>
      <c r="SO195" s="412"/>
      <c r="SP195" s="412"/>
      <c r="SQ195" s="412"/>
      <c r="SR195" s="412"/>
      <c r="SS195" s="412"/>
      <c r="ST195" s="412"/>
      <c r="SU195" s="412"/>
      <c r="SV195" s="412"/>
      <c r="SW195" s="412"/>
      <c r="SX195" s="412"/>
      <c r="SY195" s="412"/>
      <c r="SZ195" s="412"/>
      <c r="TA195" s="412"/>
      <c r="TB195" s="412"/>
      <c r="TC195" s="412"/>
      <c r="TD195" s="412"/>
      <c r="TE195" s="412"/>
      <c r="TF195" s="412"/>
      <c r="TG195" s="412"/>
      <c r="TH195" s="412"/>
      <c r="TI195" s="412"/>
      <c r="TJ195" s="412"/>
      <c r="TK195" s="412"/>
      <c r="TL195" s="412"/>
      <c r="TM195" s="412"/>
      <c r="TN195" s="412"/>
      <c r="TO195" s="412"/>
      <c r="TP195" s="412"/>
      <c r="TQ195" s="412"/>
      <c r="TR195" s="412"/>
      <c r="TS195" s="412"/>
      <c r="TT195" s="412"/>
      <c r="TU195" s="412"/>
      <c r="TV195" s="412"/>
      <c r="TW195" s="412"/>
      <c r="TX195" s="412"/>
      <c r="TY195" s="412"/>
      <c r="TZ195" s="412"/>
      <c r="UA195" s="412"/>
      <c r="UB195" s="412"/>
      <c r="UC195" s="412"/>
      <c r="UD195" s="412"/>
      <c r="UE195" s="412"/>
      <c r="UF195" s="412"/>
      <c r="UG195" s="412"/>
      <c r="UH195" s="412"/>
      <c r="UI195" s="412"/>
      <c r="UJ195" s="412"/>
      <c r="UK195" s="412"/>
      <c r="UL195" s="412"/>
      <c r="UM195" s="412"/>
      <c r="UN195" s="412"/>
      <c r="UO195" s="412"/>
      <c r="UP195" s="412"/>
      <c r="UQ195" s="412"/>
      <c r="UR195" s="412"/>
      <c r="US195" s="412"/>
      <c r="UT195" s="412"/>
      <c r="UU195" s="412"/>
      <c r="UV195" s="412"/>
      <c r="UW195" s="412"/>
      <c r="UX195" s="412"/>
      <c r="UY195" s="412"/>
      <c r="UZ195" s="412"/>
      <c r="VA195" s="412"/>
      <c r="VB195" s="412"/>
      <c r="VC195" s="412"/>
      <c r="VD195" s="412"/>
      <c r="VE195" s="412"/>
      <c r="VF195" s="412"/>
      <c r="VG195" s="412"/>
      <c r="VH195" s="412"/>
      <c r="VI195" s="412"/>
      <c r="VJ195" s="412"/>
      <c r="VK195" s="412"/>
      <c r="VL195" s="412"/>
      <c r="VM195" s="412"/>
      <c r="VN195" s="412"/>
      <c r="VO195" s="412"/>
      <c r="VP195" s="412"/>
      <c r="VQ195" s="412"/>
      <c r="VR195" s="412"/>
      <c r="VS195" s="412"/>
      <c r="VT195" s="412"/>
      <c r="VU195" s="412"/>
      <c r="VV195" s="412"/>
      <c r="VW195" s="412"/>
      <c r="VX195" s="412"/>
      <c r="VY195" s="412"/>
      <c r="VZ195" s="412"/>
      <c r="WA195" s="412"/>
      <c r="WB195" s="412"/>
      <c r="WC195" s="412"/>
      <c r="WD195" s="412"/>
      <c r="WE195" s="412"/>
      <c r="WF195" s="412"/>
      <c r="WG195" s="412"/>
      <c r="WH195" s="412"/>
      <c r="WI195" s="412"/>
      <c r="WJ195" s="412"/>
      <c r="WK195" s="412"/>
      <c r="WL195" s="412"/>
      <c r="WM195" s="412"/>
      <c r="WN195" s="412"/>
      <c r="WO195" s="412"/>
      <c r="WP195" s="412"/>
      <c r="WQ195" s="412"/>
      <c r="WR195" s="412"/>
      <c r="WS195" s="412"/>
      <c r="WT195" s="412"/>
      <c r="WU195" s="412"/>
      <c r="WV195" s="412"/>
      <c r="WW195" s="412"/>
      <c r="WX195" s="412"/>
      <c r="WY195" s="412"/>
      <c r="WZ195" s="412"/>
      <c r="XA195" s="412"/>
      <c r="XB195" s="412"/>
      <c r="XC195" s="412"/>
      <c r="XD195" s="412"/>
      <c r="XE195" s="412"/>
      <c r="XF195" s="412"/>
      <c r="XG195" s="412"/>
      <c r="XH195" s="412"/>
      <c r="XI195" s="412"/>
      <c r="XJ195" s="412"/>
      <c r="XK195" s="412"/>
      <c r="XL195" s="412"/>
      <c r="XM195" s="412"/>
      <c r="XN195" s="412"/>
      <c r="XO195" s="412"/>
      <c r="XP195" s="412"/>
      <c r="XQ195" s="412"/>
      <c r="XR195" s="412"/>
      <c r="XS195" s="412"/>
      <c r="XT195" s="412"/>
      <c r="XU195" s="412"/>
      <c r="XV195" s="412"/>
      <c r="XW195" s="412"/>
      <c r="XX195" s="412"/>
      <c r="XY195" s="412"/>
      <c r="XZ195" s="412"/>
      <c r="YA195" s="412"/>
      <c r="YB195" s="412"/>
      <c r="YC195" s="412"/>
      <c r="YD195" s="412"/>
      <c r="YE195" s="412"/>
      <c r="YF195" s="412"/>
      <c r="YG195" s="412"/>
      <c r="YH195" s="412"/>
      <c r="YI195" s="412"/>
      <c r="YJ195" s="412"/>
      <c r="YK195" s="412"/>
      <c r="YL195" s="412"/>
      <c r="YM195" s="412"/>
      <c r="YN195" s="412"/>
      <c r="YO195" s="412"/>
      <c r="YP195" s="412"/>
      <c r="YQ195" s="412"/>
      <c r="YR195" s="412"/>
      <c r="YS195" s="412"/>
      <c r="YT195" s="412"/>
      <c r="YU195" s="412"/>
      <c r="YV195" s="412"/>
      <c r="YW195" s="412"/>
      <c r="YX195" s="412"/>
      <c r="YY195" s="412"/>
      <c r="YZ195" s="412"/>
      <c r="ZA195" s="412"/>
      <c r="ZB195" s="412"/>
      <c r="ZC195" s="412"/>
      <c r="ZD195" s="412"/>
      <c r="ZE195" s="412"/>
      <c r="ZF195" s="412"/>
      <c r="ZG195" s="412"/>
      <c r="ZH195" s="412"/>
      <c r="ZI195" s="412"/>
      <c r="ZJ195" s="412"/>
      <c r="ZK195" s="412"/>
      <c r="ZL195" s="412"/>
      <c r="ZM195" s="412"/>
      <c r="ZN195" s="412"/>
      <c r="ZO195" s="412"/>
      <c r="ZP195" s="412"/>
      <c r="ZQ195" s="412"/>
      <c r="ZR195" s="412"/>
      <c r="ZS195" s="412"/>
      <c r="ZT195" s="412"/>
      <c r="ZU195" s="412"/>
      <c r="ZV195" s="412"/>
      <c r="ZW195" s="412"/>
      <c r="ZX195" s="412"/>
      <c r="ZY195" s="412"/>
      <c r="ZZ195" s="412"/>
      <c r="AAA195" s="412"/>
      <c r="AAB195" s="412"/>
      <c r="AAC195" s="412"/>
      <c r="AAD195" s="412"/>
      <c r="AAE195" s="412"/>
      <c r="AAF195" s="412"/>
      <c r="AAG195" s="412"/>
      <c r="AAH195" s="412"/>
      <c r="AAI195" s="412"/>
      <c r="AAJ195" s="412"/>
      <c r="AAK195" s="412"/>
      <c r="AAL195" s="412"/>
      <c r="AAM195" s="412"/>
      <c r="AAN195" s="412"/>
      <c r="AAO195" s="412"/>
      <c r="AAP195" s="412"/>
      <c r="AAQ195" s="412"/>
      <c r="AAR195" s="412"/>
      <c r="AAS195" s="412"/>
      <c r="AAT195" s="412"/>
      <c r="AAU195" s="412"/>
      <c r="AAV195" s="412"/>
      <c r="AAW195" s="412"/>
      <c r="AAX195" s="412"/>
      <c r="AAY195" s="412"/>
      <c r="AAZ195" s="412"/>
      <c r="ABA195" s="412"/>
      <c r="ABB195" s="412"/>
      <c r="ABC195" s="412"/>
      <c r="ABD195" s="412"/>
      <c r="ABE195" s="412"/>
      <c r="ABF195" s="412"/>
      <c r="ABG195" s="412"/>
      <c r="ABH195" s="412"/>
      <c r="ABI195" s="412"/>
      <c r="ABJ195" s="412"/>
      <c r="ABK195" s="412"/>
      <c r="ABL195" s="412"/>
      <c r="ABM195" s="412"/>
      <c r="ABN195" s="412"/>
      <c r="ABO195" s="412"/>
      <c r="ABP195" s="412"/>
      <c r="ABQ195" s="412"/>
      <c r="ABR195" s="412"/>
      <c r="ABS195" s="412"/>
      <c r="ABT195" s="412"/>
      <c r="ABU195" s="412"/>
      <c r="ABV195" s="412"/>
      <c r="ABW195" s="412"/>
      <c r="ABX195" s="412"/>
      <c r="ABY195" s="412"/>
      <c r="ABZ195" s="412"/>
      <c r="ACA195" s="412"/>
      <c r="ACB195" s="412"/>
      <c r="ACC195" s="412"/>
      <c r="ACD195" s="412"/>
      <c r="ACE195" s="412"/>
      <c r="ACF195" s="412"/>
      <c r="ACG195" s="412"/>
      <c r="ACH195" s="412"/>
      <c r="ACI195" s="412"/>
      <c r="ACJ195" s="412"/>
      <c r="ACK195" s="412"/>
      <c r="ACL195" s="412"/>
      <c r="ACM195" s="412"/>
      <c r="ACN195" s="412"/>
      <c r="ACO195" s="412"/>
      <c r="ACP195" s="412"/>
      <c r="ACQ195" s="412"/>
      <c r="ACR195" s="412"/>
      <c r="ACS195" s="412"/>
      <c r="ACT195" s="412"/>
      <c r="ACU195" s="412"/>
      <c r="ACV195" s="412"/>
      <c r="ACW195" s="412"/>
      <c r="ACX195" s="412"/>
      <c r="ACY195" s="412"/>
      <c r="ACZ195" s="412"/>
      <c r="ADA195" s="412"/>
      <c r="ADB195" s="412"/>
      <c r="ADC195" s="412"/>
      <c r="ADD195" s="412"/>
      <c r="ADE195" s="412"/>
      <c r="ADF195" s="412"/>
      <c r="ADG195" s="412"/>
      <c r="ADH195" s="412"/>
      <c r="ADI195" s="412"/>
      <c r="ADJ195" s="412"/>
      <c r="ADK195" s="412"/>
      <c r="ADL195" s="412"/>
      <c r="ADM195" s="412"/>
      <c r="ADN195" s="412"/>
      <c r="ADO195" s="412"/>
      <c r="ADP195" s="412"/>
      <c r="ADQ195" s="412"/>
      <c r="ADR195" s="412"/>
      <c r="ADS195" s="412"/>
      <c r="ADT195" s="412"/>
      <c r="ADU195" s="412"/>
      <c r="ADV195" s="412"/>
      <c r="ADW195" s="412"/>
      <c r="ADX195" s="412"/>
      <c r="ADY195" s="412"/>
      <c r="ADZ195" s="412"/>
      <c r="AEA195" s="412"/>
      <c r="AEB195" s="412"/>
      <c r="AEC195" s="412"/>
      <c r="AED195" s="412"/>
      <c r="AEE195" s="412"/>
      <c r="AEF195" s="412"/>
      <c r="AEG195" s="412"/>
      <c r="AEH195" s="412"/>
      <c r="AEI195" s="412"/>
      <c r="AEJ195" s="412"/>
      <c r="AEK195" s="412"/>
      <c r="AEL195" s="412"/>
      <c r="AEM195" s="412"/>
      <c r="AEN195" s="412"/>
      <c r="AEO195" s="412"/>
      <c r="AEP195" s="412"/>
      <c r="AEQ195" s="412"/>
      <c r="AER195" s="412"/>
      <c r="AES195" s="412"/>
      <c r="AET195" s="412"/>
      <c r="AEU195" s="412"/>
      <c r="AEV195" s="412"/>
      <c r="AEW195" s="412"/>
      <c r="AEX195" s="412"/>
      <c r="AEY195" s="412"/>
      <c r="AEZ195" s="412"/>
      <c r="AFA195" s="412"/>
      <c r="AFB195" s="412"/>
      <c r="AFC195" s="412"/>
      <c r="AFD195" s="412"/>
      <c r="AFE195" s="412"/>
      <c r="AFF195" s="412"/>
      <c r="AFG195" s="412"/>
      <c r="AFH195" s="412"/>
      <c r="AFI195" s="412"/>
      <c r="AFJ195" s="412"/>
      <c r="AFK195" s="412"/>
      <c r="AFL195" s="412"/>
      <c r="AFM195" s="412"/>
      <c r="AFN195" s="412"/>
      <c r="AFO195" s="412"/>
      <c r="AFP195" s="412"/>
      <c r="AFQ195" s="412"/>
      <c r="AFR195" s="412"/>
      <c r="AFS195" s="412"/>
      <c r="AFT195" s="412"/>
      <c r="AFU195" s="412"/>
      <c r="AFV195" s="412"/>
      <c r="AFW195" s="412"/>
      <c r="AFX195" s="412"/>
      <c r="AFY195" s="412"/>
      <c r="AFZ195" s="412"/>
      <c r="AGA195" s="412"/>
      <c r="AGB195" s="412"/>
      <c r="AGC195" s="412"/>
      <c r="AGD195" s="412"/>
      <c r="AGE195" s="412"/>
      <c r="AGF195" s="412"/>
      <c r="AGG195" s="412"/>
      <c r="AGH195" s="412"/>
      <c r="AGI195" s="412"/>
      <c r="AGJ195" s="412"/>
      <c r="AGK195" s="412"/>
      <c r="AGL195" s="412"/>
      <c r="AGM195" s="412"/>
      <c r="AGN195" s="412"/>
      <c r="AGO195" s="412"/>
      <c r="AGP195" s="412"/>
      <c r="AGQ195" s="412"/>
      <c r="AGR195" s="412"/>
      <c r="AGS195" s="412"/>
      <c r="AGT195" s="412"/>
      <c r="AGU195" s="412"/>
      <c r="AGV195" s="412"/>
      <c r="AGW195" s="412"/>
      <c r="AGX195" s="412"/>
      <c r="AGY195" s="412"/>
      <c r="AGZ195" s="412"/>
      <c r="AHA195" s="412"/>
      <c r="AHB195" s="412"/>
      <c r="AHC195" s="412"/>
      <c r="AHD195" s="412"/>
      <c r="AHE195" s="412"/>
      <c r="AHF195" s="412"/>
      <c r="AHG195" s="412"/>
      <c r="AHH195" s="412"/>
      <c r="AHI195" s="412"/>
      <c r="AHJ195" s="412"/>
      <c r="AHK195" s="412"/>
      <c r="AHL195" s="412"/>
      <c r="AHM195" s="412"/>
      <c r="AHN195" s="412"/>
      <c r="AHO195" s="412"/>
      <c r="AHP195" s="412"/>
      <c r="AHQ195" s="412"/>
      <c r="AHR195" s="412"/>
      <c r="AHS195" s="412"/>
      <c r="AHT195" s="412"/>
      <c r="AHU195" s="412"/>
      <c r="AHV195" s="412"/>
      <c r="AHW195" s="412"/>
      <c r="AHX195" s="412"/>
      <c r="AHY195" s="412"/>
      <c r="AHZ195" s="412"/>
      <c r="AIA195" s="412"/>
      <c r="AIB195" s="412"/>
      <c r="AIC195" s="412"/>
      <c r="AID195" s="412"/>
      <c r="AIE195" s="412"/>
      <c r="AIF195" s="412"/>
      <c r="AIG195" s="412"/>
      <c r="AIH195" s="412"/>
      <c r="AII195" s="412"/>
      <c r="AIJ195" s="412"/>
      <c r="AIK195" s="412"/>
      <c r="AIL195" s="412"/>
      <c r="AIM195" s="412"/>
      <c r="AIN195" s="412"/>
      <c r="AIO195" s="412"/>
      <c r="AIP195" s="412"/>
      <c r="AIQ195" s="412"/>
      <c r="AIR195" s="412"/>
      <c r="AIS195" s="412"/>
      <c r="AIT195" s="412"/>
      <c r="AIU195" s="412"/>
      <c r="AIV195" s="412"/>
      <c r="AIW195" s="412"/>
      <c r="AIX195" s="412"/>
      <c r="AIY195" s="412"/>
      <c r="AIZ195" s="412"/>
      <c r="AJA195" s="412"/>
      <c r="AJB195" s="412"/>
      <c r="AJC195" s="412"/>
      <c r="AJD195" s="412"/>
      <c r="AJE195" s="412"/>
      <c r="AJF195" s="412"/>
      <c r="AJG195" s="412"/>
      <c r="AJH195" s="412"/>
      <c r="AJI195" s="412"/>
      <c r="AJJ195" s="412"/>
      <c r="AJK195" s="412"/>
      <c r="AJL195" s="412"/>
      <c r="AJM195" s="412"/>
      <c r="AJN195" s="412"/>
      <c r="AJO195" s="412"/>
      <c r="AJP195" s="412"/>
      <c r="AJQ195" s="412"/>
      <c r="AJR195" s="412"/>
      <c r="AJS195" s="412"/>
      <c r="AJT195" s="412"/>
      <c r="AJU195" s="412"/>
      <c r="AJV195" s="412"/>
      <c r="AJW195" s="412"/>
      <c r="AJX195" s="412"/>
      <c r="AJY195" s="412"/>
      <c r="AJZ195" s="412"/>
      <c r="AKA195" s="412"/>
      <c r="AKB195" s="412"/>
      <c r="AKC195" s="412"/>
      <c r="AKD195" s="412"/>
      <c r="AKE195" s="412"/>
      <c r="AKF195" s="412"/>
      <c r="AKG195" s="412"/>
      <c r="AKH195" s="412"/>
      <c r="AKI195" s="412"/>
      <c r="AKJ195" s="412"/>
      <c r="AKK195" s="412"/>
      <c r="AKL195" s="412"/>
      <c r="AKM195" s="412"/>
      <c r="AKN195" s="412"/>
      <c r="AKO195" s="412"/>
      <c r="AKP195" s="412"/>
      <c r="AKQ195" s="412"/>
      <c r="AKR195" s="412"/>
      <c r="AKS195" s="412"/>
      <c r="AKT195" s="412"/>
      <c r="AKU195" s="412"/>
      <c r="AKV195" s="412"/>
      <c r="AKW195" s="412"/>
      <c r="AKX195" s="412"/>
      <c r="AKY195" s="412"/>
      <c r="AKZ195" s="412"/>
      <c r="ALA195" s="412"/>
      <c r="ALB195" s="412"/>
      <c r="ALC195" s="412"/>
      <c r="ALD195" s="412"/>
      <c r="ALE195" s="412"/>
      <c r="ALF195" s="412"/>
      <c r="ALG195" s="412"/>
      <c r="ALH195" s="412"/>
      <c r="ALI195" s="412"/>
      <c r="ALJ195" s="412"/>
      <c r="ALK195" s="412"/>
      <c r="ALL195" s="412"/>
      <c r="ALM195" s="412"/>
      <c r="ALN195" s="412"/>
      <c r="ALO195" s="412"/>
      <c r="ALP195" s="412"/>
      <c r="ALQ195" s="412"/>
      <c r="ALR195" s="412"/>
      <c r="ALS195" s="412"/>
      <c r="ALT195" s="412"/>
      <c r="ALU195" s="412"/>
      <c r="ALV195" s="412"/>
      <c r="ALW195" s="412"/>
      <c r="ALX195" s="412"/>
      <c r="ALY195" s="412"/>
      <c r="ALZ195" s="412"/>
      <c r="AMA195" s="412"/>
      <c r="AMB195" s="412"/>
      <c r="AMC195" s="412"/>
      <c r="AMD195" s="412"/>
      <c r="AME195" s="412"/>
      <c r="AMF195" s="412"/>
      <c r="AMG195" s="412"/>
      <c r="AMH195" s="412"/>
      <c r="AMI195" s="412"/>
      <c r="AMJ195" s="412"/>
      <c r="AMK195" s="412"/>
      <c r="AML195" s="412"/>
      <c r="AMM195" s="412"/>
      <c r="AMN195" s="412"/>
      <c r="AMO195" s="412"/>
      <c r="AMP195" s="412"/>
      <c r="AMQ195" s="412"/>
      <c r="AMR195" s="412"/>
      <c r="AMS195" s="412"/>
      <c r="AMT195" s="412"/>
      <c r="AMU195" s="412"/>
      <c r="AMV195" s="412"/>
      <c r="AMW195" s="412"/>
      <c r="AMX195" s="412"/>
      <c r="AMY195" s="412"/>
      <c r="AMZ195" s="412"/>
      <c r="ANA195" s="412"/>
      <c r="ANB195" s="412"/>
      <c r="ANC195" s="412"/>
      <c r="AND195" s="412"/>
      <c r="ANE195" s="412"/>
      <c r="ANF195" s="412"/>
      <c r="ANG195" s="412"/>
      <c r="ANH195" s="412"/>
      <c r="ANI195" s="412"/>
      <c r="ANJ195" s="412"/>
      <c r="ANK195" s="412"/>
      <c r="ANL195" s="412"/>
      <c r="ANM195" s="412"/>
      <c r="ANN195" s="412"/>
      <c r="ANO195" s="412"/>
      <c r="ANP195" s="412"/>
      <c r="ANQ195" s="412"/>
      <c r="ANR195" s="412"/>
      <c r="ANS195" s="412"/>
      <c r="ANT195" s="412"/>
      <c r="ANU195" s="412"/>
      <c r="ANV195" s="412"/>
      <c r="ANW195" s="412"/>
      <c r="ANX195" s="412"/>
      <c r="ANY195" s="412"/>
      <c r="ANZ195" s="412"/>
      <c r="AOA195" s="412"/>
      <c r="AOB195" s="412"/>
      <c r="AOC195" s="412"/>
      <c r="AOD195" s="412"/>
      <c r="AOE195" s="412"/>
      <c r="AOF195" s="412"/>
      <c r="AOG195" s="412"/>
      <c r="AOH195" s="412"/>
      <c r="AOI195" s="412"/>
      <c r="AOJ195" s="412"/>
      <c r="AOK195" s="412"/>
      <c r="AOL195" s="412"/>
      <c r="AOM195" s="412"/>
      <c r="AON195" s="412"/>
      <c r="AOO195" s="412"/>
      <c r="AOP195" s="412"/>
      <c r="AOQ195" s="412"/>
      <c r="AOR195" s="412"/>
      <c r="AOS195" s="412"/>
      <c r="AOT195" s="412"/>
      <c r="AOU195" s="412"/>
      <c r="AOV195" s="412"/>
      <c r="AOW195" s="412"/>
      <c r="AOX195" s="412"/>
      <c r="AOY195" s="412"/>
      <c r="AOZ195" s="412"/>
      <c r="APA195" s="412"/>
      <c r="APB195" s="412"/>
      <c r="APC195" s="412"/>
      <c r="APD195" s="412"/>
      <c r="APE195" s="412"/>
      <c r="APF195" s="412"/>
      <c r="APG195" s="412"/>
      <c r="APH195" s="412"/>
      <c r="API195" s="412"/>
      <c r="APJ195" s="412"/>
      <c r="APK195" s="412"/>
      <c r="APL195" s="412"/>
      <c r="APM195" s="412"/>
      <c r="APN195" s="412"/>
      <c r="APO195" s="412"/>
      <c r="APP195" s="412"/>
      <c r="APQ195" s="412"/>
      <c r="APR195" s="412"/>
      <c r="APS195" s="412"/>
      <c r="APT195" s="412"/>
      <c r="APU195" s="412"/>
      <c r="APV195" s="412"/>
      <c r="APW195" s="412"/>
      <c r="APX195" s="412"/>
      <c r="APY195" s="412"/>
      <c r="APZ195" s="412"/>
      <c r="AQA195" s="412"/>
      <c r="AQB195" s="412"/>
      <c r="AQC195" s="412"/>
      <c r="AQD195" s="412"/>
      <c r="AQE195" s="412"/>
      <c r="AQF195" s="412"/>
      <c r="AQG195" s="412"/>
      <c r="AQH195" s="412"/>
      <c r="AQI195" s="412"/>
      <c r="AQJ195" s="412"/>
      <c r="AQK195" s="412"/>
      <c r="AQL195" s="412"/>
      <c r="AQM195" s="412"/>
      <c r="AQN195" s="412"/>
      <c r="AQO195" s="412"/>
      <c r="AQP195" s="412"/>
      <c r="AQQ195" s="412"/>
      <c r="AQR195" s="412"/>
      <c r="AQS195" s="412"/>
      <c r="AQT195" s="412"/>
      <c r="AQU195" s="412"/>
      <c r="AQV195" s="412"/>
      <c r="AQW195" s="412"/>
      <c r="AQX195" s="412"/>
      <c r="AQY195" s="412"/>
      <c r="AQZ195" s="412"/>
      <c r="ARA195" s="412"/>
      <c r="ARB195" s="412"/>
      <c r="ARC195" s="412"/>
      <c r="ARD195" s="412"/>
      <c r="ARE195" s="412"/>
      <c r="ARF195" s="412"/>
      <c r="ARG195" s="412"/>
      <c r="ARH195" s="412"/>
      <c r="ARI195" s="412"/>
      <c r="ARJ195" s="412"/>
      <c r="ARK195" s="412"/>
      <c r="ARL195" s="412"/>
      <c r="ARM195" s="412"/>
      <c r="ARN195" s="412"/>
      <c r="ARO195" s="412"/>
      <c r="ARP195" s="412"/>
      <c r="ARQ195" s="412"/>
      <c r="ARR195" s="412"/>
      <c r="ARS195" s="412"/>
      <c r="ART195" s="412"/>
      <c r="ARU195" s="412"/>
      <c r="ARV195" s="412"/>
      <c r="ARW195" s="412"/>
      <c r="ARX195" s="412"/>
      <c r="ARY195" s="412"/>
      <c r="ARZ195" s="412"/>
      <c r="ASA195" s="412"/>
      <c r="ASB195" s="412"/>
      <c r="ASC195" s="412"/>
      <c r="ASD195" s="412"/>
      <c r="ASE195" s="412"/>
      <c r="ASF195" s="412"/>
      <c r="ASG195" s="412"/>
      <c r="ASH195" s="412"/>
      <c r="ASI195" s="412"/>
      <c r="ASJ195" s="412"/>
      <c r="ASK195" s="412"/>
      <c r="ASL195" s="412"/>
      <c r="ASM195" s="412"/>
      <c r="ASN195" s="412"/>
      <c r="ASO195" s="412"/>
      <c r="ASP195" s="412"/>
      <c r="ASQ195" s="412"/>
      <c r="ASR195" s="412"/>
      <c r="ASS195" s="412"/>
      <c r="AST195" s="412"/>
      <c r="ASU195" s="412"/>
      <c r="ASV195" s="412"/>
      <c r="ASW195" s="412"/>
      <c r="ASX195" s="412"/>
      <c r="ASY195" s="412"/>
      <c r="ASZ195" s="412"/>
      <c r="ATA195" s="412"/>
      <c r="ATB195" s="412"/>
      <c r="ATC195" s="412"/>
      <c r="ATD195" s="412"/>
      <c r="ATE195" s="412"/>
      <c r="ATF195" s="412"/>
      <c r="ATG195" s="412"/>
      <c r="ATH195" s="412"/>
      <c r="ATI195" s="412"/>
      <c r="ATJ195" s="412"/>
      <c r="ATK195" s="412"/>
      <c r="ATL195" s="412"/>
      <c r="ATM195" s="412"/>
      <c r="ATN195" s="412"/>
      <c r="ATO195" s="412"/>
      <c r="ATP195" s="412"/>
      <c r="ATQ195" s="412"/>
      <c r="ATR195" s="412"/>
      <c r="ATS195" s="412"/>
      <c r="ATT195" s="412"/>
      <c r="ATU195" s="412"/>
      <c r="ATV195" s="412"/>
      <c r="ATW195" s="412"/>
      <c r="ATX195" s="412"/>
      <c r="ATY195" s="412"/>
      <c r="ATZ195" s="412"/>
      <c r="AUA195" s="412"/>
      <c r="AUB195" s="412"/>
      <c r="AUC195" s="412"/>
      <c r="AUD195" s="412"/>
      <c r="AUE195" s="412"/>
      <c r="AUF195" s="412"/>
      <c r="AUG195" s="412"/>
      <c r="AUH195" s="412"/>
      <c r="AUI195" s="412"/>
      <c r="AUJ195" s="412"/>
      <c r="AUK195" s="412"/>
      <c r="AUL195" s="412"/>
      <c r="AUM195" s="412"/>
      <c r="AUN195" s="412"/>
      <c r="AUO195" s="412"/>
      <c r="AUP195" s="412"/>
      <c r="AUQ195" s="412"/>
      <c r="AUR195" s="412"/>
      <c r="AUS195" s="412"/>
      <c r="AUT195" s="412"/>
      <c r="AUU195" s="412"/>
      <c r="AUV195" s="412"/>
      <c r="AUW195" s="412"/>
      <c r="AUX195" s="412"/>
      <c r="AUY195" s="412"/>
      <c r="AUZ195" s="412"/>
      <c r="AVA195" s="412"/>
      <c r="AVB195" s="412"/>
      <c r="AVC195" s="412"/>
      <c r="AVD195" s="412"/>
      <c r="AVE195" s="412"/>
      <c r="AVF195" s="412"/>
      <c r="AVG195" s="412"/>
      <c r="AVH195" s="412"/>
      <c r="AVI195" s="412"/>
      <c r="AVJ195" s="412"/>
      <c r="AVK195" s="412"/>
      <c r="AVL195" s="412"/>
      <c r="AVM195" s="412"/>
      <c r="AVN195" s="412"/>
      <c r="AVO195" s="412"/>
      <c r="AVP195" s="412"/>
      <c r="AVQ195" s="412"/>
      <c r="AVR195" s="412"/>
      <c r="AVS195" s="412"/>
      <c r="AVT195" s="412"/>
      <c r="AVU195" s="412"/>
      <c r="AVV195" s="412"/>
      <c r="AVW195" s="412"/>
      <c r="AVX195" s="412"/>
      <c r="AVY195" s="412"/>
      <c r="AVZ195" s="412"/>
      <c r="AWA195" s="412"/>
      <c r="AWB195" s="412"/>
      <c r="AWC195" s="412"/>
      <c r="AWD195" s="412"/>
      <c r="AWE195" s="412"/>
      <c r="AWF195" s="412"/>
      <c r="AWG195" s="412"/>
      <c r="AWH195" s="412"/>
      <c r="AWI195" s="412"/>
      <c r="AWJ195" s="412"/>
      <c r="AWK195" s="412"/>
      <c r="AWL195" s="412"/>
      <c r="AWM195" s="412"/>
      <c r="AWN195" s="412"/>
      <c r="AWO195" s="412"/>
      <c r="AWP195" s="412"/>
      <c r="AWQ195" s="412"/>
      <c r="AWR195" s="412"/>
      <c r="AWS195" s="412"/>
      <c r="AWT195" s="412"/>
      <c r="AWU195" s="412"/>
      <c r="AWV195" s="412"/>
      <c r="AWW195" s="412"/>
      <c r="AWX195" s="412"/>
      <c r="AWY195" s="412"/>
      <c r="AWZ195" s="412"/>
      <c r="AXA195" s="412"/>
      <c r="AXB195" s="412"/>
      <c r="AXC195" s="412"/>
      <c r="AXD195" s="412"/>
      <c r="AXE195" s="412"/>
      <c r="AXF195" s="412"/>
      <c r="AXG195" s="412"/>
      <c r="AXH195" s="412"/>
      <c r="AXI195" s="412"/>
      <c r="AXJ195" s="412"/>
      <c r="AXK195" s="412"/>
      <c r="AXL195" s="412"/>
      <c r="AXM195" s="412"/>
      <c r="AXN195" s="412"/>
      <c r="AXO195" s="412"/>
      <c r="AXP195" s="412"/>
      <c r="AXQ195" s="412"/>
      <c r="AXR195" s="412"/>
      <c r="AXS195" s="412"/>
      <c r="AXT195" s="412"/>
      <c r="AXU195" s="412"/>
      <c r="AXV195" s="412"/>
      <c r="AXW195" s="412"/>
      <c r="AXX195" s="412"/>
      <c r="AXY195" s="412"/>
      <c r="AXZ195" s="412"/>
      <c r="AYA195" s="412"/>
      <c r="AYB195" s="412"/>
      <c r="AYC195" s="412"/>
      <c r="AYD195" s="412"/>
      <c r="AYE195" s="412"/>
      <c r="AYF195" s="412"/>
      <c r="AYG195" s="412"/>
      <c r="AYH195" s="412"/>
      <c r="AYI195" s="412"/>
      <c r="AYJ195" s="412"/>
      <c r="AYK195" s="412"/>
      <c r="AYL195" s="412"/>
      <c r="AYM195" s="412"/>
      <c r="AYN195" s="412"/>
      <c r="AYO195" s="412"/>
      <c r="AYP195" s="412"/>
      <c r="AYQ195" s="412"/>
      <c r="AYR195" s="412"/>
      <c r="AYS195" s="412"/>
      <c r="AYT195" s="412"/>
      <c r="AYU195" s="412"/>
      <c r="AYV195" s="412"/>
      <c r="AYW195" s="412"/>
      <c r="AYX195" s="412"/>
      <c r="AYY195" s="412"/>
      <c r="AYZ195" s="412"/>
      <c r="AZA195" s="412"/>
      <c r="AZB195" s="412"/>
      <c r="AZC195" s="412"/>
      <c r="AZD195" s="412"/>
      <c r="AZE195" s="412"/>
      <c r="AZF195" s="412"/>
      <c r="AZG195" s="412"/>
      <c r="AZH195" s="412"/>
      <c r="AZI195" s="412"/>
      <c r="AZJ195" s="412"/>
      <c r="AZK195" s="412"/>
      <c r="AZL195" s="412"/>
      <c r="AZM195" s="412"/>
      <c r="AZN195" s="412"/>
      <c r="AZO195" s="412"/>
      <c r="AZP195" s="412"/>
      <c r="AZQ195" s="412"/>
      <c r="AZR195" s="412"/>
      <c r="AZS195" s="412"/>
      <c r="AZT195" s="412"/>
      <c r="AZU195" s="412"/>
      <c r="AZV195" s="412"/>
      <c r="AZW195" s="412"/>
      <c r="AZX195" s="412"/>
      <c r="AZY195" s="412"/>
      <c r="AZZ195" s="412"/>
      <c r="BAA195" s="412"/>
      <c r="BAB195" s="412"/>
      <c r="BAC195" s="412"/>
      <c r="BAD195" s="412"/>
      <c r="BAE195" s="412"/>
      <c r="BAF195" s="412"/>
      <c r="BAG195" s="412"/>
      <c r="BAH195" s="412"/>
      <c r="BAI195" s="412"/>
      <c r="BAJ195" s="412"/>
      <c r="BAK195" s="412"/>
      <c r="BAL195" s="412"/>
      <c r="BAM195" s="412"/>
      <c r="BAN195" s="412"/>
      <c r="BAO195" s="412"/>
      <c r="BAP195" s="412"/>
      <c r="BAQ195" s="412"/>
      <c r="BAR195" s="412"/>
      <c r="BAS195" s="412"/>
      <c r="BAT195" s="412"/>
      <c r="BAU195" s="412"/>
      <c r="BAV195" s="412"/>
      <c r="BAW195" s="412"/>
      <c r="BAX195" s="412"/>
      <c r="BAY195" s="412"/>
      <c r="BAZ195" s="412"/>
      <c r="BBA195" s="412"/>
      <c r="BBB195" s="412"/>
      <c r="BBC195" s="412"/>
      <c r="BBD195" s="412"/>
      <c r="BBE195" s="412"/>
      <c r="BBF195" s="412"/>
      <c r="BBG195" s="412"/>
      <c r="BBH195" s="412"/>
      <c r="BBI195" s="412"/>
      <c r="BBJ195" s="412"/>
      <c r="BBK195" s="412"/>
      <c r="BBL195" s="412"/>
      <c r="BBM195" s="412"/>
      <c r="BBN195" s="412"/>
      <c r="BBO195" s="412"/>
      <c r="BBP195" s="412"/>
      <c r="BBQ195" s="412"/>
      <c r="BBR195" s="412"/>
      <c r="BBS195" s="412"/>
      <c r="BBT195" s="412"/>
      <c r="BBU195" s="412"/>
      <c r="BBV195" s="412"/>
      <c r="BBW195" s="412"/>
      <c r="BBX195" s="412"/>
      <c r="BBY195" s="412"/>
      <c r="BBZ195" s="412"/>
      <c r="BCA195" s="412"/>
      <c r="BCB195" s="412"/>
      <c r="BCC195" s="412"/>
      <c r="BCD195" s="412"/>
      <c r="BCE195" s="412"/>
      <c r="BCF195" s="412"/>
      <c r="BCG195" s="412"/>
      <c r="BCH195" s="412"/>
      <c r="BCI195" s="412"/>
      <c r="BCJ195" s="412"/>
      <c r="BCK195" s="412"/>
      <c r="BCL195" s="412"/>
      <c r="BCM195" s="412"/>
      <c r="BCN195" s="412"/>
      <c r="BCO195" s="412"/>
      <c r="BCP195" s="412"/>
      <c r="BCQ195" s="412"/>
      <c r="BCR195" s="412"/>
      <c r="BCS195" s="412"/>
      <c r="BCT195" s="412"/>
      <c r="BCU195" s="412"/>
      <c r="BCV195" s="412"/>
      <c r="BCW195" s="412"/>
      <c r="BCX195" s="412"/>
      <c r="BCY195" s="412"/>
      <c r="BCZ195" s="412"/>
      <c r="BDA195" s="412"/>
      <c r="BDB195" s="412"/>
      <c r="BDC195" s="412"/>
      <c r="BDD195" s="412"/>
      <c r="BDE195" s="412"/>
      <c r="BDF195" s="412"/>
      <c r="BDG195" s="412"/>
      <c r="BDH195" s="412"/>
      <c r="BDI195" s="412"/>
      <c r="BDJ195" s="412"/>
      <c r="BDK195" s="412"/>
      <c r="BDL195" s="412"/>
      <c r="BDM195" s="412"/>
      <c r="BDN195" s="412"/>
      <c r="BDO195" s="412"/>
      <c r="BDP195" s="412"/>
      <c r="BDQ195" s="412"/>
      <c r="BDR195" s="412"/>
      <c r="BDS195" s="412"/>
      <c r="BDT195" s="412"/>
      <c r="BDU195" s="412"/>
      <c r="BDV195" s="412"/>
      <c r="BDW195" s="412"/>
      <c r="BDX195" s="412"/>
      <c r="BDY195" s="412"/>
      <c r="BDZ195" s="412"/>
      <c r="BEA195" s="412"/>
      <c r="BEB195" s="412"/>
      <c r="BEC195" s="412"/>
      <c r="BED195" s="412"/>
      <c r="BEE195" s="412"/>
      <c r="BEF195" s="412"/>
      <c r="BEG195" s="412"/>
      <c r="BEH195" s="412"/>
      <c r="BEI195" s="412"/>
      <c r="BEJ195" s="412"/>
      <c r="BEK195" s="412"/>
      <c r="BEL195" s="412"/>
      <c r="BEM195" s="412"/>
      <c r="BEN195" s="412"/>
      <c r="BEO195" s="412"/>
      <c r="BEP195" s="412"/>
      <c r="BEQ195" s="412"/>
      <c r="BER195" s="412"/>
      <c r="BES195" s="412"/>
      <c r="BET195" s="412"/>
      <c r="BEU195" s="412"/>
      <c r="BEV195" s="412"/>
      <c r="BEW195" s="412"/>
      <c r="BEX195" s="412"/>
      <c r="BEY195" s="412"/>
      <c r="BEZ195" s="412"/>
      <c r="BFA195" s="412"/>
      <c r="BFB195" s="412"/>
      <c r="BFC195" s="412"/>
      <c r="BFD195" s="412"/>
      <c r="BFE195" s="412"/>
      <c r="BFF195" s="412"/>
      <c r="BFG195" s="412"/>
      <c r="BFH195" s="412"/>
      <c r="BFI195" s="412"/>
      <c r="BFJ195" s="412"/>
      <c r="BFK195" s="412"/>
      <c r="BFL195" s="412"/>
      <c r="BFM195" s="412"/>
      <c r="BFN195" s="412"/>
      <c r="BFO195" s="412"/>
      <c r="BFP195" s="412"/>
      <c r="BFQ195" s="412"/>
      <c r="BFR195" s="412"/>
      <c r="BFS195" s="412"/>
      <c r="BFT195" s="412"/>
      <c r="BFU195" s="412"/>
      <c r="BFV195" s="412"/>
      <c r="BFW195" s="412"/>
      <c r="BFX195" s="412"/>
      <c r="BFY195" s="412"/>
      <c r="BFZ195" s="412"/>
      <c r="BGA195" s="412"/>
      <c r="BGB195" s="412"/>
      <c r="BGC195" s="412"/>
      <c r="BGD195" s="412"/>
      <c r="BGE195" s="412"/>
      <c r="BGF195" s="412"/>
      <c r="BGG195" s="412"/>
      <c r="BGH195" s="412"/>
      <c r="BGI195" s="412"/>
      <c r="BGJ195" s="412"/>
      <c r="BGK195" s="412"/>
      <c r="BGL195" s="412"/>
      <c r="BGM195" s="412"/>
      <c r="BGN195" s="412"/>
      <c r="BGO195" s="412"/>
      <c r="BGP195" s="412"/>
      <c r="BGQ195" s="412"/>
      <c r="BGR195" s="412"/>
      <c r="BGS195" s="412"/>
      <c r="BGT195" s="412"/>
      <c r="BGU195" s="412"/>
      <c r="BGV195" s="412"/>
      <c r="BGW195" s="412"/>
      <c r="BGX195" s="412"/>
      <c r="BGY195" s="412"/>
      <c r="BGZ195" s="412"/>
      <c r="BHA195" s="412"/>
      <c r="BHB195" s="412"/>
      <c r="BHC195" s="412"/>
      <c r="BHD195" s="412"/>
      <c r="BHE195" s="412"/>
      <c r="BHF195" s="412"/>
      <c r="BHG195" s="412"/>
      <c r="BHH195" s="412"/>
      <c r="BHI195" s="412"/>
      <c r="BHJ195" s="412"/>
      <c r="BHK195" s="412"/>
      <c r="BHL195" s="412"/>
      <c r="BHM195" s="412"/>
      <c r="BHN195" s="412"/>
      <c r="BHO195" s="412"/>
      <c r="BHP195" s="412"/>
      <c r="BHQ195" s="412"/>
      <c r="BHR195" s="412"/>
      <c r="BHS195" s="412"/>
      <c r="BHT195" s="412"/>
      <c r="BHU195" s="412"/>
      <c r="BHV195" s="412"/>
      <c r="BHW195" s="412"/>
      <c r="BHX195" s="412"/>
      <c r="BHY195" s="412"/>
      <c r="BHZ195" s="412"/>
      <c r="BIA195" s="412"/>
      <c r="BIB195" s="412"/>
      <c r="BIC195" s="412"/>
      <c r="BID195" s="412"/>
      <c r="BIE195" s="412"/>
      <c r="BIF195" s="412"/>
      <c r="BIG195" s="412"/>
      <c r="BIH195" s="412"/>
      <c r="BII195" s="412"/>
      <c r="BIJ195" s="412"/>
      <c r="BIK195" s="412"/>
      <c r="BIL195" s="412"/>
      <c r="BIM195" s="412"/>
      <c r="BIN195" s="412"/>
      <c r="BIO195" s="412"/>
      <c r="BIP195" s="412"/>
      <c r="BIQ195" s="412"/>
      <c r="BIR195" s="412"/>
      <c r="BIS195" s="412"/>
      <c r="BIT195" s="412"/>
      <c r="BIU195" s="412"/>
      <c r="BIV195" s="412"/>
      <c r="BIW195" s="412"/>
      <c r="BIX195" s="412"/>
      <c r="BIY195" s="412"/>
      <c r="BIZ195" s="412"/>
      <c r="BJA195" s="412"/>
      <c r="BJB195" s="412"/>
      <c r="BJC195" s="412"/>
      <c r="BJD195" s="412"/>
      <c r="BJE195" s="412"/>
      <c r="BJF195" s="412"/>
      <c r="BJG195" s="412"/>
      <c r="BJH195" s="412"/>
      <c r="BJI195" s="412"/>
      <c r="BJJ195" s="412"/>
      <c r="BJK195" s="412"/>
      <c r="BJL195" s="412"/>
      <c r="BJM195" s="412"/>
      <c r="BJN195" s="412"/>
      <c r="BJO195" s="412"/>
      <c r="BJP195" s="412"/>
      <c r="BJQ195" s="412"/>
      <c r="BJR195" s="412"/>
      <c r="BJS195" s="412"/>
      <c r="BJT195" s="412"/>
      <c r="BJU195" s="412"/>
      <c r="BJV195" s="412"/>
      <c r="BJW195" s="412"/>
      <c r="BJX195" s="412"/>
      <c r="BJY195" s="412"/>
      <c r="BJZ195" s="412"/>
      <c r="BKA195" s="412"/>
      <c r="BKB195" s="412"/>
      <c r="BKC195" s="412"/>
      <c r="BKD195" s="412"/>
      <c r="BKE195" s="412"/>
      <c r="BKF195" s="412"/>
      <c r="BKG195" s="412"/>
      <c r="BKH195" s="412"/>
      <c r="BKI195" s="412"/>
      <c r="BKJ195" s="412"/>
      <c r="BKK195" s="412"/>
      <c r="BKL195" s="412"/>
      <c r="BKM195" s="412"/>
      <c r="BKN195" s="412"/>
      <c r="BKO195" s="412"/>
      <c r="BKP195" s="412"/>
      <c r="BKQ195" s="412"/>
      <c r="BKR195" s="412"/>
      <c r="BKS195" s="412"/>
      <c r="BKT195" s="412"/>
      <c r="BKU195" s="412"/>
      <c r="BKV195" s="412"/>
      <c r="BKW195" s="412"/>
      <c r="BKX195" s="412"/>
      <c r="BKY195" s="412"/>
      <c r="BKZ195" s="412"/>
      <c r="BLA195" s="412"/>
      <c r="BLB195" s="412"/>
      <c r="BLC195" s="412"/>
      <c r="BLD195" s="412"/>
      <c r="BLE195" s="412"/>
      <c r="BLF195" s="412"/>
      <c r="BLG195" s="412"/>
      <c r="BLH195" s="412"/>
      <c r="BLI195" s="412"/>
      <c r="BLJ195" s="412"/>
      <c r="BLK195" s="412"/>
      <c r="BLL195" s="412"/>
      <c r="BLM195" s="412"/>
      <c r="BLN195" s="412"/>
      <c r="BLO195" s="412"/>
      <c r="BLP195" s="412"/>
      <c r="BLQ195" s="412"/>
      <c r="BLR195" s="412"/>
      <c r="BLS195" s="412"/>
      <c r="BLT195" s="412"/>
      <c r="BLU195" s="412"/>
      <c r="BLV195" s="412"/>
      <c r="BLW195" s="412"/>
      <c r="BLX195" s="412"/>
      <c r="BLY195" s="412"/>
      <c r="BLZ195" s="412"/>
      <c r="BMA195" s="412"/>
      <c r="BMB195" s="412"/>
      <c r="BMC195" s="412"/>
      <c r="BMD195" s="412"/>
      <c r="BME195" s="412"/>
      <c r="BMF195" s="412"/>
      <c r="BMG195" s="412"/>
      <c r="BMH195" s="412"/>
      <c r="BMI195" s="412"/>
      <c r="BMJ195" s="412"/>
      <c r="BMK195" s="412"/>
      <c r="BML195" s="412"/>
      <c r="BMM195" s="412"/>
      <c r="BMN195" s="412"/>
      <c r="BMO195" s="412"/>
      <c r="BMP195" s="412"/>
      <c r="BMQ195" s="412"/>
      <c r="BMR195" s="412"/>
      <c r="BMS195" s="412"/>
      <c r="BMT195" s="412"/>
      <c r="BMU195" s="412"/>
      <c r="BMV195" s="412"/>
      <c r="BMW195" s="412"/>
      <c r="BMX195" s="412"/>
      <c r="BMY195" s="412"/>
      <c r="BMZ195" s="412"/>
      <c r="BNA195" s="412"/>
      <c r="BNB195" s="412"/>
      <c r="BNC195" s="412"/>
      <c r="BND195" s="412"/>
      <c r="BNE195" s="412"/>
      <c r="BNF195" s="412"/>
      <c r="BNG195" s="412"/>
      <c r="BNH195" s="412"/>
      <c r="BNI195" s="412"/>
      <c r="BNJ195" s="412"/>
      <c r="BNK195" s="412"/>
      <c r="BNL195" s="412"/>
      <c r="BNM195" s="412"/>
      <c r="BNN195" s="412"/>
      <c r="BNO195" s="412"/>
      <c r="BNP195" s="412"/>
      <c r="BNQ195" s="412"/>
      <c r="BNR195" s="412"/>
      <c r="BNS195" s="412"/>
      <c r="BNT195" s="412"/>
      <c r="BNU195" s="412"/>
      <c r="BNV195" s="412"/>
      <c r="BNW195" s="412"/>
      <c r="BNX195" s="412"/>
      <c r="BNY195" s="412"/>
      <c r="BNZ195" s="412"/>
      <c r="BOA195" s="412"/>
      <c r="BOB195" s="412"/>
      <c r="BOC195" s="412"/>
      <c r="BOD195" s="412"/>
      <c r="BOE195" s="412"/>
      <c r="BOF195" s="412"/>
      <c r="BOG195" s="412"/>
      <c r="BOH195" s="412"/>
      <c r="BOI195" s="412"/>
      <c r="BOJ195" s="412"/>
      <c r="BOK195" s="412"/>
      <c r="BOL195" s="412"/>
      <c r="BOM195" s="412"/>
      <c r="BON195" s="412"/>
      <c r="BOO195" s="412"/>
      <c r="BOP195" s="412"/>
      <c r="BOQ195" s="412"/>
      <c r="BOR195" s="412"/>
      <c r="BOS195" s="412"/>
      <c r="BOT195" s="412"/>
      <c r="BOU195" s="412"/>
      <c r="BOV195" s="412"/>
      <c r="BOW195" s="412"/>
      <c r="BOX195" s="412"/>
      <c r="BOY195" s="412"/>
      <c r="BOZ195" s="412"/>
      <c r="BPA195" s="412"/>
      <c r="BPB195" s="412"/>
      <c r="BPC195" s="412"/>
      <c r="BPD195" s="412"/>
      <c r="BPE195" s="412"/>
      <c r="BPF195" s="412"/>
      <c r="BPG195" s="412"/>
      <c r="BPH195" s="412"/>
      <c r="BPI195" s="412"/>
      <c r="BPJ195" s="412"/>
      <c r="BPK195" s="412"/>
      <c r="BPL195" s="412"/>
      <c r="BPM195" s="412"/>
      <c r="BPN195" s="412"/>
      <c r="BPO195" s="412"/>
      <c r="BPP195" s="412"/>
      <c r="BPQ195" s="412"/>
      <c r="BPR195" s="412"/>
      <c r="BPS195" s="412"/>
      <c r="BPT195" s="412"/>
      <c r="BPU195" s="412"/>
      <c r="BPV195" s="412"/>
      <c r="BPW195" s="412"/>
      <c r="BPX195" s="412"/>
      <c r="BPY195" s="412"/>
      <c r="BPZ195" s="412"/>
      <c r="BQA195" s="412"/>
      <c r="BQB195" s="412"/>
      <c r="BQC195" s="412"/>
      <c r="BQD195" s="412"/>
      <c r="BQE195" s="412"/>
      <c r="BQF195" s="412"/>
      <c r="BQG195" s="412"/>
      <c r="BQH195" s="412"/>
      <c r="BQI195" s="412"/>
      <c r="BQJ195" s="412"/>
      <c r="BQK195" s="412"/>
      <c r="BQL195" s="412"/>
      <c r="BQM195" s="412"/>
      <c r="BQN195" s="412"/>
      <c r="BQO195" s="412"/>
      <c r="BQP195" s="412"/>
      <c r="BQQ195" s="412"/>
      <c r="BQR195" s="412"/>
      <c r="BQS195" s="412"/>
      <c r="BQT195" s="412"/>
      <c r="BQU195" s="412"/>
      <c r="BQV195" s="412"/>
      <c r="BQW195" s="412"/>
      <c r="BQX195" s="412"/>
      <c r="BQY195" s="412"/>
      <c r="BQZ195" s="412"/>
      <c r="BRA195" s="412"/>
      <c r="BRB195" s="412"/>
      <c r="BRC195" s="412"/>
      <c r="BRD195" s="412"/>
      <c r="BRE195" s="412"/>
      <c r="BRF195" s="412"/>
      <c r="BRG195" s="412"/>
      <c r="BRH195" s="412"/>
      <c r="BRI195" s="412"/>
      <c r="BRJ195" s="412"/>
      <c r="BRK195" s="412"/>
      <c r="BRL195" s="412"/>
      <c r="BRM195" s="412"/>
      <c r="BRN195" s="412"/>
      <c r="BRO195" s="412"/>
      <c r="BRP195" s="412"/>
      <c r="BRQ195" s="412"/>
      <c r="BRR195" s="412"/>
      <c r="BRS195" s="412"/>
      <c r="BRT195" s="412"/>
      <c r="BRU195" s="412"/>
      <c r="BRV195" s="412"/>
      <c r="BRW195" s="412"/>
      <c r="BRX195" s="412"/>
      <c r="BRY195" s="412"/>
      <c r="BRZ195" s="412"/>
      <c r="BSA195" s="412"/>
      <c r="BSB195" s="412"/>
      <c r="BSC195" s="412"/>
      <c r="BSD195" s="412"/>
      <c r="BSE195" s="412"/>
      <c r="BSF195" s="412"/>
      <c r="BSG195" s="412"/>
      <c r="BSH195" s="412"/>
      <c r="BSI195" s="412"/>
      <c r="BSJ195" s="412"/>
      <c r="BSK195" s="412"/>
      <c r="BSL195" s="412"/>
      <c r="BSM195" s="412"/>
      <c r="BSN195" s="412"/>
      <c r="BSO195" s="412"/>
      <c r="BSP195" s="412"/>
      <c r="BSQ195" s="412"/>
      <c r="BSR195" s="412"/>
      <c r="BSS195" s="412"/>
      <c r="BST195" s="412"/>
      <c r="BSU195" s="412"/>
      <c r="BSV195" s="412"/>
      <c r="BSW195" s="412"/>
      <c r="BSX195" s="412"/>
      <c r="BSY195" s="412"/>
      <c r="BSZ195" s="412"/>
      <c r="BTA195" s="412"/>
      <c r="BTB195" s="412"/>
      <c r="BTC195" s="412"/>
      <c r="BTD195" s="412"/>
      <c r="BTE195" s="412"/>
      <c r="BTF195" s="412"/>
      <c r="BTG195" s="412"/>
      <c r="BTH195" s="412"/>
      <c r="BTI195" s="412"/>
    </row>
    <row r="196" spans="1:1881" s="69" customFormat="1" ht="34.5" customHeight="1" x14ac:dyDescent="0.25">
      <c r="A196" s="190"/>
      <c r="B196" s="180"/>
      <c r="C196" s="180"/>
      <c r="D196" s="174" t="s">
        <v>9</v>
      </c>
      <c r="E196" s="6"/>
      <c r="F196" s="757"/>
      <c r="G196" s="319"/>
      <c r="H196" s="13"/>
      <c r="I196" s="31"/>
      <c r="J196" s="412"/>
      <c r="K196" s="412"/>
      <c r="L196" s="412"/>
      <c r="M196" s="412"/>
      <c r="N196"/>
      <c r="O196" s="412"/>
      <c r="P196" s="412"/>
      <c r="Q196" s="412"/>
      <c r="R196" s="412"/>
      <c r="S196" s="412"/>
      <c r="T196" s="412"/>
      <c r="U196" s="412"/>
      <c r="V196" s="412"/>
      <c r="W196" s="412"/>
      <c r="X196" s="412"/>
      <c r="Y196" s="412"/>
      <c r="Z196" s="412"/>
      <c r="AA196" s="412"/>
      <c r="AB196" s="412"/>
      <c r="AC196" s="412"/>
      <c r="AD196" s="412"/>
      <c r="AE196" s="412"/>
      <c r="AF196" s="412"/>
      <c r="AG196" s="412"/>
      <c r="AH196" s="412"/>
      <c r="AI196" s="412"/>
      <c r="AJ196" s="412"/>
      <c r="AK196" s="412"/>
      <c r="AL196" s="412"/>
      <c r="AM196" s="412"/>
      <c r="AN196" s="412"/>
      <c r="AO196" s="412"/>
      <c r="AP196" s="412"/>
      <c r="AQ196" s="412"/>
      <c r="AR196" s="412"/>
      <c r="AS196" s="412"/>
      <c r="AT196" s="412"/>
      <c r="AU196" s="412"/>
      <c r="AV196" s="412"/>
      <c r="AW196" s="412"/>
      <c r="AX196" s="412"/>
      <c r="AY196" s="412"/>
      <c r="AZ196" s="412"/>
      <c r="BA196" s="412"/>
      <c r="BB196" s="412"/>
      <c r="BC196" s="412"/>
      <c r="BD196" s="412"/>
      <c r="BE196" s="412"/>
      <c r="BF196" s="412"/>
      <c r="BG196" s="412"/>
      <c r="BH196" s="412"/>
      <c r="BI196" s="412"/>
      <c r="BJ196" s="412"/>
      <c r="BK196" s="412"/>
      <c r="BL196" s="412"/>
      <c r="BM196" s="412"/>
      <c r="BN196" s="412"/>
      <c r="BO196" s="412"/>
      <c r="BP196" s="412"/>
      <c r="BQ196" s="412"/>
      <c r="BR196" s="412"/>
      <c r="BS196" s="412"/>
      <c r="BT196" s="412"/>
      <c r="BU196" s="412"/>
      <c r="BV196" s="412"/>
      <c r="BW196" s="412"/>
      <c r="BX196" s="412"/>
      <c r="BY196" s="412"/>
      <c r="BZ196" s="412"/>
      <c r="CA196" s="412"/>
      <c r="CB196" s="412"/>
      <c r="CC196" s="412"/>
      <c r="CD196" s="412"/>
      <c r="CE196" s="412"/>
      <c r="CF196" s="412"/>
      <c r="CG196" s="412"/>
      <c r="CH196" s="412"/>
      <c r="CI196" s="412"/>
      <c r="CJ196" s="412"/>
      <c r="CK196" s="412"/>
      <c r="CL196" s="412"/>
      <c r="CM196" s="412"/>
      <c r="CN196" s="412"/>
      <c r="CO196" s="412"/>
      <c r="CP196" s="412"/>
      <c r="CQ196" s="412"/>
      <c r="CR196" s="412"/>
      <c r="CS196" s="412"/>
      <c r="CT196" s="412"/>
      <c r="CU196" s="412"/>
      <c r="CV196" s="412"/>
      <c r="CW196" s="412"/>
      <c r="CX196" s="412"/>
      <c r="CY196" s="412"/>
      <c r="CZ196" s="412"/>
      <c r="DA196" s="412"/>
      <c r="DB196" s="412"/>
      <c r="DC196" s="412"/>
      <c r="DD196" s="412"/>
      <c r="DE196" s="412"/>
      <c r="DF196" s="412"/>
      <c r="DG196" s="412"/>
      <c r="DH196" s="412"/>
      <c r="DI196" s="412"/>
      <c r="DJ196" s="412"/>
      <c r="DK196" s="412"/>
      <c r="DL196" s="412"/>
      <c r="DM196" s="412"/>
      <c r="DN196" s="412"/>
      <c r="DO196" s="412"/>
      <c r="DP196" s="412"/>
      <c r="DQ196" s="412"/>
      <c r="DR196" s="412"/>
      <c r="DS196" s="412"/>
      <c r="DT196" s="412"/>
      <c r="DU196" s="412"/>
      <c r="DV196" s="412"/>
      <c r="DW196" s="412"/>
      <c r="DX196" s="412"/>
      <c r="DY196" s="412"/>
      <c r="DZ196" s="412"/>
      <c r="EA196" s="412"/>
      <c r="EB196" s="412"/>
      <c r="EC196" s="412"/>
      <c r="ED196" s="412"/>
      <c r="EE196" s="412"/>
      <c r="EF196" s="412"/>
      <c r="EG196" s="412"/>
      <c r="EH196" s="412"/>
      <c r="EI196" s="412"/>
      <c r="EJ196" s="412"/>
      <c r="EK196" s="412"/>
      <c r="EL196" s="412"/>
      <c r="EM196" s="412"/>
      <c r="EN196" s="412"/>
      <c r="EO196" s="412"/>
      <c r="EP196" s="412"/>
      <c r="EQ196" s="412"/>
      <c r="ER196" s="412"/>
      <c r="ES196" s="412"/>
      <c r="ET196" s="412"/>
      <c r="EU196" s="412"/>
      <c r="EV196" s="412"/>
      <c r="EW196" s="412"/>
      <c r="EX196" s="412"/>
      <c r="EY196" s="412"/>
      <c r="EZ196" s="412"/>
      <c r="FA196" s="412"/>
      <c r="FB196" s="412"/>
      <c r="FC196" s="412"/>
      <c r="FD196" s="412"/>
      <c r="FE196" s="412"/>
      <c r="FF196" s="412"/>
      <c r="FG196" s="412"/>
      <c r="FH196" s="412"/>
      <c r="FI196" s="412"/>
      <c r="FJ196" s="412"/>
      <c r="FK196" s="412"/>
      <c r="FL196" s="412"/>
      <c r="FM196" s="412"/>
      <c r="FN196" s="412"/>
      <c r="FO196" s="412"/>
      <c r="FP196" s="412"/>
      <c r="FQ196" s="412"/>
      <c r="FR196" s="412"/>
      <c r="FS196" s="412"/>
      <c r="FT196" s="412"/>
      <c r="FU196" s="412"/>
      <c r="FV196" s="412"/>
      <c r="FW196" s="412"/>
      <c r="FX196" s="412"/>
      <c r="FY196" s="412"/>
      <c r="FZ196" s="412"/>
      <c r="GA196" s="412"/>
      <c r="GB196" s="412"/>
      <c r="GC196" s="412"/>
      <c r="GD196" s="412"/>
      <c r="GE196" s="412"/>
      <c r="GF196" s="412"/>
      <c r="GG196" s="412"/>
      <c r="GH196" s="412"/>
      <c r="GI196" s="412"/>
      <c r="GJ196" s="412"/>
      <c r="GK196" s="412"/>
      <c r="GL196" s="412"/>
      <c r="GM196" s="412"/>
      <c r="GN196" s="412"/>
      <c r="GO196" s="412"/>
      <c r="GP196" s="412"/>
      <c r="GQ196" s="412"/>
      <c r="GR196" s="412"/>
      <c r="GS196" s="412"/>
      <c r="GT196" s="412"/>
      <c r="GU196" s="412"/>
      <c r="GV196" s="412"/>
      <c r="GW196" s="412"/>
      <c r="GX196" s="412"/>
      <c r="GY196" s="412"/>
      <c r="GZ196" s="412"/>
      <c r="HA196" s="412"/>
      <c r="HB196" s="412"/>
      <c r="HC196" s="412"/>
      <c r="HD196" s="412"/>
      <c r="HE196" s="412"/>
      <c r="HF196" s="412"/>
      <c r="HG196" s="412"/>
      <c r="HH196" s="412"/>
      <c r="HI196" s="412"/>
      <c r="HJ196" s="412"/>
      <c r="HK196" s="412"/>
      <c r="HL196" s="412"/>
      <c r="HM196" s="412"/>
      <c r="HN196" s="412"/>
      <c r="HO196" s="412"/>
      <c r="HP196" s="412"/>
      <c r="HQ196" s="412"/>
      <c r="HR196" s="412"/>
      <c r="HS196" s="412"/>
      <c r="HT196" s="412"/>
      <c r="HU196" s="412"/>
      <c r="HV196" s="412"/>
      <c r="HW196" s="412"/>
      <c r="HX196" s="412"/>
      <c r="HY196" s="412"/>
      <c r="HZ196" s="412"/>
      <c r="IA196" s="412"/>
      <c r="IB196" s="412"/>
      <c r="IC196" s="412"/>
      <c r="ID196" s="412"/>
      <c r="IE196" s="412"/>
      <c r="IF196" s="412"/>
      <c r="IG196" s="412"/>
      <c r="IH196" s="412"/>
      <c r="II196" s="412"/>
      <c r="IJ196" s="412"/>
      <c r="IK196" s="412"/>
      <c r="IL196" s="412"/>
      <c r="IM196" s="412"/>
      <c r="IN196" s="412"/>
      <c r="IO196" s="412"/>
      <c r="IP196" s="412"/>
      <c r="IQ196" s="412"/>
      <c r="IR196" s="412"/>
      <c r="IS196" s="412"/>
      <c r="IT196" s="412"/>
      <c r="IU196" s="412"/>
      <c r="IV196" s="412"/>
      <c r="IW196" s="412"/>
      <c r="IX196" s="412"/>
      <c r="IY196" s="412"/>
      <c r="IZ196" s="412"/>
      <c r="JA196" s="412"/>
      <c r="JB196" s="412"/>
      <c r="JC196" s="412"/>
      <c r="JD196" s="412"/>
      <c r="JE196" s="412"/>
      <c r="JF196" s="412"/>
      <c r="JG196" s="412"/>
      <c r="JH196" s="412"/>
      <c r="JI196" s="412"/>
      <c r="JJ196" s="412"/>
      <c r="JK196" s="412"/>
      <c r="JL196" s="412"/>
      <c r="JM196" s="412"/>
      <c r="JN196" s="412"/>
      <c r="JO196" s="412"/>
      <c r="JP196" s="412"/>
      <c r="JQ196" s="412"/>
      <c r="JR196" s="412"/>
      <c r="JS196" s="412"/>
      <c r="JT196" s="412"/>
      <c r="JU196" s="412"/>
      <c r="JV196" s="412"/>
      <c r="JW196" s="412"/>
      <c r="JX196" s="412"/>
      <c r="JY196" s="412"/>
      <c r="JZ196" s="412"/>
      <c r="KA196" s="412"/>
      <c r="KB196" s="412"/>
      <c r="KC196" s="412"/>
      <c r="KD196" s="412"/>
      <c r="KE196" s="412"/>
      <c r="KF196" s="412"/>
      <c r="KG196" s="412"/>
      <c r="KH196" s="412"/>
      <c r="KI196" s="412"/>
      <c r="KJ196" s="412"/>
      <c r="KK196" s="412"/>
      <c r="KL196" s="412"/>
      <c r="KM196" s="412"/>
      <c r="KN196" s="412"/>
      <c r="KO196" s="412"/>
      <c r="KP196" s="412"/>
      <c r="KQ196" s="412"/>
      <c r="KR196" s="412"/>
      <c r="KS196" s="412"/>
      <c r="KT196" s="412"/>
      <c r="KU196" s="412"/>
      <c r="KV196" s="412"/>
      <c r="KW196" s="412"/>
      <c r="KX196" s="412"/>
      <c r="KY196" s="412"/>
      <c r="KZ196" s="412"/>
      <c r="LA196" s="412"/>
      <c r="LB196" s="412"/>
      <c r="LC196" s="412"/>
      <c r="LD196" s="412"/>
      <c r="LE196" s="412"/>
      <c r="LF196" s="412"/>
      <c r="LG196" s="412"/>
      <c r="LH196" s="412"/>
      <c r="LI196" s="412"/>
      <c r="LJ196" s="412"/>
      <c r="LK196" s="412"/>
      <c r="LL196" s="412"/>
      <c r="LM196" s="412"/>
      <c r="LN196" s="412"/>
      <c r="LO196" s="412"/>
      <c r="LP196" s="412"/>
      <c r="LQ196" s="412"/>
      <c r="LR196" s="412"/>
      <c r="LS196" s="412"/>
      <c r="LT196" s="412"/>
      <c r="LU196" s="412"/>
      <c r="LV196" s="412"/>
      <c r="LW196" s="412"/>
      <c r="LX196" s="412"/>
      <c r="LY196" s="412"/>
      <c r="LZ196" s="412"/>
      <c r="MA196" s="412"/>
      <c r="MB196" s="412"/>
      <c r="MC196" s="412"/>
      <c r="MD196" s="412"/>
      <c r="ME196" s="412"/>
      <c r="MF196" s="412"/>
      <c r="MG196" s="412"/>
      <c r="MH196" s="412"/>
      <c r="MI196" s="412"/>
      <c r="MJ196" s="412"/>
      <c r="MK196" s="412"/>
      <c r="ML196" s="412"/>
      <c r="MM196" s="412"/>
      <c r="MN196" s="412"/>
      <c r="MO196" s="412"/>
      <c r="MP196" s="412"/>
      <c r="MQ196" s="412"/>
      <c r="MR196" s="412"/>
      <c r="MS196" s="412"/>
      <c r="MT196" s="412"/>
      <c r="MU196" s="412"/>
      <c r="MV196" s="412"/>
      <c r="MW196" s="412"/>
      <c r="MX196" s="412"/>
      <c r="MY196" s="412"/>
      <c r="MZ196" s="412"/>
      <c r="NA196" s="412"/>
      <c r="NB196" s="412"/>
      <c r="NC196" s="412"/>
      <c r="ND196" s="412"/>
      <c r="NE196" s="412"/>
      <c r="NF196" s="412"/>
      <c r="NG196" s="412"/>
      <c r="NH196" s="412"/>
      <c r="NI196" s="412"/>
      <c r="NJ196" s="412"/>
      <c r="NK196" s="412"/>
      <c r="NL196" s="412"/>
      <c r="NM196" s="412"/>
      <c r="NN196" s="412"/>
      <c r="NO196" s="412"/>
      <c r="NP196" s="412"/>
      <c r="NQ196" s="412"/>
      <c r="NR196" s="412"/>
      <c r="NS196" s="412"/>
      <c r="NT196" s="412"/>
      <c r="NU196" s="412"/>
      <c r="NV196" s="412"/>
      <c r="NW196" s="412"/>
      <c r="NX196" s="412"/>
      <c r="NY196" s="412"/>
      <c r="NZ196" s="412"/>
      <c r="OA196" s="412"/>
      <c r="OB196" s="412"/>
      <c r="OC196" s="412"/>
      <c r="OD196" s="412"/>
      <c r="OE196" s="412"/>
      <c r="OF196" s="412"/>
      <c r="OG196" s="412"/>
      <c r="OH196" s="412"/>
      <c r="OI196" s="412"/>
      <c r="OJ196" s="412"/>
      <c r="OK196" s="412"/>
      <c r="OL196" s="412"/>
      <c r="OM196" s="412"/>
      <c r="ON196" s="412"/>
      <c r="OO196" s="412"/>
      <c r="OP196" s="412"/>
      <c r="OQ196" s="412"/>
      <c r="OR196" s="412"/>
      <c r="OS196" s="412"/>
      <c r="OT196" s="412"/>
      <c r="OU196" s="412"/>
      <c r="OV196" s="412"/>
      <c r="OW196" s="412"/>
      <c r="OX196" s="412"/>
      <c r="OY196" s="412"/>
      <c r="OZ196" s="412"/>
      <c r="PA196" s="412"/>
      <c r="PB196" s="412"/>
      <c r="PC196" s="412"/>
      <c r="PD196" s="412"/>
      <c r="PE196" s="412"/>
      <c r="PF196" s="412"/>
      <c r="PG196" s="412"/>
      <c r="PH196" s="412"/>
      <c r="PI196" s="412"/>
      <c r="PJ196" s="412"/>
      <c r="PK196" s="412"/>
      <c r="PL196" s="412"/>
      <c r="PM196" s="412"/>
      <c r="PN196" s="412"/>
      <c r="PO196" s="412"/>
      <c r="PP196" s="412"/>
      <c r="PQ196" s="412"/>
      <c r="PR196" s="412"/>
      <c r="PS196" s="412"/>
      <c r="PT196" s="412"/>
      <c r="PU196" s="412"/>
      <c r="PV196" s="412"/>
      <c r="PW196" s="412"/>
      <c r="PX196" s="412"/>
      <c r="PY196" s="412"/>
      <c r="PZ196" s="412"/>
      <c r="QA196" s="412"/>
      <c r="QB196" s="412"/>
      <c r="QC196" s="412"/>
      <c r="QD196" s="412"/>
      <c r="QE196" s="412"/>
      <c r="QF196" s="412"/>
      <c r="QG196" s="412"/>
      <c r="QH196" s="412"/>
      <c r="QI196" s="412"/>
      <c r="QJ196" s="412"/>
      <c r="QK196" s="412"/>
      <c r="QL196" s="412"/>
      <c r="QM196" s="412"/>
      <c r="QN196" s="412"/>
      <c r="QO196" s="412"/>
      <c r="QP196" s="412"/>
      <c r="QQ196" s="412"/>
      <c r="QR196" s="412"/>
      <c r="QS196" s="412"/>
      <c r="QT196" s="412"/>
      <c r="QU196" s="412"/>
      <c r="QV196" s="412"/>
      <c r="QW196" s="412"/>
      <c r="QX196" s="412"/>
      <c r="QY196" s="412"/>
      <c r="QZ196" s="412"/>
      <c r="RA196" s="412"/>
      <c r="RB196" s="412"/>
      <c r="RC196" s="412"/>
      <c r="RD196" s="412"/>
      <c r="RE196" s="412"/>
      <c r="RF196" s="412"/>
      <c r="RG196" s="412"/>
      <c r="RH196" s="412"/>
      <c r="RI196" s="412"/>
      <c r="RJ196" s="412"/>
      <c r="RK196" s="412"/>
      <c r="RL196" s="412"/>
      <c r="RM196" s="412"/>
      <c r="RN196" s="412"/>
      <c r="RO196" s="412"/>
      <c r="RP196" s="412"/>
      <c r="RQ196" s="412"/>
      <c r="RR196" s="412"/>
      <c r="RS196" s="412"/>
      <c r="RT196" s="412"/>
      <c r="RU196" s="412"/>
      <c r="RV196" s="412"/>
      <c r="RW196" s="412"/>
      <c r="RX196" s="412"/>
      <c r="RY196" s="412"/>
      <c r="RZ196" s="412"/>
      <c r="SA196" s="412"/>
      <c r="SB196" s="412"/>
      <c r="SC196" s="412"/>
      <c r="SD196" s="412"/>
      <c r="SE196" s="412"/>
      <c r="SF196" s="412"/>
      <c r="SG196" s="412"/>
      <c r="SH196" s="412"/>
      <c r="SI196" s="412"/>
      <c r="SJ196" s="412"/>
      <c r="SK196" s="412"/>
      <c r="SL196" s="412"/>
      <c r="SM196" s="412"/>
      <c r="SN196" s="412"/>
      <c r="SO196" s="412"/>
      <c r="SP196" s="412"/>
      <c r="SQ196" s="412"/>
      <c r="SR196" s="412"/>
      <c r="SS196" s="412"/>
      <c r="ST196" s="412"/>
      <c r="SU196" s="412"/>
      <c r="SV196" s="412"/>
      <c r="SW196" s="412"/>
      <c r="SX196" s="412"/>
      <c r="SY196" s="412"/>
      <c r="SZ196" s="412"/>
      <c r="TA196" s="412"/>
      <c r="TB196" s="412"/>
      <c r="TC196" s="412"/>
      <c r="TD196" s="412"/>
      <c r="TE196" s="412"/>
      <c r="TF196" s="412"/>
      <c r="TG196" s="412"/>
      <c r="TH196" s="412"/>
      <c r="TI196" s="412"/>
      <c r="TJ196" s="412"/>
      <c r="TK196" s="412"/>
      <c r="TL196" s="412"/>
      <c r="TM196" s="412"/>
      <c r="TN196" s="412"/>
      <c r="TO196" s="412"/>
      <c r="TP196" s="412"/>
      <c r="TQ196" s="412"/>
      <c r="TR196" s="412"/>
      <c r="TS196" s="412"/>
      <c r="TT196" s="412"/>
      <c r="TU196" s="412"/>
      <c r="TV196" s="412"/>
      <c r="TW196" s="412"/>
      <c r="TX196" s="412"/>
      <c r="TY196" s="412"/>
      <c r="TZ196" s="412"/>
      <c r="UA196" s="412"/>
      <c r="UB196" s="412"/>
      <c r="UC196" s="412"/>
      <c r="UD196" s="412"/>
      <c r="UE196" s="412"/>
      <c r="UF196" s="412"/>
      <c r="UG196" s="412"/>
      <c r="UH196" s="412"/>
      <c r="UI196" s="412"/>
      <c r="UJ196" s="412"/>
      <c r="UK196" s="412"/>
      <c r="UL196" s="412"/>
      <c r="UM196" s="412"/>
      <c r="UN196" s="412"/>
      <c r="UO196" s="412"/>
      <c r="UP196" s="412"/>
      <c r="UQ196" s="412"/>
      <c r="UR196" s="412"/>
      <c r="US196" s="412"/>
      <c r="UT196" s="412"/>
      <c r="UU196" s="412"/>
      <c r="UV196" s="412"/>
      <c r="UW196" s="412"/>
      <c r="UX196" s="412"/>
      <c r="UY196" s="412"/>
      <c r="UZ196" s="412"/>
      <c r="VA196" s="412"/>
      <c r="VB196" s="412"/>
      <c r="VC196" s="412"/>
      <c r="VD196" s="412"/>
      <c r="VE196" s="412"/>
      <c r="VF196" s="412"/>
      <c r="VG196" s="412"/>
      <c r="VH196" s="412"/>
      <c r="VI196" s="412"/>
      <c r="VJ196" s="412"/>
      <c r="VK196" s="412"/>
      <c r="VL196" s="412"/>
      <c r="VM196" s="412"/>
      <c r="VN196" s="412"/>
      <c r="VO196" s="412"/>
      <c r="VP196" s="412"/>
      <c r="VQ196" s="412"/>
      <c r="VR196" s="412"/>
      <c r="VS196" s="412"/>
      <c r="VT196" s="412"/>
      <c r="VU196" s="412"/>
      <c r="VV196" s="412"/>
      <c r="VW196" s="412"/>
      <c r="VX196" s="412"/>
      <c r="VY196" s="412"/>
      <c r="VZ196" s="412"/>
      <c r="WA196" s="412"/>
      <c r="WB196" s="412"/>
      <c r="WC196" s="412"/>
      <c r="WD196" s="412"/>
      <c r="WE196" s="412"/>
      <c r="WF196" s="412"/>
      <c r="WG196" s="412"/>
      <c r="WH196" s="412"/>
      <c r="WI196" s="412"/>
      <c r="WJ196" s="412"/>
      <c r="WK196" s="412"/>
      <c r="WL196" s="412"/>
      <c r="WM196" s="412"/>
      <c r="WN196" s="412"/>
      <c r="WO196" s="412"/>
      <c r="WP196" s="412"/>
      <c r="WQ196" s="412"/>
      <c r="WR196" s="412"/>
      <c r="WS196" s="412"/>
      <c r="WT196" s="412"/>
      <c r="WU196" s="412"/>
      <c r="WV196" s="412"/>
      <c r="WW196" s="412"/>
      <c r="WX196" s="412"/>
      <c r="WY196" s="412"/>
      <c r="WZ196" s="412"/>
      <c r="XA196" s="412"/>
      <c r="XB196" s="412"/>
      <c r="XC196" s="412"/>
      <c r="XD196" s="412"/>
      <c r="XE196" s="412"/>
      <c r="XF196" s="412"/>
      <c r="XG196" s="412"/>
      <c r="XH196" s="412"/>
      <c r="XI196" s="412"/>
      <c r="XJ196" s="412"/>
      <c r="XK196" s="412"/>
      <c r="XL196" s="412"/>
      <c r="XM196" s="412"/>
      <c r="XN196" s="412"/>
      <c r="XO196" s="412"/>
      <c r="XP196" s="412"/>
      <c r="XQ196" s="412"/>
      <c r="XR196" s="412"/>
      <c r="XS196" s="412"/>
      <c r="XT196" s="412"/>
      <c r="XU196" s="412"/>
      <c r="XV196" s="412"/>
      <c r="XW196" s="412"/>
      <c r="XX196" s="412"/>
      <c r="XY196" s="412"/>
      <c r="XZ196" s="412"/>
      <c r="YA196" s="412"/>
      <c r="YB196" s="412"/>
      <c r="YC196" s="412"/>
      <c r="YD196" s="412"/>
      <c r="YE196" s="412"/>
      <c r="YF196" s="412"/>
      <c r="YG196" s="412"/>
      <c r="YH196" s="412"/>
      <c r="YI196" s="412"/>
      <c r="YJ196" s="412"/>
      <c r="YK196" s="412"/>
      <c r="YL196" s="412"/>
      <c r="YM196" s="412"/>
      <c r="YN196" s="412"/>
      <c r="YO196" s="412"/>
      <c r="YP196" s="412"/>
      <c r="YQ196" s="412"/>
      <c r="YR196" s="412"/>
      <c r="YS196" s="412"/>
      <c r="YT196" s="412"/>
      <c r="YU196" s="412"/>
      <c r="YV196" s="412"/>
      <c r="YW196" s="412"/>
      <c r="YX196" s="412"/>
      <c r="YY196" s="412"/>
      <c r="YZ196" s="412"/>
      <c r="ZA196" s="412"/>
      <c r="ZB196" s="412"/>
      <c r="ZC196" s="412"/>
      <c r="ZD196" s="412"/>
      <c r="ZE196" s="412"/>
      <c r="ZF196" s="412"/>
      <c r="ZG196" s="412"/>
      <c r="ZH196" s="412"/>
      <c r="ZI196" s="412"/>
      <c r="ZJ196" s="412"/>
      <c r="ZK196" s="412"/>
      <c r="ZL196" s="412"/>
      <c r="ZM196" s="412"/>
      <c r="ZN196" s="412"/>
      <c r="ZO196" s="412"/>
      <c r="ZP196" s="412"/>
      <c r="ZQ196" s="412"/>
      <c r="ZR196" s="412"/>
      <c r="ZS196" s="412"/>
      <c r="ZT196" s="412"/>
      <c r="ZU196" s="412"/>
      <c r="ZV196" s="412"/>
      <c r="ZW196" s="412"/>
      <c r="ZX196" s="412"/>
      <c r="ZY196" s="412"/>
      <c r="ZZ196" s="412"/>
      <c r="AAA196" s="412"/>
      <c r="AAB196" s="412"/>
      <c r="AAC196" s="412"/>
      <c r="AAD196" s="412"/>
      <c r="AAE196" s="412"/>
      <c r="AAF196" s="412"/>
      <c r="AAG196" s="412"/>
      <c r="AAH196" s="412"/>
      <c r="AAI196" s="412"/>
      <c r="AAJ196" s="412"/>
      <c r="AAK196" s="412"/>
      <c r="AAL196" s="412"/>
      <c r="AAM196" s="412"/>
      <c r="AAN196" s="412"/>
      <c r="AAO196" s="412"/>
      <c r="AAP196" s="412"/>
      <c r="AAQ196" s="412"/>
      <c r="AAR196" s="412"/>
      <c r="AAS196" s="412"/>
      <c r="AAT196" s="412"/>
      <c r="AAU196" s="412"/>
      <c r="AAV196" s="412"/>
      <c r="AAW196" s="412"/>
      <c r="AAX196" s="412"/>
      <c r="AAY196" s="412"/>
      <c r="AAZ196" s="412"/>
      <c r="ABA196" s="412"/>
      <c r="ABB196" s="412"/>
      <c r="ABC196" s="412"/>
      <c r="ABD196" s="412"/>
      <c r="ABE196" s="412"/>
      <c r="ABF196" s="412"/>
      <c r="ABG196" s="412"/>
      <c r="ABH196" s="412"/>
      <c r="ABI196" s="412"/>
      <c r="ABJ196" s="412"/>
      <c r="ABK196" s="412"/>
      <c r="ABL196" s="412"/>
      <c r="ABM196" s="412"/>
      <c r="ABN196" s="412"/>
      <c r="ABO196" s="412"/>
      <c r="ABP196" s="412"/>
      <c r="ABQ196" s="412"/>
      <c r="ABR196" s="412"/>
      <c r="ABS196" s="412"/>
      <c r="ABT196" s="412"/>
      <c r="ABU196" s="412"/>
      <c r="ABV196" s="412"/>
      <c r="ABW196" s="412"/>
      <c r="ABX196" s="412"/>
      <c r="ABY196" s="412"/>
      <c r="ABZ196" s="412"/>
      <c r="ACA196" s="412"/>
      <c r="ACB196" s="412"/>
      <c r="ACC196" s="412"/>
      <c r="ACD196" s="412"/>
      <c r="ACE196" s="412"/>
      <c r="ACF196" s="412"/>
      <c r="ACG196" s="412"/>
      <c r="ACH196" s="412"/>
      <c r="ACI196" s="412"/>
      <c r="ACJ196" s="412"/>
      <c r="ACK196" s="412"/>
      <c r="ACL196" s="412"/>
      <c r="ACM196" s="412"/>
      <c r="ACN196" s="412"/>
      <c r="ACO196" s="412"/>
      <c r="ACP196" s="412"/>
      <c r="ACQ196" s="412"/>
      <c r="ACR196" s="412"/>
      <c r="ACS196" s="412"/>
      <c r="ACT196" s="412"/>
      <c r="ACU196" s="412"/>
      <c r="ACV196" s="412"/>
      <c r="ACW196" s="412"/>
      <c r="ACX196" s="412"/>
      <c r="ACY196" s="412"/>
      <c r="ACZ196" s="412"/>
      <c r="ADA196" s="412"/>
      <c r="ADB196" s="412"/>
      <c r="ADC196" s="412"/>
      <c r="ADD196" s="412"/>
      <c r="ADE196" s="412"/>
      <c r="ADF196" s="412"/>
      <c r="ADG196" s="412"/>
      <c r="ADH196" s="412"/>
      <c r="ADI196" s="412"/>
      <c r="ADJ196" s="412"/>
      <c r="ADK196" s="412"/>
      <c r="ADL196" s="412"/>
      <c r="ADM196" s="412"/>
      <c r="ADN196" s="412"/>
      <c r="ADO196" s="412"/>
      <c r="ADP196" s="412"/>
      <c r="ADQ196" s="412"/>
      <c r="ADR196" s="412"/>
      <c r="ADS196" s="412"/>
      <c r="ADT196" s="412"/>
      <c r="ADU196" s="412"/>
      <c r="ADV196" s="412"/>
      <c r="ADW196" s="412"/>
      <c r="ADX196" s="412"/>
      <c r="ADY196" s="412"/>
      <c r="ADZ196" s="412"/>
      <c r="AEA196" s="412"/>
      <c r="AEB196" s="412"/>
      <c r="AEC196" s="412"/>
      <c r="AED196" s="412"/>
      <c r="AEE196" s="412"/>
      <c r="AEF196" s="412"/>
      <c r="AEG196" s="412"/>
      <c r="AEH196" s="412"/>
      <c r="AEI196" s="412"/>
      <c r="AEJ196" s="412"/>
      <c r="AEK196" s="412"/>
      <c r="AEL196" s="412"/>
      <c r="AEM196" s="412"/>
      <c r="AEN196" s="412"/>
      <c r="AEO196" s="412"/>
      <c r="AEP196" s="412"/>
      <c r="AEQ196" s="412"/>
      <c r="AER196" s="412"/>
      <c r="AES196" s="412"/>
      <c r="AET196" s="412"/>
      <c r="AEU196" s="412"/>
      <c r="AEV196" s="412"/>
      <c r="AEW196" s="412"/>
      <c r="AEX196" s="412"/>
      <c r="AEY196" s="412"/>
      <c r="AEZ196" s="412"/>
      <c r="AFA196" s="412"/>
      <c r="AFB196" s="412"/>
      <c r="AFC196" s="412"/>
      <c r="AFD196" s="412"/>
      <c r="AFE196" s="412"/>
      <c r="AFF196" s="412"/>
      <c r="AFG196" s="412"/>
      <c r="AFH196" s="412"/>
      <c r="AFI196" s="412"/>
      <c r="AFJ196" s="412"/>
      <c r="AFK196" s="412"/>
      <c r="AFL196" s="412"/>
      <c r="AFM196" s="412"/>
      <c r="AFN196" s="412"/>
      <c r="AFO196" s="412"/>
      <c r="AFP196" s="412"/>
      <c r="AFQ196" s="412"/>
      <c r="AFR196" s="412"/>
      <c r="AFS196" s="412"/>
      <c r="AFT196" s="412"/>
      <c r="AFU196" s="412"/>
      <c r="AFV196" s="412"/>
      <c r="AFW196" s="412"/>
      <c r="AFX196" s="412"/>
      <c r="AFY196" s="412"/>
      <c r="AFZ196" s="412"/>
      <c r="AGA196" s="412"/>
      <c r="AGB196" s="412"/>
      <c r="AGC196" s="412"/>
      <c r="AGD196" s="412"/>
      <c r="AGE196" s="412"/>
      <c r="AGF196" s="412"/>
      <c r="AGG196" s="412"/>
      <c r="AGH196" s="412"/>
      <c r="AGI196" s="412"/>
      <c r="AGJ196" s="412"/>
      <c r="AGK196" s="412"/>
      <c r="AGL196" s="412"/>
      <c r="AGM196" s="412"/>
      <c r="AGN196" s="412"/>
      <c r="AGO196" s="412"/>
      <c r="AGP196" s="412"/>
      <c r="AGQ196" s="412"/>
      <c r="AGR196" s="412"/>
      <c r="AGS196" s="412"/>
      <c r="AGT196" s="412"/>
      <c r="AGU196" s="412"/>
      <c r="AGV196" s="412"/>
      <c r="AGW196" s="412"/>
      <c r="AGX196" s="412"/>
      <c r="AGY196" s="412"/>
      <c r="AGZ196" s="412"/>
      <c r="AHA196" s="412"/>
      <c r="AHB196" s="412"/>
      <c r="AHC196" s="412"/>
      <c r="AHD196" s="412"/>
      <c r="AHE196" s="412"/>
      <c r="AHF196" s="412"/>
      <c r="AHG196" s="412"/>
      <c r="AHH196" s="412"/>
      <c r="AHI196" s="412"/>
      <c r="AHJ196" s="412"/>
      <c r="AHK196" s="412"/>
      <c r="AHL196" s="412"/>
      <c r="AHM196" s="412"/>
      <c r="AHN196" s="412"/>
      <c r="AHO196" s="412"/>
      <c r="AHP196" s="412"/>
      <c r="AHQ196" s="412"/>
      <c r="AHR196" s="412"/>
      <c r="AHS196" s="412"/>
      <c r="AHT196" s="412"/>
      <c r="AHU196" s="412"/>
      <c r="AHV196" s="412"/>
      <c r="AHW196" s="412"/>
      <c r="AHX196" s="412"/>
      <c r="AHY196" s="412"/>
      <c r="AHZ196" s="412"/>
      <c r="AIA196" s="412"/>
      <c r="AIB196" s="412"/>
      <c r="AIC196" s="412"/>
      <c r="AID196" s="412"/>
      <c r="AIE196" s="412"/>
      <c r="AIF196" s="412"/>
      <c r="AIG196" s="412"/>
      <c r="AIH196" s="412"/>
      <c r="AII196" s="412"/>
      <c r="AIJ196" s="412"/>
      <c r="AIK196" s="412"/>
      <c r="AIL196" s="412"/>
      <c r="AIM196" s="412"/>
      <c r="AIN196" s="412"/>
      <c r="AIO196" s="412"/>
      <c r="AIP196" s="412"/>
      <c r="AIQ196" s="412"/>
      <c r="AIR196" s="412"/>
      <c r="AIS196" s="412"/>
      <c r="AIT196" s="412"/>
      <c r="AIU196" s="412"/>
      <c r="AIV196" s="412"/>
      <c r="AIW196" s="412"/>
      <c r="AIX196" s="412"/>
      <c r="AIY196" s="412"/>
      <c r="AIZ196" s="412"/>
      <c r="AJA196" s="412"/>
      <c r="AJB196" s="412"/>
      <c r="AJC196" s="412"/>
      <c r="AJD196" s="412"/>
      <c r="AJE196" s="412"/>
      <c r="AJF196" s="412"/>
      <c r="AJG196" s="412"/>
      <c r="AJH196" s="412"/>
      <c r="AJI196" s="412"/>
      <c r="AJJ196" s="412"/>
      <c r="AJK196" s="412"/>
      <c r="AJL196" s="412"/>
      <c r="AJM196" s="412"/>
      <c r="AJN196" s="412"/>
      <c r="AJO196" s="412"/>
      <c r="AJP196" s="412"/>
      <c r="AJQ196" s="412"/>
      <c r="AJR196" s="412"/>
      <c r="AJS196" s="412"/>
      <c r="AJT196" s="412"/>
      <c r="AJU196" s="412"/>
      <c r="AJV196" s="412"/>
      <c r="AJW196" s="412"/>
      <c r="AJX196" s="412"/>
      <c r="AJY196" s="412"/>
      <c r="AJZ196" s="412"/>
      <c r="AKA196" s="412"/>
      <c r="AKB196" s="412"/>
      <c r="AKC196" s="412"/>
      <c r="AKD196" s="412"/>
      <c r="AKE196" s="412"/>
      <c r="AKF196" s="412"/>
      <c r="AKG196" s="412"/>
      <c r="AKH196" s="412"/>
      <c r="AKI196" s="412"/>
      <c r="AKJ196" s="412"/>
      <c r="AKK196" s="412"/>
      <c r="AKL196" s="412"/>
      <c r="AKM196" s="412"/>
      <c r="AKN196" s="412"/>
      <c r="AKO196" s="412"/>
      <c r="AKP196" s="412"/>
      <c r="AKQ196" s="412"/>
      <c r="AKR196" s="412"/>
      <c r="AKS196" s="412"/>
      <c r="AKT196" s="412"/>
      <c r="AKU196" s="412"/>
      <c r="AKV196" s="412"/>
      <c r="AKW196" s="412"/>
      <c r="AKX196" s="412"/>
      <c r="AKY196" s="412"/>
      <c r="AKZ196" s="412"/>
      <c r="ALA196" s="412"/>
      <c r="ALB196" s="412"/>
      <c r="ALC196" s="412"/>
      <c r="ALD196" s="412"/>
      <c r="ALE196" s="412"/>
      <c r="ALF196" s="412"/>
      <c r="ALG196" s="412"/>
      <c r="ALH196" s="412"/>
      <c r="ALI196" s="412"/>
      <c r="ALJ196" s="412"/>
      <c r="ALK196" s="412"/>
      <c r="ALL196" s="412"/>
      <c r="ALM196" s="412"/>
      <c r="ALN196" s="412"/>
      <c r="ALO196" s="412"/>
      <c r="ALP196" s="412"/>
      <c r="ALQ196" s="412"/>
      <c r="ALR196" s="412"/>
      <c r="ALS196" s="412"/>
      <c r="ALT196" s="412"/>
      <c r="ALU196" s="412"/>
      <c r="ALV196" s="412"/>
      <c r="ALW196" s="412"/>
      <c r="ALX196" s="412"/>
      <c r="ALY196" s="412"/>
      <c r="ALZ196" s="412"/>
      <c r="AMA196" s="412"/>
      <c r="AMB196" s="412"/>
      <c r="AMC196" s="412"/>
      <c r="AMD196" s="412"/>
      <c r="AME196" s="412"/>
      <c r="AMF196" s="412"/>
      <c r="AMG196" s="412"/>
      <c r="AMH196" s="412"/>
      <c r="AMI196" s="412"/>
      <c r="AMJ196" s="412"/>
      <c r="AMK196" s="412"/>
      <c r="AML196" s="412"/>
      <c r="AMM196" s="412"/>
      <c r="AMN196" s="412"/>
      <c r="AMO196" s="412"/>
      <c r="AMP196" s="412"/>
      <c r="AMQ196" s="412"/>
      <c r="AMR196" s="412"/>
      <c r="AMS196" s="412"/>
      <c r="AMT196" s="412"/>
      <c r="AMU196" s="412"/>
      <c r="AMV196" s="412"/>
      <c r="AMW196" s="412"/>
      <c r="AMX196" s="412"/>
      <c r="AMY196" s="412"/>
      <c r="AMZ196" s="412"/>
      <c r="ANA196" s="412"/>
      <c r="ANB196" s="412"/>
      <c r="ANC196" s="412"/>
      <c r="AND196" s="412"/>
      <c r="ANE196" s="412"/>
      <c r="ANF196" s="412"/>
      <c r="ANG196" s="412"/>
      <c r="ANH196" s="412"/>
      <c r="ANI196" s="412"/>
      <c r="ANJ196" s="412"/>
      <c r="ANK196" s="412"/>
      <c r="ANL196" s="412"/>
      <c r="ANM196" s="412"/>
      <c r="ANN196" s="412"/>
      <c r="ANO196" s="412"/>
      <c r="ANP196" s="412"/>
      <c r="ANQ196" s="412"/>
      <c r="ANR196" s="412"/>
      <c r="ANS196" s="412"/>
      <c r="ANT196" s="412"/>
      <c r="ANU196" s="412"/>
      <c r="ANV196" s="412"/>
      <c r="ANW196" s="412"/>
      <c r="ANX196" s="412"/>
      <c r="ANY196" s="412"/>
      <c r="ANZ196" s="412"/>
      <c r="AOA196" s="412"/>
      <c r="AOB196" s="412"/>
      <c r="AOC196" s="412"/>
      <c r="AOD196" s="412"/>
      <c r="AOE196" s="412"/>
      <c r="AOF196" s="412"/>
      <c r="AOG196" s="412"/>
      <c r="AOH196" s="412"/>
      <c r="AOI196" s="412"/>
      <c r="AOJ196" s="412"/>
      <c r="AOK196" s="412"/>
      <c r="AOL196" s="412"/>
      <c r="AOM196" s="412"/>
      <c r="AON196" s="412"/>
      <c r="AOO196" s="412"/>
      <c r="AOP196" s="412"/>
      <c r="AOQ196" s="412"/>
      <c r="AOR196" s="412"/>
      <c r="AOS196" s="412"/>
      <c r="AOT196" s="412"/>
      <c r="AOU196" s="412"/>
      <c r="AOV196" s="412"/>
      <c r="AOW196" s="412"/>
      <c r="AOX196" s="412"/>
      <c r="AOY196" s="412"/>
      <c r="AOZ196" s="412"/>
      <c r="APA196" s="412"/>
      <c r="APB196" s="412"/>
      <c r="APC196" s="412"/>
      <c r="APD196" s="412"/>
      <c r="APE196" s="412"/>
      <c r="APF196" s="412"/>
      <c r="APG196" s="412"/>
      <c r="APH196" s="412"/>
      <c r="API196" s="412"/>
      <c r="APJ196" s="412"/>
      <c r="APK196" s="412"/>
      <c r="APL196" s="412"/>
      <c r="APM196" s="412"/>
      <c r="APN196" s="412"/>
      <c r="APO196" s="412"/>
      <c r="APP196" s="412"/>
      <c r="APQ196" s="412"/>
      <c r="APR196" s="412"/>
      <c r="APS196" s="412"/>
      <c r="APT196" s="412"/>
      <c r="APU196" s="412"/>
      <c r="APV196" s="412"/>
      <c r="APW196" s="412"/>
      <c r="APX196" s="412"/>
      <c r="APY196" s="412"/>
      <c r="APZ196" s="412"/>
      <c r="AQA196" s="412"/>
      <c r="AQB196" s="412"/>
      <c r="AQC196" s="412"/>
      <c r="AQD196" s="412"/>
      <c r="AQE196" s="412"/>
      <c r="AQF196" s="412"/>
      <c r="AQG196" s="412"/>
      <c r="AQH196" s="412"/>
      <c r="AQI196" s="412"/>
      <c r="AQJ196" s="412"/>
      <c r="AQK196" s="412"/>
      <c r="AQL196" s="412"/>
      <c r="AQM196" s="412"/>
      <c r="AQN196" s="412"/>
      <c r="AQO196" s="412"/>
      <c r="AQP196" s="412"/>
      <c r="AQQ196" s="412"/>
      <c r="AQR196" s="412"/>
      <c r="AQS196" s="412"/>
      <c r="AQT196" s="412"/>
      <c r="AQU196" s="412"/>
      <c r="AQV196" s="412"/>
      <c r="AQW196" s="412"/>
      <c r="AQX196" s="412"/>
      <c r="AQY196" s="412"/>
      <c r="AQZ196" s="412"/>
      <c r="ARA196" s="412"/>
      <c r="ARB196" s="412"/>
      <c r="ARC196" s="412"/>
      <c r="ARD196" s="412"/>
      <c r="ARE196" s="412"/>
      <c r="ARF196" s="412"/>
      <c r="ARG196" s="412"/>
      <c r="ARH196" s="412"/>
      <c r="ARI196" s="412"/>
      <c r="ARJ196" s="412"/>
      <c r="ARK196" s="412"/>
      <c r="ARL196" s="412"/>
      <c r="ARM196" s="412"/>
      <c r="ARN196" s="412"/>
      <c r="ARO196" s="412"/>
      <c r="ARP196" s="412"/>
      <c r="ARQ196" s="412"/>
      <c r="ARR196" s="412"/>
      <c r="ARS196" s="412"/>
      <c r="ART196" s="412"/>
      <c r="ARU196" s="412"/>
      <c r="ARV196" s="412"/>
      <c r="ARW196" s="412"/>
      <c r="ARX196" s="412"/>
      <c r="ARY196" s="412"/>
      <c r="ARZ196" s="412"/>
      <c r="ASA196" s="412"/>
      <c r="ASB196" s="412"/>
      <c r="ASC196" s="412"/>
      <c r="ASD196" s="412"/>
      <c r="ASE196" s="412"/>
      <c r="ASF196" s="412"/>
      <c r="ASG196" s="412"/>
      <c r="ASH196" s="412"/>
      <c r="ASI196" s="412"/>
      <c r="ASJ196" s="412"/>
      <c r="ASK196" s="412"/>
      <c r="ASL196" s="412"/>
      <c r="ASM196" s="412"/>
      <c r="ASN196" s="412"/>
      <c r="ASO196" s="412"/>
      <c r="ASP196" s="412"/>
      <c r="ASQ196" s="412"/>
      <c r="ASR196" s="412"/>
      <c r="ASS196" s="412"/>
      <c r="AST196" s="412"/>
      <c r="ASU196" s="412"/>
      <c r="ASV196" s="412"/>
      <c r="ASW196" s="412"/>
      <c r="ASX196" s="412"/>
      <c r="ASY196" s="412"/>
      <c r="ASZ196" s="412"/>
      <c r="ATA196" s="412"/>
      <c r="ATB196" s="412"/>
      <c r="ATC196" s="412"/>
      <c r="ATD196" s="412"/>
      <c r="ATE196" s="412"/>
      <c r="ATF196" s="412"/>
      <c r="ATG196" s="412"/>
      <c r="ATH196" s="412"/>
      <c r="ATI196" s="412"/>
      <c r="ATJ196" s="412"/>
      <c r="ATK196" s="412"/>
      <c r="ATL196" s="412"/>
      <c r="ATM196" s="412"/>
      <c r="ATN196" s="412"/>
      <c r="ATO196" s="412"/>
      <c r="ATP196" s="412"/>
      <c r="ATQ196" s="412"/>
      <c r="ATR196" s="412"/>
      <c r="ATS196" s="412"/>
      <c r="ATT196" s="412"/>
      <c r="ATU196" s="412"/>
      <c r="ATV196" s="412"/>
      <c r="ATW196" s="412"/>
      <c r="ATX196" s="412"/>
      <c r="ATY196" s="412"/>
      <c r="ATZ196" s="412"/>
      <c r="AUA196" s="412"/>
      <c r="AUB196" s="412"/>
      <c r="AUC196" s="412"/>
      <c r="AUD196" s="412"/>
      <c r="AUE196" s="412"/>
      <c r="AUF196" s="412"/>
      <c r="AUG196" s="412"/>
      <c r="AUH196" s="412"/>
      <c r="AUI196" s="412"/>
      <c r="AUJ196" s="412"/>
      <c r="AUK196" s="412"/>
      <c r="AUL196" s="412"/>
      <c r="AUM196" s="412"/>
      <c r="AUN196" s="412"/>
      <c r="AUO196" s="412"/>
      <c r="AUP196" s="412"/>
      <c r="AUQ196" s="412"/>
      <c r="AUR196" s="412"/>
      <c r="AUS196" s="412"/>
      <c r="AUT196" s="412"/>
      <c r="AUU196" s="412"/>
      <c r="AUV196" s="412"/>
      <c r="AUW196" s="412"/>
      <c r="AUX196" s="412"/>
      <c r="AUY196" s="412"/>
      <c r="AUZ196" s="412"/>
      <c r="AVA196" s="412"/>
      <c r="AVB196" s="412"/>
      <c r="AVC196" s="412"/>
      <c r="AVD196" s="412"/>
      <c r="AVE196" s="412"/>
      <c r="AVF196" s="412"/>
      <c r="AVG196" s="412"/>
      <c r="AVH196" s="412"/>
      <c r="AVI196" s="412"/>
      <c r="AVJ196" s="412"/>
      <c r="AVK196" s="412"/>
      <c r="AVL196" s="412"/>
      <c r="AVM196" s="412"/>
      <c r="AVN196" s="412"/>
      <c r="AVO196" s="412"/>
      <c r="AVP196" s="412"/>
      <c r="AVQ196" s="412"/>
      <c r="AVR196" s="412"/>
      <c r="AVS196" s="412"/>
      <c r="AVT196" s="412"/>
      <c r="AVU196" s="412"/>
      <c r="AVV196" s="412"/>
      <c r="AVW196" s="412"/>
      <c r="AVX196" s="412"/>
      <c r="AVY196" s="412"/>
      <c r="AVZ196" s="412"/>
      <c r="AWA196" s="412"/>
      <c r="AWB196" s="412"/>
      <c r="AWC196" s="412"/>
      <c r="AWD196" s="412"/>
      <c r="AWE196" s="412"/>
      <c r="AWF196" s="412"/>
      <c r="AWG196" s="412"/>
      <c r="AWH196" s="412"/>
      <c r="AWI196" s="412"/>
      <c r="AWJ196" s="412"/>
      <c r="AWK196" s="412"/>
      <c r="AWL196" s="412"/>
      <c r="AWM196" s="412"/>
      <c r="AWN196" s="412"/>
      <c r="AWO196" s="412"/>
      <c r="AWP196" s="412"/>
      <c r="AWQ196" s="412"/>
      <c r="AWR196" s="412"/>
      <c r="AWS196" s="412"/>
      <c r="AWT196" s="412"/>
      <c r="AWU196" s="412"/>
      <c r="AWV196" s="412"/>
      <c r="AWW196" s="412"/>
      <c r="AWX196" s="412"/>
      <c r="AWY196" s="412"/>
      <c r="AWZ196" s="412"/>
      <c r="AXA196" s="412"/>
      <c r="AXB196" s="412"/>
      <c r="AXC196" s="412"/>
      <c r="AXD196" s="412"/>
      <c r="AXE196" s="412"/>
      <c r="AXF196" s="412"/>
      <c r="AXG196" s="412"/>
      <c r="AXH196" s="412"/>
      <c r="AXI196" s="412"/>
      <c r="AXJ196" s="412"/>
      <c r="AXK196" s="412"/>
      <c r="AXL196" s="412"/>
      <c r="AXM196" s="412"/>
      <c r="AXN196" s="412"/>
      <c r="AXO196" s="412"/>
      <c r="AXP196" s="412"/>
      <c r="AXQ196" s="412"/>
      <c r="AXR196" s="412"/>
      <c r="AXS196" s="412"/>
      <c r="AXT196" s="412"/>
      <c r="AXU196" s="412"/>
      <c r="AXV196" s="412"/>
      <c r="AXW196" s="412"/>
      <c r="AXX196" s="412"/>
      <c r="AXY196" s="412"/>
      <c r="AXZ196" s="412"/>
      <c r="AYA196" s="412"/>
      <c r="AYB196" s="412"/>
      <c r="AYC196" s="412"/>
      <c r="AYD196" s="412"/>
      <c r="AYE196" s="412"/>
      <c r="AYF196" s="412"/>
      <c r="AYG196" s="412"/>
      <c r="AYH196" s="412"/>
      <c r="AYI196" s="412"/>
      <c r="AYJ196" s="412"/>
      <c r="AYK196" s="412"/>
      <c r="AYL196" s="412"/>
      <c r="AYM196" s="412"/>
      <c r="AYN196" s="412"/>
      <c r="AYO196" s="412"/>
      <c r="AYP196" s="412"/>
      <c r="AYQ196" s="412"/>
      <c r="AYR196" s="412"/>
      <c r="AYS196" s="412"/>
      <c r="AYT196" s="412"/>
      <c r="AYU196" s="412"/>
      <c r="AYV196" s="412"/>
      <c r="AYW196" s="412"/>
      <c r="AYX196" s="412"/>
      <c r="AYY196" s="412"/>
      <c r="AYZ196" s="412"/>
      <c r="AZA196" s="412"/>
      <c r="AZB196" s="412"/>
      <c r="AZC196" s="412"/>
      <c r="AZD196" s="412"/>
      <c r="AZE196" s="412"/>
      <c r="AZF196" s="412"/>
      <c r="AZG196" s="412"/>
      <c r="AZH196" s="412"/>
      <c r="AZI196" s="412"/>
      <c r="AZJ196" s="412"/>
      <c r="AZK196" s="412"/>
      <c r="AZL196" s="412"/>
      <c r="AZM196" s="412"/>
      <c r="AZN196" s="412"/>
      <c r="AZO196" s="412"/>
      <c r="AZP196" s="412"/>
      <c r="AZQ196" s="412"/>
      <c r="AZR196" s="412"/>
      <c r="AZS196" s="412"/>
      <c r="AZT196" s="412"/>
      <c r="AZU196" s="412"/>
      <c r="AZV196" s="412"/>
      <c r="AZW196" s="412"/>
      <c r="AZX196" s="412"/>
      <c r="AZY196" s="412"/>
      <c r="AZZ196" s="412"/>
      <c r="BAA196" s="412"/>
      <c r="BAB196" s="412"/>
      <c r="BAC196" s="412"/>
      <c r="BAD196" s="412"/>
      <c r="BAE196" s="412"/>
      <c r="BAF196" s="412"/>
      <c r="BAG196" s="412"/>
      <c r="BAH196" s="412"/>
      <c r="BAI196" s="412"/>
      <c r="BAJ196" s="412"/>
      <c r="BAK196" s="412"/>
      <c r="BAL196" s="412"/>
      <c r="BAM196" s="412"/>
      <c r="BAN196" s="412"/>
      <c r="BAO196" s="412"/>
      <c r="BAP196" s="412"/>
      <c r="BAQ196" s="412"/>
      <c r="BAR196" s="412"/>
      <c r="BAS196" s="412"/>
      <c r="BAT196" s="412"/>
      <c r="BAU196" s="412"/>
      <c r="BAV196" s="412"/>
      <c r="BAW196" s="412"/>
      <c r="BAX196" s="412"/>
      <c r="BAY196" s="412"/>
      <c r="BAZ196" s="412"/>
      <c r="BBA196" s="412"/>
      <c r="BBB196" s="412"/>
      <c r="BBC196" s="412"/>
      <c r="BBD196" s="412"/>
      <c r="BBE196" s="412"/>
      <c r="BBF196" s="412"/>
      <c r="BBG196" s="412"/>
      <c r="BBH196" s="412"/>
      <c r="BBI196" s="412"/>
      <c r="BBJ196" s="412"/>
      <c r="BBK196" s="412"/>
      <c r="BBL196" s="412"/>
      <c r="BBM196" s="412"/>
      <c r="BBN196" s="412"/>
      <c r="BBO196" s="412"/>
      <c r="BBP196" s="412"/>
      <c r="BBQ196" s="412"/>
      <c r="BBR196" s="412"/>
      <c r="BBS196" s="412"/>
      <c r="BBT196" s="412"/>
      <c r="BBU196" s="412"/>
      <c r="BBV196" s="412"/>
      <c r="BBW196" s="412"/>
      <c r="BBX196" s="412"/>
      <c r="BBY196" s="412"/>
      <c r="BBZ196" s="412"/>
      <c r="BCA196" s="412"/>
      <c r="BCB196" s="412"/>
      <c r="BCC196" s="412"/>
      <c r="BCD196" s="412"/>
      <c r="BCE196" s="412"/>
      <c r="BCF196" s="412"/>
      <c r="BCG196" s="412"/>
      <c r="BCH196" s="412"/>
      <c r="BCI196" s="412"/>
      <c r="BCJ196" s="412"/>
      <c r="BCK196" s="412"/>
      <c r="BCL196" s="412"/>
      <c r="BCM196" s="412"/>
      <c r="BCN196" s="412"/>
      <c r="BCO196" s="412"/>
      <c r="BCP196" s="412"/>
      <c r="BCQ196" s="412"/>
      <c r="BCR196" s="412"/>
      <c r="BCS196" s="412"/>
      <c r="BCT196" s="412"/>
      <c r="BCU196" s="412"/>
      <c r="BCV196" s="412"/>
      <c r="BCW196" s="412"/>
      <c r="BCX196" s="412"/>
      <c r="BCY196" s="412"/>
      <c r="BCZ196" s="412"/>
      <c r="BDA196" s="412"/>
      <c r="BDB196" s="412"/>
      <c r="BDC196" s="412"/>
      <c r="BDD196" s="412"/>
      <c r="BDE196" s="412"/>
      <c r="BDF196" s="412"/>
      <c r="BDG196" s="412"/>
      <c r="BDH196" s="412"/>
      <c r="BDI196" s="412"/>
      <c r="BDJ196" s="412"/>
      <c r="BDK196" s="412"/>
      <c r="BDL196" s="412"/>
      <c r="BDM196" s="412"/>
      <c r="BDN196" s="412"/>
      <c r="BDO196" s="412"/>
      <c r="BDP196" s="412"/>
      <c r="BDQ196" s="412"/>
      <c r="BDR196" s="412"/>
      <c r="BDS196" s="412"/>
      <c r="BDT196" s="412"/>
      <c r="BDU196" s="412"/>
      <c r="BDV196" s="412"/>
      <c r="BDW196" s="412"/>
      <c r="BDX196" s="412"/>
      <c r="BDY196" s="412"/>
      <c r="BDZ196" s="412"/>
      <c r="BEA196" s="412"/>
      <c r="BEB196" s="412"/>
      <c r="BEC196" s="412"/>
      <c r="BED196" s="412"/>
      <c r="BEE196" s="412"/>
      <c r="BEF196" s="412"/>
      <c r="BEG196" s="412"/>
      <c r="BEH196" s="412"/>
      <c r="BEI196" s="412"/>
      <c r="BEJ196" s="412"/>
      <c r="BEK196" s="412"/>
      <c r="BEL196" s="412"/>
      <c r="BEM196" s="412"/>
      <c r="BEN196" s="412"/>
      <c r="BEO196" s="412"/>
      <c r="BEP196" s="412"/>
      <c r="BEQ196" s="412"/>
      <c r="BER196" s="412"/>
      <c r="BES196" s="412"/>
      <c r="BET196" s="412"/>
      <c r="BEU196" s="412"/>
      <c r="BEV196" s="412"/>
      <c r="BEW196" s="412"/>
      <c r="BEX196" s="412"/>
      <c r="BEY196" s="412"/>
      <c r="BEZ196" s="412"/>
      <c r="BFA196" s="412"/>
      <c r="BFB196" s="412"/>
      <c r="BFC196" s="412"/>
      <c r="BFD196" s="412"/>
      <c r="BFE196" s="412"/>
      <c r="BFF196" s="412"/>
      <c r="BFG196" s="412"/>
      <c r="BFH196" s="412"/>
      <c r="BFI196" s="412"/>
      <c r="BFJ196" s="412"/>
      <c r="BFK196" s="412"/>
      <c r="BFL196" s="412"/>
      <c r="BFM196" s="412"/>
      <c r="BFN196" s="412"/>
      <c r="BFO196" s="412"/>
      <c r="BFP196" s="412"/>
      <c r="BFQ196" s="412"/>
      <c r="BFR196" s="412"/>
      <c r="BFS196" s="412"/>
      <c r="BFT196" s="412"/>
      <c r="BFU196" s="412"/>
      <c r="BFV196" s="412"/>
      <c r="BFW196" s="412"/>
      <c r="BFX196" s="412"/>
      <c r="BFY196" s="412"/>
      <c r="BFZ196" s="412"/>
      <c r="BGA196" s="412"/>
      <c r="BGB196" s="412"/>
      <c r="BGC196" s="412"/>
      <c r="BGD196" s="412"/>
      <c r="BGE196" s="412"/>
      <c r="BGF196" s="412"/>
      <c r="BGG196" s="412"/>
      <c r="BGH196" s="412"/>
      <c r="BGI196" s="412"/>
      <c r="BGJ196" s="412"/>
      <c r="BGK196" s="412"/>
      <c r="BGL196" s="412"/>
      <c r="BGM196" s="412"/>
      <c r="BGN196" s="412"/>
      <c r="BGO196" s="412"/>
      <c r="BGP196" s="412"/>
      <c r="BGQ196" s="412"/>
      <c r="BGR196" s="412"/>
      <c r="BGS196" s="412"/>
      <c r="BGT196" s="412"/>
      <c r="BGU196" s="412"/>
      <c r="BGV196" s="412"/>
      <c r="BGW196" s="412"/>
      <c r="BGX196" s="412"/>
      <c r="BGY196" s="412"/>
      <c r="BGZ196" s="412"/>
      <c r="BHA196" s="412"/>
      <c r="BHB196" s="412"/>
      <c r="BHC196" s="412"/>
      <c r="BHD196" s="412"/>
      <c r="BHE196" s="412"/>
      <c r="BHF196" s="412"/>
      <c r="BHG196" s="412"/>
      <c r="BHH196" s="412"/>
      <c r="BHI196" s="412"/>
      <c r="BHJ196" s="412"/>
      <c r="BHK196" s="412"/>
      <c r="BHL196" s="412"/>
      <c r="BHM196" s="412"/>
      <c r="BHN196" s="412"/>
      <c r="BHO196" s="412"/>
      <c r="BHP196" s="412"/>
      <c r="BHQ196" s="412"/>
      <c r="BHR196" s="412"/>
      <c r="BHS196" s="412"/>
      <c r="BHT196" s="412"/>
      <c r="BHU196" s="412"/>
      <c r="BHV196" s="412"/>
      <c r="BHW196" s="412"/>
      <c r="BHX196" s="412"/>
      <c r="BHY196" s="412"/>
      <c r="BHZ196" s="412"/>
      <c r="BIA196" s="412"/>
      <c r="BIB196" s="412"/>
      <c r="BIC196" s="412"/>
      <c r="BID196" s="412"/>
      <c r="BIE196" s="412"/>
      <c r="BIF196" s="412"/>
      <c r="BIG196" s="412"/>
      <c r="BIH196" s="412"/>
      <c r="BII196" s="412"/>
      <c r="BIJ196" s="412"/>
      <c r="BIK196" s="412"/>
      <c r="BIL196" s="412"/>
      <c r="BIM196" s="412"/>
      <c r="BIN196" s="412"/>
      <c r="BIO196" s="412"/>
      <c r="BIP196" s="412"/>
      <c r="BIQ196" s="412"/>
      <c r="BIR196" s="412"/>
      <c r="BIS196" s="412"/>
      <c r="BIT196" s="412"/>
      <c r="BIU196" s="412"/>
      <c r="BIV196" s="412"/>
      <c r="BIW196" s="412"/>
      <c r="BIX196" s="412"/>
      <c r="BIY196" s="412"/>
      <c r="BIZ196" s="412"/>
      <c r="BJA196" s="412"/>
      <c r="BJB196" s="412"/>
      <c r="BJC196" s="412"/>
      <c r="BJD196" s="412"/>
      <c r="BJE196" s="412"/>
      <c r="BJF196" s="412"/>
      <c r="BJG196" s="412"/>
      <c r="BJH196" s="412"/>
      <c r="BJI196" s="412"/>
      <c r="BJJ196" s="412"/>
      <c r="BJK196" s="412"/>
      <c r="BJL196" s="412"/>
      <c r="BJM196" s="412"/>
      <c r="BJN196" s="412"/>
      <c r="BJO196" s="412"/>
      <c r="BJP196" s="412"/>
      <c r="BJQ196" s="412"/>
      <c r="BJR196" s="412"/>
      <c r="BJS196" s="412"/>
      <c r="BJT196" s="412"/>
      <c r="BJU196" s="412"/>
      <c r="BJV196" s="412"/>
      <c r="BJW196" s="412"/>
      <c r="BJX196" s="412"/>
      <c r="BJY196" s="412"/>
      <c r="BJZ196" s="412"/>
      <c r="BKA196" s="412"/>
      <c r="BKB196" s="412"/>
      <c r="BKC196" s="412"/>
      <c r="BKD196" s="412"/>
      <c r="BKE196" s="412"/>
      <c r="BKF196" s="412"/>
      <c r="BKG196" s="412"/>
      <c r="BKH196" s="412"/>
      <c r="BKI196" s="412"/>
      <c r="BKJ196" s="412"/>
      <c r="BKK196" s="412"/>
      <c r="BKL196" s="412"/>
      <c r="BKM196" s="412"/>
      <c r="BKN196" s="412"/>
      <c r="BKO196" s="412"/>
      <c r="BKP196" s="412"/>
      <c r="BKQ196" s="412"/>
      <c r="BKR196" s="412"/>
      <c r="BKS196" s="412"/>
      <c r="BKT196" s="412"/>
      <c r="BKU196" s="412"/>
      <c r="BKV196" s="412"/>
      <c r="BKW196" s="412"/>
      <c r="BKX196" s="412"/>
      <c r="BKY196" s="412"/>
      <c r="BKZ196" s="412"/>
      <c r="BLA196" s="412"/>
      <c r="BLB196" s="412"/>
      <c r="BLC196" s="412"/>
      <c r="BLD196" s="412"/>
      <c r="BLE196" s="412"/>
      <c r="BLF196" s="412"/>
      <c r="BLG196" s="412"/>
      <c r="BLH196" s="412"/>
      <c r="BLI196" s="412"/>
      <c r="BLJ196" s="412"/>
      <c r="BLK196" s="412"/>
      <c r="BLL196" s="412"/>
      <c r="BLM196" s="412"/>
      <c r="BLN196" s="412"/>
      <c r="BLO196" s="412"/>
      <c r="BLP196" s="412"/>
      <c r="BLQ196" s="412"/>
      <c r="BLR196" s="412"/>
      <c r="BLS196" s="412"/>
      <c r="BLT196" s="412"/>
      <c r="BLU196" s="412"/>
      <c r="BLV196" s="412"/>
      <c r="BLW196" s="412"/>
      <c r="BLX196" s="412"/>
      <c r="BLY196" s="412"/>
      <c r="BLZ196" s="412"/>
      <c r="BMA196" s="412"/>
      <c r="BMB196" s="412"/>
      <c r="BMC196" s="412"/>
      <c r="BMD196" s="412"/>
      <c r="BME196" s="412"/>
      <c r="BMF196" s="412"/>
      <c r="BMG196" s="412"/>
      <c r="BMH196" s="412"/>
      <c r="BMI196" s="412"/>
      <c r="BMJ196" s="412"/>
      <c r="BMK196" s="412"/>
      <c r="BML196" s="412"/>
      <c r="BMM196" s="412"/>
      <c r="BMN196" s="412"/>
      <c r="BMO196" s="412"/>
      <c r="BMP196" s="412"/>
      <c r="BMQ196" s="412"/>
      <c r="BMR196" s="412"/>
      <c r="BMS196" s="412"/>
      <c r="BMT196" s="412"/>
      <c r="BMU196" s="412"/>
      <c r="BMV196" s="412"/>
      <c r="BMW196" s="412"/>
      <c r="BMX196" s="412"/>
      <c r="BMY196" s="412"/>
      <c r="BMZ196" s="412"/>
      <c r="BNA196" s="412"/>
      <c r="BNB196" s="412"/>
      <c r="BNC196" s="412"/>
      <c r="BND196" s="412"/>
      <c r="BNE196" s="412"/>
      <c r="BNF196" s="412"/>
      <c r="BNG196" s="412"/>
      <c r="BNH196" s="412"/>
      <c r="BNI196" s="412"/>
      <c r="BNJ196" s="412"/>
      <c r="BNK196" s="412"/>
      <c r="BNL196" s="412"/>
      <c r="BNM196" s="412"/>
      <c r="BNN196" s="412"/>
      <c r="BNO196" s="412"/>
      <c r="BNP196" s="412"/>
      <c r="BNQ196" s="412"/>
      <c r="BNR196" s="412"/>
      <c r="BNS196" s="412"/>
      <c r="BNT196" s="412"/>
      <c r="BNU196" s="412"/>
      <c r="BNV196" s="412"/>
      <c r="BNW196" s="412"/>
      <c r="BNX196" s="412"/>
      <c r="BNY196" s="412"/>
      <c r="BNZ196" s="412"/>
      <c r="BOA196" s="412"/>
      <c r="BOB196" s="412"/>
      <c r="BOC196" s="412"/>
      <c r="BOD196" s="412"/>
      <c r="BOE196" s="412"/>
      <c r="BOF196" s="412"/>
      <c r="BOG196" s="412"/>
      <c r="BOH196" s="412"/>
      <c r="BOI196" s="412"/>
      <c r="BOJ196" s="412"/>
      <c r="BOK196" s="412"/>
      <c r="BOL196" s="412"/>
      <c r="BOM196" s="412"/>
      <c r="BON196" s="412"/>
      <c r="BOO196" s="412"/>
      <c r="BOP196" s="412"/>
      <c r="BOQ196" s="412"/>
      <c r="BOR196" s="412"/>
      <c r="BOS196" s="412"/>
      <c r="BOT196" s="412"/>
      <c r="BOU196" s="412"/>
      <c r="BOV196" s="412"/>
      <c r="BOW196" s="412"/>
      <c r="BOX196" s="412"/>
      <c r="BOY196" s="412"/>
      <c r="BOZ196" s="412"/>
      <c r="BPA196" s="412"/>
      <c r="BPB196" s="412"/>
      <c r="BPC196" s="412"/>
      <c r="BPD196" s="412"/>
      <c r="BPE196" s="412"/>
      <c r="BPF196" s="412"/>
      <c r="BPG196" s="412"/>
      <c r="BPH196" s="412"/>
      <c r="BPI196" s="412"/>
      <c r="BPJ196" s="412"/>
      <c r="BPK196" s="412"/>
      <c r="BPL196" s="412"/>
      <c r="BPM196" s="412"/>
      <c r="BPN196" s="412"/>
      <c r="BPO196" s="412"/>
      <c r="BPP196" s="412"/>
      <c r="BPQ196" s="412"/>
      <c r="BPR196" s="412"/>
      <c r="BPS196" s="412"/>
      <c r="BPT196" s="412"/>
      <c r="BPU196" s="412"/>
      <c r="BPV196" s="412"/>
      <c r="BPW196" s="412"/>
      <c r="BPX196" s="412"/>
      <c r="BPY196" s="412"/>
      <c r="BPZ196" s="412"/>
      <c r="BQA196" s="412"/>
      <c r="BQB196" s="412"/>
      <c r="BQC196" s="412"/>
      <c r="BQD196" s="412"/>
      <c r="BQE196" s="412"/>
      <c r="BQF196" s="412"/>
      <c r="BQG196" s="412"/>
      <c r="BQH196" s="412"/>
      <c r="BQI196" s="412"/>
      <c r="BQJ196" s="412"/>
      <c r="BQK196" s="412"/>
      <c r="BQL196" s="412"/>
      <c r="BQM196" s="412"/>
      <c r="BQN196" s="412"/>
      <c r="BQO196" s="412"/>
      <c r="BQP196" s="412"/>
      <c r="BQQ196" s="412"/>
      <c r="BQR196" s="412"/>
      <c r="BQS196" s="412"/>
      <c r="BQT196" s="412"/>
      <c r="BQU196" s="412"/>
      <c r="BQV196" s="412"/>
      <c r="BQW196" s="412"/>
      <c r="BQX196" s="412"/>
      <c r="BQY196" s="412"/>
      <c r="BQZ196" s="412"/>
      <c r="BRA196" s="412"/>
      <c r="BRB196" s="412"/>
      <c r="BRC196" s="412"/>
      <c r="BRD196" s="412"/>
      <c r="BRE196" s="412"/>
      <c r="BRF196" s="412"/>
      <c r="BRG196" s="412"/>
      <c r="BRH196" s="412"/>
      <c r="BRI196" s="412"/>
      <c r="BRJ196" s="412"/>
      <c r="BRK196" s="412"/>
      <c r="BRL196" s="412"/>
      <c r="BRM196" s="412"/>
      <c r="BRN196" s="412"/>
      <c r="BRO196" s="412"/>
      <c r="BRP196" s="412"/>
      <c r="BRQ196" s="412"/>
      <c r="BRR196" s="412"/>
      <c r="BRS196" s="412"/>
      <c r="BRT196" s="412"/>
      <c r="BRU196" s="412"/>
      <c r="BRV196" s="412"/>
      <c r="BRW196" s="412"/>
      <c r="BRX196" s="412"/>
      <c r="BRY196" s="412"/>
      <c r="BRZ196" s="412"/>
      <c r="BSA196" s="412"/>
      <c r="BSB196" s="412"/>
      <c r="BSC196" s="412"/>
      <c r="BSD196" s="412"/>
      <c r="BSE196" s="412"/>
      <c r="BSF196" s="412"/>
      <c r="BSG196" s="412"/>
      <c r="BSH196" s="412"/>
      <c r="BSI196" s="412"/>
      <c r="BSJ196" s="412"/>
      <c r="BSK196" s="412"/>
      <c r="BSL196" s="412"/>
      <c r="BSM196" s="412"/>
      <c r="BSN196" s="412"/>
      <c r="BSO196" s="412"/>
      <c r="BSP196" s="412"/>
      <c r="BSQ196" s="412"/>
      <c r="BSR196" s="412"/>
      <c r="BSS196" s="412"/>
      <c r="BST196" s="412"/>
      <c r="BSU196" s="412"/>
      <c r="BSV196" s="412"/>
      <c r="BSW196" s="412"/>
      <c r="BSX196" s="412"/>
      <c r="BSY196" s="412"/>
      <c r="BSZ196" s="412"/>
      <c r="BTA196" s="412"/>
      <c r="BTB196" s="412"/>
      <c r="BTC196" s="412"/>
      <c r="BTD196" s="412"/>
      <c r="BTE196" s="412"/>
      <c r="BTF196" s="412"/>
      <c r="BTG196" s="412"/>
      <c r="BTH196" s="412"/>
      <c r="BTI196" s="412"/>
    </row>
    <row r="197" spans="1:1881" s="226" customFormat="1" ht="55.5" customHeight="1" x14ac:dyDescent="0.25">
      <c r="A197" s="189">
        <v>527</v>
      </c>
      <c r="B197" s="151" t="s">
        <v>65</v>
      </c>
      <c r="C197" s="183" t="s">
        <v>237</v>
      </c>
      <c r="D197" s="176" t="s">
        <v>232</v>
      </c>
      <c r="E197" s="32" t="e">
        <f>HLOOKUP($D$2,'2019 Data(H)'!$C$1:$CG$300,177,FALSE)</f>
        <v>#N/A</v>
      </c>
      <c r="F197" s="609"/>
      <c r="G197" s="319"/>
      <c r="H197" s="13"/>
      <c r="I197" s="298"/>
      <c r="J197" s="412"/>
      <c r="K197" s="412"/>
      <c r="L197" s="412"/>
      <c r="M197" s="412"/>
      <c r="N197"/>
      <c r="O197" s="412"/>
      <c r="P197" s="412"/>
      <c r="Q197" s="412"/>
      <c r="R197" s="412"/>
      <c r="S197" s="412"/>
      <c r="T197" s="412"/>
      <c r="U197" s="412"/>
      <c r="V197" s="412"/>
      <c r="W197" s="412"/>
      <c r="X197" s="412"/>
      <c r="Y197" s="412"/>
      <c r="Z197" s="412"/>
      <c r="AA197" s="412"/>
      <c r="AB197" s="412"/>
      <c r="AC197" s="412"/>
      <c r="AD197" s="412"/>
      <c r="AE197" s="412"/>
      <c r="AF197" s="412"/>
      <c r="AG197" s="412"/>
      <c r="AH197" s="412"/>
      <c r="AI197" s="412"/>
      <c r="AJ197" s="412"/>
      <c r="AK197" s="412"/>
      <c r="AL197" s="412"/>
      <c r="AM197" s="412"/>
      <c r="AN197" s="412"/>
      <c r="AO197" s="412"/>
      <c r="AP197" s="412"/>
      <c r="AQ197" s="412"/>
      <c r="AR197" s="412"/>
      <c r="AS197" s="412"/>
      <c r="AT197" s="412"/>
      <c r="AU197" s="412"/>
      <c r="AV197" s="412"/>
      <c r="AW197" s="412"/>
      <c r="AX197" s="412"/>
      <c r="AY197" s="412"/>
      <c r="AZ197" s="412"/>
      <c r="BA197" s="412"/>
      <c r="BB197" s="412"/>
      <c r="BC197" s="412"/>
      <c r="BD197" s="412"/>
      <c r="BE197" s="412"/>
      <c r="BF197" s="412"/>
      <c r="BG197" s="412"/>
      <c r="BH197" s="412"/>
      <c r="BI197" s="412"/>
      <c r="BJ197" s="412"/>
      <c r="BK197" s="412"/>
      <c r="BL197" s="412"/>
      <c r="BM197" s="412"/>
      <c r="BN197" s="412"/>
      <c r="BO197" s="412"/>
      <c r="BP197" s="412"/>
      <c r="BQ197" s="412"/>
      <c r="BR197" s="412"/>
      <c r="BS197" s="412"/>
      <c r="BT197" s="412"/>
      <c r="BU197" s="412"/>
      <c r="BV197" s="412"/>
      <c r="BW197" s="412"/>
      <c r="BX197" s="412"/>
      <c r="BY197" s="412"/>
      <c r="BZ197" s="412"/>
      <c r="CA197" s="412"/>
      <c r="CB197" s="412"/>
      <c r="CC197" s="412"/>
      <c r="CD197" s="412"/>
      <c r="CE197" s="412"/>
      <c r="CF197" s="412"/>
      <c r="CG197" s="412"/>
      <c r="CH197" s="412"/>
      <c r="CI197" s="412"/>
      <c r="CJ197" s="412"/>
      <c r="CK197" s="412"/>
      <c r="CL197" s="412"/>
      <c r="CM197" s="412"/>
      <c r="CN197" s="412"/>
      <c r="CO197" s="412"/>
      <c r="CP197" s="412"/>
      <c r="CQ197" s="412"/>
      <c r="CR197" s="412"/>
      <c r="CS197" s="412"/>
      <c r="CT197" s="412"/>
      <c r="CU197" s="412"/>
      <c r="CV197" s="412"/>
      <c r="CW197" s="412"/>
      <c r="CX197" s="412"/>
      <c r="CY197" s="412"/>
      <c r="CZ197" s="412"/>
      <c r="DA197" s="412"/>
      <c r="DB197" s="412"/>
      <c r="DC197" s="412"/>
      <c r="DD197" s="412"/>
      <c r="DE197" s="412"/>
      <c r="DF197" s="412"/>
      <c r="DG197" s="412"/>
      <c r="DH197" s="412"/>
      <c r="DI197" s="412"/>
      <c r="DJ197" s="412"/>
      <c r="DK197" s="412"/>
      <c r="DL197" s="412"/>
      <c r="DM197" s="412"/>
      <c r="DN197" s="412"/>
      <c r="DO197" s="412"/>
      <c r="DP197" s="412"/>
      <c r="DQ197" s="412"/>
      <c r="DR197" s="412"/>
      <c r="DS197" s="412"/>
      <c r="DT197" s="412"/>
      <c r="DU197" s="412"/>
      <c r="DV197" s="412"/>
      <c r="DW197" s="412"/>
      <c r="DX197" s="412"/>
      <c r="DY197" s="412"/>
      <c r="DZ197" s="412"/>
      <c r="EA197" s="412"/>
      <c r="EB197" s="412"/>
      <c r="EC197" s="412"/>
      <c r="ED197" s="412"/>
      <c r="EE197" s="412"/>
      <c r="EF197" s="412"/>
      <c r="EG197" s="412"/>
      <c r="EH197" s="412"/>
      <c r="EI197" s="412"/>
      <c r="EJ197" s="412"/>
      <c r="EK197" s="412"/>
      <c r="EL197" s="412"/>
      <c r="EM197" s="412"/>
      <c r="EN197" s="412"/>
      <c r="EO197" s="412"/>
      <c r="EP197" s="412"/>
      <c r="EQ197" s="412"/>
      <c r="ER197" s="412"/>
      <c r="ES197" s="412"/>
      <c r="ET197" s="412"/>
      <c r="EU197" s="412"/>
      <c r="EV197" s="412"/>
      <c r="EW197" s="412"/>
      <c r="EX197" s="412"/>
      <c r="EY197" s="412"/>
      <c r="EZ197" s="412"/>
      <c r="FA197" s="412"/>
      <c r="FB197" s="412"/>
      <c r="FC197" s="412"/>
      <c r="FD197" s="412"/>
      <c r="FE197" s="412"/>
      <c r="FF197" s="412"/>
      <c r="FG197" s="412"/>
      <c r="FH197" s="412"/>
      <c r="FI197" s="412"/>
      <c r="FJ197" s="412"/>
      <c r="FK197" s="412"/>
      <c r="FL197" s="412"/>
      <c r="FM197" s="412"/>
      <c r="FN197" s="412"/>
      <c r="FO197" s="412"/>
      <c r="FP197" s="412"/>
      <c r="FQ197" s="412"/>
      <c r="FR197" s="412"/>
      <c r="FS197" s="412"/>
      <c r="FT197" s="412"/>
      <c r="FU197" s="412"/>
      <c r="FV197" s="412"/>
      <c r="FW197" s="412"/>
      <c r="FX197" s="412"/>
      <c r="FY197" s="412"/>
      <c r="FZ197" s="412"/>
      <c r="GA197" s="412"/>
      <c r="GB197" s="412"/>
      <c r="GC197" s="412"/>
      <c r="GD197" s="412"/>
      <c r="GE197" s="412"/>
      <c r="GF197" s="412"/>
      <c r="GG197" s="412"/>
      <c r="GH197" s="412"/>
      <c r="GI197" s="412"/>
      <c r="GJ197" s="412"/>
      <c r="GK197" s="412"/>
      <c r="GL197" s="412"/>
      <c r="GM197" s="412"/>
      <c r="GN197" s="412"/>
      <c r="GO197" s="412"/>
      <c r="GP197" s="412"/>
      <c r="GQ197" s="412"/>
      <c r="GR197" s="412"/>
      <c r="GS197" s="412"/>
      <c r="GT197" s="412"/>
      <c r="GU197" s="412"/>
      <c r="GV197" s="412"/>
      <c r="GW197" s="412"/>
      <c r="GX197" s="412"/>
      <c r="GY197" s="412"/>
      <c r="GZ197" s="412"/>
      <c r="HA197" s="412"/>
      <c r="HB197" s="412"/>
      <c r="HC197" s="412"/>
      <c r="HD197" s="412"/>
      <c r="HE197" s="412"/>
      <c r="HF197" s="412"/>
      <c r="HG197" s="412"/>
      <c r="HH197" s="412"/>
      <c r="HI197" s="412"/>
      <c r="HJ197" s="412"/>
      <c r="HK197" s="412"/>
      <c r="HL197" s="412"/>
      <c r="HM197" s="412"/>
      <c r="HN197" s="412"/>
      <c r="HO197" s="412"/>
      <c r="HP197" s="412"/>
      <c r="HQ197" s="412"/>
      <c r="HR197" s="412"/>
      <c r="HS197" s="412"/>
      <c r="HT197" s="412"/>
      <c r="HU197" s="412"/>
      <c r="HV197" s="412"/>
      <c r="HW197" s="412"/>
      <c r="HX197" s="412"/>
      <c r="HY197" s="412"/>
      <c r="HZ197" s="412"/>
      <c r="IA197" s="412"/>
      <c r="IB197" s="412"/>
      <c r="IC197" s="412"/>
      <c r="ID197" s="412"/>
      <c r="IE197" s="412"/>
      <c r="IF197" s="412"/>
      <c r="IG197" s="412"/>
      <c r="IH197" s="412"/>
      <c r="II197" s="412"/>
      <c r="IJ197" s="412"/>
      <c r="IK197" s="412"/>
      <c r="IL197" s="412"/>
      <c r="IM197" s="412"/>
      <c r="IN197" s="412"/>
      <c r="IO197" s="412"/>
      <c r="IP197" s="412"/>
      <c r="IQ197" s="412"/>
      <c r="IR197" s="412"/>
      <c r="IS197" s="412"/>
      <c r="IT197" s="412"/>
      <c r="IU197" s="412"/>
      <c r="IV197" s="412"/>
      <c r="IW197" s="412"/>
      <c r="IX197" s="412"/>
      <c r="IY197" s="412"/>
      <c r="IZ197" s="412"/>
      <c r="JA197" s="412"/>
      <c r="JB197" s="412"/>
      <c r="JC197" s="412"/>
      <c r="JD197" s="412"/>
      <c r="JE197" s="412"/>
      <c r="JF197" s="412"/>
      <c r="JG197" s="412"/>
      <c r="JH197" s="412"/>
      <c r="JI197" s="412"/>
      <c r="JJ197" s="412"/>
      <c r="JK197" s="412"/>
      <c r="JL197" s="412"/>
      <c r="JM197" s="412"/>
      <c r="JN197" s="412"/>
      <c r="JO197" s="412"/>
      <c r="JP197" s="412"/>
      <c r="JQ197" s="412"/>
      <c r="JR197" s="412"/>
      <c r="JS197" s="412"/>
      <c r="JT197" s="412"/>
      <c r="JU197" s="412"/>
      <c r="JV197" s="412"/>
      <c r="JW197" s="412"/>
      <c r="JX197" s="412"/>
      <c r="JY197" s="412"/>
      <c r="JZ197" s="412"/>
      <c r="KA197" s="412"/>
      <c r="KB197" s="412"/>
      <c r="KC197" s="412"/>
      <c r="KD197" s="412"/>
      <c r="KE197" s="412"/>
      <c r="KF197" s="412"/>
      <c r="KG197" s="412"/>
      <c r="KH197" s="412"/>
      <c r="KI197" s="412"/>
      <c r="KJ197" s="412"/>
      <c r="KK197" s="412"/>
      <c r="KL197" s="412"/>
      <c r="KM197" s="412"/>
      <c r="KN197" s="412"/>
      <c r="KO197" s="412"/>
      <c r="KP197" s="412"/>
      <c r="KQ197" s="412"/>
      <c r="KR197" s="412"/>
      <c r="KS197" s="412"/>
      <c r="KT197" s="412"/>
      <c r="KU197" s="412"/>
      <c r="KV197" s="412"/>
      <c r="KW197" s="412"/>
      <c r="KX197" s="412"/>
      <c r="KY197" s="412"/>
      <c r="KZ197" s="412"/>
      <c r="LA197" s="412"/>
      <c r="LB197" s="412"/>
      <c r="LC197" s="412"/>
      <c r="LD197" s="412"/>
      <c r="LE197" s="412"/>
      <c r="LF197" s="412"/>
      <c r="LG197" s="412"/>
      <c r="LH197" s="412"/>
      <c r="LI197" s="412"/>
      <c r="LJ197" s="412"/>
      <c r="LK197" s="412"/>
      <c r="LL197" s="412"/>
      <c r="LM197" s="412"/>
      <c r="LN197" s="412"/>
      <c r="LO197" s="412"/>
      <c r="LP197" s="412"/>
      <c r="LQ197" s="412"/>
      <c r="LR197" s="412"/>
      <c r="LS197" s="412"/>
      <c r="LT197" s="412"/>
      <c r="LU197" s="412"/>
      <c r="LV197" s="412"/>
      <c r="LW197" s="412"/>
      <c r="LX197" s="412"/>
      <c r="LY197" s="412"/>
      <c r="LZ197" s="412"/>
      <c r="MA197" s="412"/>
      <c r="MB197" s="412"/>
      <c r="MC197" s="412"/>
      <c r="MD197" s="412"/>
      <c r="ME197" s="412"/>
      <c r="MF197" s="412"/>
      <c r="MG197" s="412"/>
      <c r="MH197" s="412"/>
      <c r="MI197" s="412"/>
      <c r="MJ197" s="412"/>
      <c r="MK197" s="412"/>
      <c r="ML197" s="412"/>
      <c r="MM197" s="412"/>
      <c r="MN197" s="412"/>
      <c r="MO197" s="412"/>
      <c r="MP197" s="412"/>
      <c r="MQ197" s="412"/>
      <c r="MR197" s="412"/>
      <c r="MS197" s="412"/>
      <c r="MT197" s="412"/>
      <c r="MU197" s="412"/>
      <c r="MV197" s="412"/>
      <c r="MW197" s="412"/>
      <c r="MX197" s="412"/>
      <c r="MY197" s="412"/>
      <c r="MZ197" s="412"/>
      <c r="NA197" s="412"/>
      <c r="NB197" s="412"/>
      <c r="NC197" s="412"/>
      <c r="ND197" s="412"/>
      <c r="NE197" s="412"/>
      <c r="NF197" s="412"/>
      <c r="NG197" s="412"/>
      <c r="NH197" s="412"/>
      <c r="NI197" s="412"/>
      <c r="NJ197" s="412"/>
      <c r="NK197" s="412"/>
      <c r="NL197" s="412"/>
      <c r="NM197" s="412"/>
      <c r="NN197" s="412"/>
      <c r="NO197" s="412"/>
      <c r="NP197" s="412"/>
      <c r="NQ197" s="412"/>
      <c r="NR197" s="412"/>
      <c r="NS197" s="412"/>
      <c r="NT197" s="412"/>
      <c r="NU197" s="412"/>
      <c r="NV197" s="412"/>
      <c r="NW197" s="412"/>
      <c r="NX197" s="412"/>
      <c r="NY197" s="412"/>
      <c r="NZ197" s="412"/>
      <c r="OA197" s="412"/>
      <c r="OB197" s="412"/>
      <c r="OC197" s="412"/>
      <c r="OD197" s="412"/>
      <c r="OE197" s="412"/>
      <c r="OF197" s="412"/>
      <c r="OG197" s="412"/>
      <c r="OH197" s="412"/>
      <c r="OI197" s="412"/>
      <c r="OJ197" s="412"/>
      <c r="OK197" s="412"/>
      <c r="OL197" s="412"/>
      <c r="OM197" s="412"/>
      <c r="ON197" s="412"/>
      <c r="OO197" s="412"/>
      <c r="OP197" s="412"/>
      <c r="OQ197" s="412"/>
      <c r="OR197" s="412"/>
      <c r="OS197" s="412"/>
      <c r="OT197" s="412"/>
      <c r="OU197" s="412"/>
      <c r="OV197" s="412"/>
      <c r="OW197" s="412"/>
      <c r="OX197" s="412"/>
      <c r="OY197" s="412"/>
      <c r="OZ197" s="412"/>
      <c r="PA197" s="412"/>
      <c r="PB197" s="412"/>
      <c r="PC197" s="412"/>
      <c r="PD197" s="412"/>
      <c r="PE197" s="412"/>
      <c r="PF197" s="412"/>
      <c r="PG197" s="412"/>
      <c r="PH197" s="412"/>
      <c r="PI197" s="412"/>
      <c r="PJ197" s="412"/>
      <c r="PK197" s="412"/>
      <c r="PL197" s="412"/>
      <c r="PM197" s="412"/>
      <c r="PN197" s="412"/>
      <c r="PO197" s="412"/>
      <c r="PP197" s="412"/>
      <c r="PQ197" s="412"/>
      <c r="PR197" s="412"/>
      <c r="PS197" s="412"/>
      <c r="PT197" s="412"/>
      <c r="PU197" s="412"/>
      <c r="PV197" s="412"/>
      <c r="PW197" s="412"/>
      <c r="PX197" s="412"/>
      <c r="PY197" s="412"/>
      <c r="PZ197" s="412"/>
      <c r="QA197" s="412"/>
      <c r="QB197" s="412"/>
      <c r="QC197" s="412"/>
      <c r="QD197" s="412"/>
      <c r="QE197" s="412"/>
      <c r="QF197" s="412"/>
      <c r="QG197" s="412"/>
      <c r="QH197" s="412"/>
      <c r="QI197" s="412"/>
      <c r="QJ197" s="412"/>
      <c r="QK197" s="412"/>
      <c r="QL197" s="412"/>
      <c r="QM197" s="412"/>
      <c r="QN197" s="412"/>
      <c r="QO197" s="412"/>
      <c r="QP197" s="412"/>
      <c r="QQ197" s="412"/>
      <c r="QR197" s="412"/>
      <c r="QS197" s="412"/>
      <c r="QT197" s="412"/>
      <c r="QU197" s="412"/>
      <c r="QV197" s="412"/>
      <c r="QW197" s="412"/>
      <c r="QX197" s="412"/>
      <c r="QY197" s="412"/>
      <c r="QZ197" s="412"/>
      <c r="RA197" s="412"/>
      <c r="RB197" s="412"/>
      <c r="RC197" s="412"/>
      <c r="RD197" s="412"/>
      <c r="RE197" s="412"/>
      <c r="RF197" s="412"/>
      <c r="RG197" s="412"/>
      <c r="RH197" s="412"/>
      <c r="RI197" s="412"/>
      <c r="RJ197" s="412"/>
      <c r="RK197" s="412"/>
      <c r="RL197" s="412"/>
      <c r="RM197" s="412"/>
      <c r="RN197" s="412"/>
      <c r="RO197" s="412"/>
      <c r="RP197" s="412"/>
      <c r="RQ197" s="412"/>
      <c r="RR197" s="412"/>
      <c r="RS197" s="412"/>
      <c r="RT197" s="412"/>
      <c r="RU197" s="412"/>
      <c r="RV197" s="412"/>
      <c r="RW197" s="412"/>
      <c r="RX197" s="412"/>
      <c r="RY197" s="412"/>
      <c r="RZ197" s="412"/>
      <c r="SA197" s="412"/>
      <c r="SB197" s="412"/>
      <c r="SC197" s="412"/>
      <c r="SD197" s="412"/>
      <c r="SE197" s="412"/>
      <c r="SF197" s="412"/>
      <c r="SG197" s="412"/>
      <c r="SH197" s="412"/>
      <c r="SI197" s="412"/>
      <c r="SJ197" s="412"/>
      <c r="SK197" s="412"/>
      <c r="SL197" s="412"/>
      <c r="SM197" s="412"/>
      <c r="SN197" s="412"/>
      <c r="SO197" s="412"/>
      <c r="SP197" s="412"/>
      <c r="SQ197" s="412"/>
      <c r="SR197" s="412"/>
      <c r="SS197" s="412"/>
      <c r="ST197" s="412"/>
      <c r="SU197" s="412"/>
      <c r="SV197" s="412"/>
      <c r="SW197" s="412"/>
      <c r="SX197" s="412"/>
      <c r="SY197" s="412"/>
      <c r="SZ197" s="412"/>
      <c r="TA197" s="412"/>
      <c r="TB197" s="412"/>
      <c r="TC197" s="412"/>
      <c r="TD197" s="412"/>
      <c r="TE197" s="412"/>
      <c r="TF197" s="412"/>
      <c r="TG197" s="412"/>
      <c r="TH197" s="412"/>
      <c r="TI197" s="412"/>
      <c r="TJ197" s="412"/>
      <c r="TK197" s="412"/>
      <c r="TL197" s="412"/>
      <c r="TM197" s="412"/>
      <c r="TN197" s="412"/>
      <c r="TO197" s="412"/>
      <c r="TP197" s="412"/>
      <c r="TQ197" s="412"/>
      <c r="TR197" s="412"/>
      <c r="TS197" s="412"/>
      <c r="TT197" s="412"/>
      <c r="TU197" s="412"/>
      <c r="TV197" s="412"/>
      <c r="TW197" s="412"/>
      <c r="TX197" s="412"/>
      <c r="TY197" s="412"/>
      <c r="TZ197" s="412"/>
      <c r="UA197" s="412"/>
      <c r="UB197" s="412"/>
      <c r="UC197" s="412"/>
      <c r="UD197" s="412"/>
      <c r="UE197" s="412"/>
      <c r="UF197" s="412"/>
      <c r="UG197" s="412"/>
      <c r="UH197" s="412"/>
      <c r="UI197" s="412"/>
      <c r="UJ197" s="412"/>
      <c r="UK197" s="412"/>
      <c r="UL197" s="412"/>
      <c r="UM197" s="412"/>
      <c r="UN197" s="412"/>
      <c r="UO197" s="412"/>
      <c r="UP197" s="412"/>
      <c r="UQ197" s="412"/>
      <c r="UR197" s="412"/>
      <c r="US197" s="412"/>
      <c r="UT197" s="412"/>
      <c r="UU197" s="412"/>
      <c r="UV197" s="412"/>
      <c r="UW197" s="412"/>
      <c r="UX197" s="412"/>
      <c r="UY197" s="412"/>
      <c r="UZ197" s="412"/>
      <c r="VA197" s="412"/>
      <c r="VB197" s="412"/>
      <c r="VC197" s="412"/>
      <c r="VD197" s="412"/>
      <c r="VE197" s="412"/>
      <c r="VF197" s="412"/>
      <c r="VG197" s="412"/>
      <c r="VH197" s="412"/>
      <c r="VI197" s="412"/>
      <c r="VJ197" s="412"/>
      <c r="VK197" s="412"/>
      <c r="VL197" s="412"/>
      <c r="VM197" s="412"/>
      <c r="VN197" s="412"/>
      <c r="VO197" s="412"/>
      <c r="VP197" s="412"/>
      <c r="VQ197" s="412"/>
      <c r="VR197" s="412"/>
      <c r="VS197" s="412"/>
      <c r="VT197" s="412"/>
      <c r="VU197" s="412"/>
      <c r="VV197" s="412"/>
      <c r="VW197" s="412"/>
      <c r="VX197" s="412"/>
      <c r="VY197" s="412"/>
      <c r="VZ197" s="412"/>
      <c r="WA197" s="412"/>
      <c r="WB197" s="412"/>
      <c r="WC197" s="412"/>
      <c r="WD197" s="412"/>
      <c r="WE197" s="412"/>
      <c r="WF197" s="412"/>
      <c r="WG197" s="412"/>
      <c r="WH197" s="412"/>
      <c r="WI197" s="412"/>
      <c r="WJ197" s="412"/>
      <c r="WK197" s="412"/>
      <c r="WL197" s="412"/>
      <c r="WM197" s="412"/>
      <c r="WN197" s="412"/>
      <c r="WO197" s="412"/>
      <c r="WP197" s="412"/>
      <c r="WQ197" s="412"/>
      <c r="WR197" s="412"/>
      <c r="WS197" s="412"/>
      <c r="WT197" s="412"/>
      <c r="WU197" s="412"/>
      <c r="WV197" s="412"/>
      <c r="WW197" s="412"/>
      <c r="WX197" s="412"/>
      <c r="WY197" s="412"/>
      <c r="WZ197" s="412"/>
      <c r="XA197" s="412"/>
      <c r="XB197" s="412"/>
      <c r="XC197" s="412"/>
      <c r="XD197" s="412"/>
      <c r="XE197" s="412"/>
      <c r="XF197" s="412"/>
      <c r="XG197" s="412"/>
      <c r="XH197" s="412"/>
      <c r="XI197" s="412"/>
      <c r="XJ197" s="412"/>
      <c r="XK197" s="412"/>
      <c r="XL197" s="412"/>
      <c r="XM197" s="412"/>
      <c r="XN197" s="412"/>
      <c r="XO197" s="412"/>
      <c r="XP197" s="412"/>
      <c r="XQ197" s="412"/>
      <c r="XR197" s="412"/>
      <c r="XS197" s="412"/>
      <c r="XT197" s="412"/>
      <c r="XU197" s="412"/>
      <c r="XV197" s="412"/>
      <c r="XW197" s="412"/>
      <c r="XX197" s="412"/>
      <c r="XY197" s="412"/>
      <c r="XZ197" s="412"/>
      <c r="YA197" s="412"/>
      <c r="YB197" s="412"/>
      <c r="YC197" s="412"/>
      <c r="YD197" s="412"/>
      <c r="YE197" s="412"/>
      <c r="YF197" s="412"/>
      <c r="YG197" s="412"/>
      <c r="YH197" s="412"/>
      <c r="YI197" s="412"/>
      <c r="YJ197" s="412"/>
      <c r="YK197" s="412"/>
      <c r="YL197" s="412"/>
      <c r="YM197" s="412"/>
      <c r="YN197" s="412"/>
      <c r="YO197" s="412"/>
      <c r="YP197" s="412"/>
      <c r="YQ197" s="412"/>
      <c r="YR197" s="412"/>
      <c r="YS197" s="412"/>
      <c r="YT197" s="412"/>
      <c r="YU197" s="412"/>
      <c r="YV197" s="412"/>
      <c r="YW197" s="412"/>
      <c r="YX197" s="412"/>
      <c r="YY197" s="412"/>
      <c r="YZ197" s="412"/>
      <c r="ZA197" s="412"/>
      <c r="ZB197" s="412"/>
      <c r="ZC197" s="412"/>
      <c r="ZD197" s="412"/>
      <c r="ZE197" s="412"/>
      <c r="ZF197" s="412"/>
      <c r="ZG197" s="412"/>
      <c r="ZH197" s="412"/>
      <c r="ZI197" s="412"/>
      <c r="ZJ197" s="412"/>
      <c r="ZK197" s="412"/>
      <c r="ZL197" s="412"/>
      <c r="ZM197" s="412"/>
      <c r="ZN197" s="412"/>
      <c r="ZO197" s="412"/>
      <c r="ZP197" s="412"/>
      <c r="ZQ197" s="412"/>
      <c r="ZR197" s="412"/>
      <c r="ZS197" s="412"/>
      <c r="ZT197" s="412"/>
      <c r="ZU197" s="412"/>
      <c r="ZV197" s="412"/>
      <c r="ZW197" s="412"/>
      <c r="ZX197" s="412"/>
      <c r="ZY197" s="412"/>
      <c r="ZZ197" s="412"/>
      <c r="AAA197" s="412"/>
      <c r="AAB197" s="412"/>
      <c r="AAC197" s="412"/>
      <c r="AAD197" s="412"/>
      <c r="AAE197" s="412"/>
      <c r="AAF197" s="412"/>
      <c r="AAG197" s="412"/>
      <c r="AAH197" s="412"/>
      <c r="AAI197" s="412"/>
      <c r="AAJ197" s="412"/>
      <c r="AAK197" s="412"/>
      <c r="AAL197" s="412"/>
      <c r="AAM197" s="412"/>
      <c r="AAN197" s="412"/>
      <c r="AAO197" s="412"/>
      <c r="AAP197" s="412"/>
      <c r="AAQ197" s="412"/>
      <c r="AAR197" s="412"/>
      <c r="AAS197" s="412"/>
      <c r="AAT197" s="412"/>
      <c r="AAU197" s="412"/>
      <c r="AAV197" s="412"/>
      <c r="AAW197" s="412"/>
      <c r="AAX197" s="412"/>
      <c r="AAY197" s="412"/>
      <c r="AAZ197" s="412"/>
      <c r="ABA197" s="412"/>
      <c r="ABB197" s="412"/>
      <c r="ABC197" s="412"/>
      <c r="ABD197" s="412"/>
      <c r="ABE197" s="412"/>
      <c r="ABF197" s="412"/>
      <c r="ABG197" s="412"/>
      <c r="ABH197" s="412"/>
      <c r="ABI197" s="412"/>
      <c r="ABJ197" s="412"/>
      <c r="ABK197" s="412"/>
      <c r="ABL197" s="412"/>
      <c r="ABM197" s="412"/>
      <c r="ABN197" s="412"/>
      <c r="ABO197" s="412"/>
      <c r="ABP197" s="412"/>
      <c r="ABQ197" s="412"/>
      <c r="ABR197" s="412"/>
      <c r="ABS197" s="412"/>
      <c r="ABT197" s="412"/>
      <c r="ABU197" s="412"/>
      <c r="ABV197" s="412"/>
      <c r="ABW197" s="412"/>
      <c r="ABX197" s="412"/>
      <c r="ABY197" s="412"/>
      <c r="ABZ197" s="412"/>
      <c r="ACA197" s="412"/>
      <c r="ACB197" s="412"/>
      <c r="ACC197" s="412"/>
      <c r="ACD197" s="412"/>
      <c r="ACE197" s="412"/>
      <c r="ACF197" s="412"/>
      <c r="ACG197" s="412"/>
      <c r="ACH197" s="412"/>
      <c r="ACI197" s="412"/>
      <c r="ACJ197" s="412"/>
      <c r="ACK197" s="412"/>
      <c r="ACL197" s="412"/>
      <c r="ACM197" s="412"/>
      <c r="ACN197" s="412"/>
      <c r="ACO197" s="412"/>
      <c r="ACP197" s="412"/>
      <c r="ACQ197" s="412"/>
      <c r="ACR197" s="412"/>
      <c r="ACS197" s="412"/>
      <c r="ACT197" s="412"/>
      <c r="ACU197" s="412"/>
      <c r="ACV197" s="412"/>
      <c r="ACW197" s="412"/>
      <c r="ACX197" s="412"/>
      <c r="ACY197" s="412"/>
      <c r="ACZ197" s="412"/>
      <c r="ADA197" s="412"/>
      <c r="ADB197" s="412"/>
      <c r="ADC197" s="412"/>
      <c r="ADD197" s="412"/>
      <c r="ADE197" s="412"/>
      <c r="ADF197" s="412"/>
      <c r="ADG197" s="412"/>
      <c r="ADH197" s="412"/>
      <c r="ADI197" s="412"/>
      <c r="ADJ197" s="412"/>
      <c r="ADK197" s="412"/>
      <c r="ADL197" s="412"/>
      <c r="ADM197" s="412"/>
      <c r="ADN197" s="412"/>
      <c r="ADO197" s="412"/>
      <c r="ADP197" s="412"/>
      <c r="ADQ197" s="412"/>
      <c r="ADR197" s="412"/>
      <c r="ADS197" s="412"/>
      <c r="ADT197" s="412"/>
      <c r="ADU197" s="412"/>
      <c r="ADV197" s="412"/>
      <c r="ADW197" s="412"/>
      <c r="ADX197" s="412"/>
      <c r="ADY197" s="412"/>
      <c r="ADZ197" s="412"/>
      <c r="AEA197" s="412"/>
      <c r="AEB197" s="412"/>
      <c r="AEC197" s="412"/>
      <c r="AED197" s="412"/>
      <c r="AEE197" s="412"/>
      <c r="AEF197" s="412"/>
      <c r="AEG197" s="412"/>
      <c r="AEH197" s="412"/>
      <c r="AEI197" s="412"/>
      <c r="AEJ197" s="412"/>
      <c r="AEK197" s="412"/>
      <c r="AEL197" s="412"/>
      <c r="AEM197" s="412"/>
      <c r="AEN197" s="412"/>
      <c r="AEO197" s="412"/>
      <c r="AEP197" s="412"/>
      <c r="AEQ197" s="412"/>
      <c r="AER197" s="412"/>
      <c r="AES197" s="412"/>
      <c r="AET197" s="412"/>
      <c r="AEU197" s="412"/>
      <c r="AEV197" s="412"/>
      <c r="AEW197" s="412"/>
      <c r="AEX197" s="412"/>
      <c r="AEY197" s="412"/>
      <c r="AEZ197" s="412"/>
      <c r="AFA197" s="412"/>
      <c r="AFB197" s="412"/>
      <c r="AFC197" s="412"/>
      <c r="AFD197" s="412"/>
      <c r="AFE197" s="412"/>
      <c r="AFF197" s="412"/>
      <c r="AFG197" s="412"/>
      <c r="AFH197" s="412"/>
      <c r="AFI197" s="412"/>
      <c r="AFJ197" s="412"/>
      <c r="AFK197" s="412"/>
      <c r="AFL197" s="412"/>
      <c r="AFM197" s="412"/>
      <c r="AFN197" s="412"/>
      <c r="AFO197" s="412"/>
      <c r="AFP197" s="412"/>
      <c r="AFQ197" s="412"/>
      <c r="AFR197" s="412"/>
      <c r="AFS197" s="412"/>
      <c r="AFT197" s="412"/>
      <c r="AFU197" s="412"/>
      <c r="AFV197" s="412"/>
      <c r="AFW197" s="412"/>
      <c r="AFX197" s="412"/>
      <c r="AFY197" s="412"/>
      <c r="AFZ197" s="412"/>
      <c r="AGA197" s="412"/>
      <c r="AGB197" s="412"/>
      <c r="AGC197" s="412"/>
      <c r="AGD197" s="412"/>
      <c r="AGE197" s="412"/>
      <c r="AGF197" s="412"/>
      <c r="AGG197" s="412"/>
      <c r="AGH197" s="412"/>
      <c r="AGI197" s="412"/>
      <c r="AGJ197" s="412"/>
      <c r="AGK197" s="412"/>
      <c r="AGL197" s="412"/>
      <c r="AGM197" s="412"/>
      <c r="AGN197" s="412"/>
      <c r="AGO197" s="412"/>
      <c r="AGP197" s="412"/>
      <c r="AGQ197" s="412"/>
      <c r="AGR197" s="412"/>
      <c r="AGS197" s="412"/>
      <c r="AGT197" s="412"/>
      <c r="AGU197" s="412"/>
      <c r="AGV197" s="412"/>
      <c r="AGW197" s="412"/>
      <c r="AGX197" s="412"/>
      <c r="AGY197" s="412"/>
      <c r="AGZ197" s="412"/>
      <c r="AHA197" s="412"/>
      <c r="AHB197" s="412"/>
      <c r="AHC197" s="412"/>
      <c r="AHD197" s="412"/>
      <c r="AHE197" s="412"/>
      <c r="AHF197" s="412"/>
      <c r="AHG197" s="412"/>
      <c r="AHH197" s="412"/>
      <c r="AHI197" s="412"/>
      <c r="AHJ197" s="412"/>
      <c r="AHK197" s="412"/>
      <c r="AHL197" s="412"/>
      <c r="AHM197" s="412"/>
      <c r="AHN197" s="412"/>
      <c r="AHO197" s="412"/>
      <c r="AHP197" s="412"/>
      <c r="AHQ197" s="412"/>
      <c r="AHR197" s="412"/>
      <c r="AHS197" s="412"/>
      <c r="AHT197" s="412"/>
      <c r="AHU197" s="412"/>
      <c r="AHV197" s="412"/>
      <c r="AHW197" s="412"/>
      <c r="AHX197" s="412"/>
      <c r="AHY197" s="412"/>
      <c r="AHZ197" s="412"/>
      <c r="AIA197" s="412"/>
      <c r="AIB197" s="412"/>
      <c r="AIC197" s="412"/>
      <c r="AID197" s="412"/>
      <c r="AIE197" s="412"/>
      <c r="AIF197" s="412"/>
      <c r="AIG197" s="412"/>
      <c r="AIH197" s="412"/>
      <c r="AII197" s="412"/>
      <c r="AIJ197" s="412"/>
      <c r="AIK197" s="412"/>
      <c r="AIL197" s="412"/>
      <c r="AIM197" s="412"/>
      <c r="AIN197" s="412"/>
      <c r="AIO197" s="412"/>
      <c r="AIP197" s="412"/>
      <c r="AIQ197" s="412"/>
      <c r="AIR197" s="412"/>
      <c r="AIS197" s="412"/>
      <c r="AIT197" s="412"/>
      <c r="AIU197" s="412"/>
      <c r="AIV197" s="412"/>
      <c r="AIW197" s="412"/>
      <c r="AIX197" s="412"/>
      <c r="AIY197" s="412"/>
      <c r="AIZ197" s="412"/>
      <c r="AJA197" s="412"/>
      <c r="AJB197" s="412"/>
      <c r="AJC197" s="412"/>
      <c r="AJD197" s="412"/>
      <c r="AJE197" s="412"/>
      <c r="AJF197" s="412"/>
      <c r="AJG197" s="412"/>
      <c r="AJH197" s="412"/>
      <c r="AJI197" s="412"/>
      <c r="AJJ197" s="412"/>
      <c r="AJK197" s="412"/>
      <c r="AJL197" s="412"/>
      <c r="AJM197" s="412"/>
      <c r="AJN197" s="412"/>
      <c r="AJO197" s="412"/>
      <c r="AJP197" s="412"/>
      <c r="AJQ197" s="412"/>
      <c r="AJR197" s="412"/>
      <c r="AJS197" s="412"/>
      <c r="AJT197" s="412"/>
      <c r="AJU197" s="412"/>
      <c r="AJV197" s="412"/>
      <c r="AJW197" s="412"/>
      <c r="AJX197" s="412"/>
      <c r="AJY197" s="412"/>
      <c r="AJZ197" s="412"/>
      <c r="AKA197" s="412"/>
      <c r="AKB197" s="412"/>
      <c r="AKC197" s="412"/>
      <c r="AKD197" s="412"/>
      <c r="AKE197" s="412"/>
      <c r="AKF197" s="412"/>
      <c r="AKG197" s="412"/>
      <c r="AKH197" s="412"/>
      <c r="AKI197" s="412"/>
      <c r="AKJ197" s="412"/>
      <c r="AKK197" s="412"/>
      <c r="AKL197" s="412"/>
      <c r="AKM197" s="412"/>
      <c r="AKN197" s="412"/>
      <c r="AKO197" s="412"/>
      <c r="AKP197" s="412"/>
      <c r="AKQ197" s="412"/>
      <c r="AKR197" s="412"/>
      <c r="AKS197" s="412"/>
      <c r="AKT197" s="412"/>
      <c r="AKU197" s="412"/>
      <c r="AKV197" s="412"/>
      <c r="AKW197" s="412"/>
      <c r="AKX197" s="412"/>
      <c r="AKY197" s="412"/>
      <c r="AKZ197" s="412"/>
      <c r="ALA197" s="412"/>
      <c r="ALB197" s="412"/>
      <c r="ALC197" s="412"/>
      <c r="ALD197" s="412"/>
      <c r="ALE197" s="412"/>
      <c r="ALF197" s="412"/>
      <c r="ALG197" s="412"/>
      <c r="ALH197" s="412"/>
      <c r="ALI197" s="412"/>
      <c r="ALJ197" s="412"/>
      <c r="ALK197" s="412"/>
      <c r="ALL197" s="412"/>
      <c r="ALM197" s="412"/>
      <c r="ALN197" s="412"/>
      <c r="ALO197" s="412"/>
      <c r="ALP197" s="412"/>
      <c r="ALQ197" s="412"/>
      <c r="ALR197" s="412"/>
      <c r="ALS197" s="412"/>
      <c r="ALT197" s="412"/>
      <c r="ALU197" s="412"/>
      <c r="ALV197" s="412"/>
      <c r="ALW197" s="412"/>
      <c r="ALX197" s="412"/>
      <c r="ALY197" s="412"/>
      <c r="ALZ197" s="412"/>
      <c r="AMA197" s="412"/>
      <c r="AMB197" s="412"/>
      <c r="AMC197" s="412"/>
      <c r="AMD197" s="412"/>
      <c r="AME197" s="412"/>
      <c r="AMF197" s="412"/>
      <c r="AMG197" s="412"/>
      <c r="AMH197" s="412"/>
      <c r="AMI197" s="412"/>
      <c r="AMJ197" s="412"/>
      <c r="AMK197" s="412"/>
      <c r="AML197" s="412"/>
      <c r="AMM197" s="412"/>
      <c r="AMN197" s="412"/>
      <c r="AMO197" s="412"/>
      <c r="AMP197" s="412"/>
      <c r="AMQ197" s="412"/>
      <c r="AMR197" s="412"/>
      <c r="AMS197" s="412"/>
      <c r="AMT197" s="412"/>
      <c r="AMU197" s="412"/>
      <c r="AMV197" s="412"/>
      <c r="AMW197" s="412"/>
      <c r="AMX197" s="412"/>
      <c r="AMY197" s="412"/>
      <c r="AMZ197" s="412"/>
      <c r="ANA197" s="412"/>
      <c r="ANB197" s="412"/>
      <c r="ANC197" s="412"/>
      <c r="AND197" s="412"/>
      <c r="ANE197" s="412"/>
      <c r="ANF197" s="412"/>
      <c r="ANG197" s="412"/>
      <c r="ANH197" s="412"/>
      <c r="ANI197" s="412"/>
      <c r="ANJ197" s="412"/>
      <c r="ANK197" s="412"/>
      <c r="ANL197" s="412"/>
      <c r="ANM197" s="412"/>
      <c r="ANN197" s="412"/>
      <c r="ANO197" s="412"/>
      <c r="ANP197" s="412"/>
      <c r="ANQ197" s="412"/>
      <c r="ANR197" s="412"/>
      <c r="ANS197" s="412"/>
      <c r="ANT197" s="412"/>
      <c r="ANU197" s="412"/>
      <c r="ANV197" s="412"/>
      <c r="ANW197" s="412"/>
      <c r="ANX197" s="412"/>
      <c r="ANY197" s="412"/>
      <c r="ANZ197" s="412"/>
      <c r="AOA197" s="412"/>
      <c r="AOB197" s="412"/>
      <c r="AOC197" s="412"/>
      <c r="AOD197" s="412"/>
      <c r="AOE197" s="412"/>
      <c r="AOF197" s="412"/>
      <c r="AOG197" s="412"/>
      <c r="AOH197" s="412"/>
      <c r="AOI197" s="412"/>
      <c r="AOJ197" s="412"/>
      <c r="AOK197" s="412"/>
      <c r="AOL197" s="412"/>
      <c r="AOM197" s="412"/>
      <c r="AON197" s="412"/>
      <c r="AOO197" s="412"/>
      <c r="AOP197" s="412"/>
      <c r="AOQ197" s="412"/>
      <c r="AOR197" s="412"/>
      <c r="AOS197" s="412"/>
      <c r="AOT197" s="412"/>
      <c r="AOU197" s="412"/>
      <c r="AOV197" s="412"/>
      <c r="AOW197" s="412"/>
      <c r="AOX197" s="412"/>
      <c r="AOY197" s="412"/>
      <c r="AOZ197" s="412"/>
      <c r="APA197" s="412"/>
      <c r="APB197" s="412"/>
      <c r="APC197" s="412"/>
      <c r="APD197" s="412"/>
      <c r="APE197" s="412"/>
      <c r="APF197" s="412"/>
      <c r="APG197" s="412"/>
      <c r="APH197" s="412"/>
      <c r="API197" s="412"/>
      <c r="APJ197" s="412"/>
      <c r="APK197" s="412"/>
      <c r="APL197" s="412"/>
      <c r="APM197" s="412"/>
      <c r="APN197" s="412"/>
      <c r="APO197" s="412"/>
      <c r="APP197" s="412"/>
      <c r="APQ197" s="412"/>
      <c r="APR197" s="412"/>
      <c r="APS197" s="412"/>
      <c r="APT197" s="412"/>
      <c r="APU197" s="412"/>
      <c r="APV197" s="412"/>
      <c r="APW197" s="412"/>
      <c r="APX197" s="412"/>
      <c r="APY197" s="412"/>
      <c r="APZ197" s="412"/>
      <c r="AQA197" s="412"/>
      <c r="AQB197" s="412"/>
      <c r="AQC197" s="412"/>
      <c r="AQD197" s="412"/>
      <c r="AQE197" s="412"/>
      <c r="AQF197" s="412"/>
      <c r="AQG197" s="412"/>
      <c r="AQH197" s="412"/>
      <c r="AQI197" s="412"/>
      <c r="AQJ197" s="412"/>
      <c r="AQK197" s="412"/>
      <c r="AQL197" s="412"/>
      <c r="AQM197" s="412"/>
      <c r="AQN197" s="412"/>
      <c r="AQO197" s="412"/>
      <c r="AQP197" s="412"/>
      <c r="AQQ197" s="412"/>
      <c r="AQR197" s="412"/>
      <c r="AQS197" s="412"/>
      <c r="AQT197" s="412"/>
      <c r="AQU197" s="412"/>
      <c r="AQV197" s="412"/>
      <c r="AQW197" s="412"/>
      <c r="AQX197" s="412"/>
      <c r="AQY197" s="412"/>
      <c r="AQZ197" s="412"/>
      <c r="ARA197" s="412"/>
      <c r="ARB197" s="412"/>
      <c r="ARC197" s="412"/>
      <c r="ARD197" s="412"/>
      <c r="ARE197" s="412"/>
      <c r="ARF197" s="412"/>
      <c r="ARG197" s="412"/>
      <c r="ARH197" s="412"/>
      <c r="ARI197" s="412"/>
      <c r="ARJ197" s="412"/>
      <c r="ARK197" s="412"/>
      <c r="ARL197" s="412"/>
      <c r="ARM197" s="412"/>
      <c r="ARN197" s="412"/>
      <c r="ARO197" s="412"/>
      <c r="ARP197" s="412"/>
      <c r="ARQ197" s="412"/>
      <c r="ARR197" s="412"/>
      <c r="ARS197" s="412"/>
      <c r="ART197" s="412"/>
      <c r="ARU197" s="412"/>
      <c r="ARV197" s="412"/>
      <c r="ARW197" s="412"/>
      <c r="ARX197" s="412"/>
      <c r="ARY197" s="412"/>
      <c r="ARZ197" s="412"/>
      <c r="ASA197" s="412"/>
      <c r="ASB197" s="412"/>
      <c r="ASC197" s="412"/>
      <c r="ASD197" s="412"/>
      <c r="ASE197" s="412"/>
      <c r="ASF197" s="412"/>
      <c r="ASG197" s="412"/>
      <c r="ASH197" s="412"/>
      <c r="ASI197" s="412"/>
      <c r="ASJ197" s="412"/>
      <c r="ASK197" s="412"/>
      <c r="ASL197" s="412"/>
      <c r="ASM197" s="412"/>
      <c r="ASN197" s="412"/>
      <c r="ASO197" s="412"/>
      <c r="ASP197" s="412"/>
      <c r="ASQ197" s="412"/>
      <c r="ASR197" s="412"/>
      <c r="ASS197" s="412"/>
      <c r="AST197" s="412"/>
      <c r="ASU197" s="412"/>
      <c r="ASV197" s="412"/>
      <c r="ASW197" s="412"/>
      <c r="ASX197" s="412"/>
      <c r="ASY197" s="412"/>
      <c r="ASZ197" s="412"/>
      <c r="ATA197" s="412"/>
      <c r="ATB197" s="412"/>
      <c r="ATC197" s="412"/>
      <c r="ATD197" s="412"/>
      <c r="ATE197" s="412"/>
      <c r="ATF197" s="412"/>
      <c r="ATG197" s="412"/>
      <c r="ATH197" s="412"/>
      <c r="ATI197" s="412"/>
      <c r="ATJ197" s="412"/>
      <c r="ATK197" s="412"/>
      <c r="ATL197" s="412"/>
      <c r="ATM197" s="412"/>
      <c r="ATN197" s="412"/>
      <c r="ATO197" s="412"/>
      <c r="ATP197" s="412"/>
      <c r="ATQ197" s="412"/>
      <c r="ATR197" s="412"/>
      <c r="ATS197" s="412"/>
      <c r="ATT197" s="412"/>
      <c r="ATU197" s="412"/>
      <c r="ATV197" s="412"/>
      <c r="ATW197" s="412"/>
      <c r="ATX197" s="412"/>
      <c r="ATY197" s="412"/>
      <c r="ATZ197" s="412"/>
      <c r="AUA197" s="412"/>
      <c r="AUB197" s="412"/>
      <c r="AUC197" s="412"/>
      <c r="AUD197" s="412"/>
      <c r="AUE197" s="412"/>
      <c r="AUF197" s="412"/>
      <c r="AUG197" s="412"/>
      <c r="AUH197" s="412"/>
      <c r="AUI197" s="412"/>
      <c r="AUJ197" s="412"/>
      <c r="AUK197" s="412"/>
      <c r="AUL197" s="412"/>
      <c r="AUM197" s="412"/>
      <c r="AUN197" s="412"/>
      <c r="AUO197" s="412"/>
      <c r="AUP197" s="412"/>
      <c r="AUQ197" s="412"/>
      <c r="AUR197" s="412"/>
      <c r="AUS197" s="412"/>
      <c r="AUT197" s="412"/>
      <c r="AUU197" s="412"/>
      <c r="AUV197" s="412"/>
      <c r="AUW197" s="412"/>
      <c r="AUX197" s="412"/>
      <c r="AUY197" s="412"/>
      <c r="AUZ197" s="412"/>
      <c r="AVA197" s="412"/>
      <c r="AVB197" s="412"/>
      <c r="AVC197" s="412"/>
      <c r="AVD197" s="412"/>
      <c r="AVE197" s="412"/>
      <c r="AVF197" s="412"/>
      <c r="AVG197" s="412"/>
      <c r="AVH197" s="412"/>
      <c r="AVI197" s="412"/>
      <c r="AVJ197" s="412"/>
      <c r="AVK197" s="412"/>
      <c r="AVL197" s="412"/>
      <c r="AVM197" s="412"/>
      <c r="AVN197" s="412"/>
      <c r="AVO197" s="412"/>
      <c r="AVP197" s="412"/>
      <c r="AVQ197" s="412"/>
      <c r="AVR197" s="412"/>
      <c r="AVS197" s="412"/>
      <c r="AVT197" s="412"/>
      <c r="AVU197" s="412"/>
      <c r="AVV197" s="412"/>
      <c r="AVW197" s="412"/>
      <c r="AVX197" s="412"/>
      <c r="AVY197" s="412"/>
      <c r="AVZ197" s="412"/>
      <c r="AWA197" s="412"/>
      <c r="AWB197" s="412"/>
      <c r="AWC197" s="412"/>
      <c r="AWD197" s="412"/>
      <c r="AWE197" s="412"/>
      <c r="AWF197" s="412"/>
      <c r="AWG197" s="412"/>
      <c r="AWH197" s="412"/>
      <c r="AWI197" s="412"/>
      <c r="AWJ197" s="412"/>
      <c r="AWK197" s="412"/>
      <c r="AWL197" s="412"/>
      <c r="AWM197" s="412"/>
      <c r="AWN197" s="412"/>
      <c r="AWO197" s="412"/>
      <c r="AWP197" s="412"/>
      <c r="AWQ197" s="412"/>
      <c r="AWR197" s="412"/>
      <c r="AWS197" s="412"/>
      <c r="AWT197" s="412"/>
      <c r="AWU197" s="412"/>
      <c r="AWV197" s="412"/>
      <c r="AWW197" s="412"/>
      <c r="AWX197" s="412"/>
      <c r="AWY197" s="412"/>
      <c r="AWZ197" s="412"/>
      <c r="AXA197" s="412"/>
      <c r="AXB197" s="412"/>
      <c r="AXC197" s="412"/>
      <c r="AXD197" s="412"/>
      <c r="AXE197" s="412"/>
      <c r="AXF197" s="412"/>
      <c r="AXG197" s="412"/>
      <c r="AXH197" s="412"/>
      <c r="AXI197" s="412"/>
      <c r="AXJ197" s="412"/>
      <c r="AXK197" s="412"/>
      <c r="AXL197" s="412"/>
      <c r="AXM197" s="412"/>
      <c r="AXN197" s="412"/>
      <c r="AXO197" s="412"/>
      <c r="AXP197" s="412"/>
      <c r="AXQ197" s="412"/>
      <c r="AXR197" s="412"/>
      <c r="AXS197" s="412"/>
      <c r="AXT197" s="412"/>
      <c r="AXU197" s="412"/>
      <c r="AXV197" s="412"/>
      <c r="AXW197" s="412"/>
      <c r="AXX197" s="412"/>
      <c r="AXY197" s="412"/>
      <c r="AXZ197" s="412"/>
      <c r="AYA197" s="412"/>
      <c r="AYB197" s="412"/>
      <c r="AYC197" s="412"/>
      <c r="AYD197" s="412"/>
      <c r="AYE197" s="412"/>
      <c r="AYF197" s="412"/>
      <c r="AYG197" s="412"/>
      <c r="AYH197" s="412"/>
      <c r="AYI197" s="412"/>
      <c r="AYJ197" s="412"/>
      <c r="AYK197" s="412"/>
      <c r="AYL197" s="412"/>
      <c r="AYM197" s="412"/>
      <c r="AYN197" s="412"/>
      <c r="AYO197" s="412"/>
      <c r="AYP197" s="412"/>
      <c r="AYQ197" s="412"/>
      <c r="AYR197" s="412"/>
      <c r="AYS197" s="412"/>
      <c r="AYT197" s="412"/>
      <c r="AYU197" s="412"/>
      <c r="AYV197" s="412"/>
      <c r="AYW197" s="412"/>
      <c r="AYX197" s="412"/>
      <c r="AYY197" s="412"/>
      <c r="AYZ197" s="412"/>
      <c r="AZA197" s="412"/>
      <c r="AZB197" s="412"/>
      <c r="AZC197" s="412"/>
      <c r="AZD197" s="412"/>
      <c r="AZE197" s="412"/>
      <c r="AZF197" s="412"/>
      <c r="AZG197" s="412"/>
      <c r="AZH197" s="412"/>
      <c r="AZI197" s="412"/>
      <c r="AZJ197" s="412"/>
      <c r="AZK197" s="412"/>
      <c r="AZL197" s="412"/>
      <c r="AZM197" s="412"/>
      <c r="AZN197" s="412"/>
      <c r="AZO197" s="412"/>
      <c r="AZP197" s="412"/>
      <c r="AZQ197" s="412"/>
      <c r="AZR197" s="412"/>
      <c r="AZS197" s="412"/>
      <c r="AZT197" s="412"/>
      <c r="AZU197" s="412"/>
      <c r="AZV197" s="412"/>
      <c r="AZW197" s="412"/>
      <c r="AZX197" s="412"/>
      <c r="AZY197" s="412"/>
      <c r="AZZ197" s="412"/>
      <c r="BAA197" s="412"/>
      <c r="BAB197" s="412"/>
      <c r="BAC197" s="412"/>
      <c r="BAD197" s="412"/>
      <c r="BAE197" s="412"/>
      <c r="BAF197" s="412"/>
      <c r="BAG197" s="412"/>
      <c r="BAH197" s="412"/>
      <c r="BAI197" s="412"/>
      <c r="BAJ197" s="412"/>
      <c r="BAK197" s="412"/>
      <c r="BAL197" s="412"/>
      <c r="BAM197" s="412"/>
      <c r="BAN197" s="412"/>
      <c r="BAO197" s="412"/>
      <c r="BAP197" s="412"/>
      <c r="BAQ197" s="412"/>
      <c r="BAR197" s="412"/>
      <c r="BAS197" s="412"/>
      <c r="BAT197" s="412"/>
      <c r="BAU197" s="412"/>
      <c r="BAV197" s="412"/>
      <c r="BAW197" s="412"/>
      <c r="BAX197" s="412"/>
      <c r="BAY197" s="412"/>
      <c r="BAZ197" s="412"/>
      <c r="BBA197" s="412"/>
      <c r="BBB197" s="412"/>
      <c r="BBC197" s="412"/>
      <c r="BBD197" s="412"/>
      <c r="BBE197" s="412"/>
      <c r="BBF197" s="412"/>
      <c r="BBG197" s="412"/>
      <c r="BBH197" s="412"/>
      <c r="BBI197" s="412"/>
      <c r="BBJ197" s="412"/>
      <c r="BBK197" s="412"/>
      <c r="BBL197" s="412"/>
      <c r="BBM197" s="412"/>
      <c r="BBN197" s="412"/>
      <c r="BBO197" s="412"/>
      <c r="BBP197" s="412"/>
      <c r="BBQ197" s="412"/>
      <c r="BBR197" s="412"/>
      <c r="BBS197" s="412"/>
      <c r="BBT197" s="412"/>
      <c r="BBU197" s="412"/>
      <c r="BBV197" s="412"/>
      <c r="BBW197" s="412"/>
      <c r="BBX197" s="412"/>
      <c r="BBY197" s="412"/>
      <c r="BBZ197" s="412"/>
      <c r="BCA197" s="412"/>
      <c r="BCB197" s="412"/>
      <c r="BCC197" s="412"/>
      <c r="BCD197" s="412"/>
      <c r="BCE197" s="412"/>
      <c r="BCF197" s="412"/>
      <c r="BCG197" s="412"/>
      <c r="BCH197" s="412"/>
      <c r="BCI197" s="412"/>
      <c r="BCJ197" s="412"/>
      <c r="BCK197" s="412"/>
      <c r="BCL197" s="412"/>
      <c r="BCM197" s="412"/>
      <c r="BCN197" s="412"/>
      <c r="BCO197" s="412"/>
      <c r="BCP197" s="412"/>
      <c r="BCQ197" s="412"/>
      <c r="BCR197" s="412"/>
      <c r="BCS197" s="412"/>
      <c r="BCT197" s="412"/>
      <c r="BCU197" s="412"/>
      <c r="BCV197" s="412"/>
      <c r="BCW197" s="412"/>
      <c r="BCX197" s="412"/>
      <c r="BCY197" s="412"/>
      <c r="BCZ197" s="412"/>
      <c r="BDA197" s="412"/>
      <c r="BDB197" s="412"/>
      <c r="BDC197" s="412"/>
      <c r="BDD197" s="412"/>
      <c r="BDE197" s="412"/>
      <c r="BDF197" s="412"/>
      <c r="BDG197" s="412"/>
      <c r="BDH197" s="412"/>
      <c r="BDI197" s="412"/>
      <c r="BDJ197" s="412"/>
      <c r="BDK197" s="412"/>
      <c r="BDL197" s="412"/>
      <c r="BDM197" s="412"/>
      <c r="BDN197" s="412"/>
      <c r="BDO197" s="412"/>
      <c r="BDP197" s="412"/>
      <c r="BDQ197" s="412"/>
      <c r="BDR197" s="412"/>
      <c r="BDS197" s="412"/>
      <c r="BDT197" s="412"/>
      <c r="BDU197" s="412"/>
      <c r="BDV197" s="412"/>
      <c r="BDW197" s="412"/>
      <c r="BDX197" s="412"/>
      <c r="BDY197" s="412"/>
      <c r="BDZ197" s="412"/>
      <c r="BEA197" s="412"/>
      <c r="BEB197" s="412"/>
      <c r="BEC197" s="412"/>
      <c r="BED197" s="412"/>
      <c r="BEE197" s="412"/>
      <c r="BEF197" s="412"/>
      <c r="BEG197" s="412"/>
      <c r="BEH197" s="412"/>
      <c r="BEI197" s="412"/>
      <c r="BEJ197" s="412"/>
      <c r="BEK197" s="412"/>
      <c r="BEL197" s="412"/>
      <c r="BEM197" s="412"/>
      <c r="BEN197" s="412"/>
      <c r="BEO197" s="412"/>
      <c r="BEP197" s="412"/>
      <c r="BEQ197" s="412"/>
      <c r="BER197" s="412"/>
      <c r="BES197" s="412"/>
      <c r="BET197" s="412"/>
      <c r="BEU197" s="412"/>
      <c r="BEV197" s="412"/>
      <c r="BEW197" s="412"/>
      <c r="BEX197" s="412"/>
      <c r="BEY197" s="412"/>
      <c r="BEZ197" s="412"/>
      <c r="BFA197" s="412"/>
      <c r="BFB197" s="412"/>
      <c r="BFC197" s="412"/>
      <c r="BFD197" s="412"/>
      <c r="BFE197" s="412"/>
      <c r="BFF197" s="412"/>
      <c r="BFG197" s="412"/>
      <c r="BFH197" s="412"/>
      <c r="BFI197" s="412"/>
      <c r="BFJ197" s="412"/>
      <c r="BFK197" s="412"/>
      <c r="BFL197" s="412"/>
      <c r="BFM197" s="412"/>
      <c r="BFN197" s="412"/>
      <c r="BFO197" s="412"/>
      <c r="BFP197" s="412"/>
      <c r="BFQ197" s="412"/>
      <c r="BFR197" s="412"/>
      <c r="BFS197" s="412"/>
      <c r="BFT197" s="412"/>
      <c r="BFU197" s="412"/>
      <c r="BFV197" s="412"/>
      <c r="BFW197" s="412"/>
      <c r="BFX197" s="412"/>
      <c r="BFY197" s="412"/>
      <c r="BFZ197" s="412"/>
      <c r="BGA197" s="412"/>
      <c r="BGB197" s="412"/>
      <c r="BGC197" s="412"/>
      <c r="BGD197" s="412"/>
      <c r="BGE197" s="412"/>
      <c r="BGF197" s="412"/>
      <c r="BGG197" s="412"/>
      <c r="BGH197" s="412"/>
      <c r="BGI197" s="412"/>
      <c r="BGJ197" s="412"/>
      <c r="BGK197" s="412"/>
      <c r="BGL197" s="412"/>
      <c r="BGM197" s="412"/>
      <c r="BGN197" s="412"/>
      <c r="BGO197" s="412"/>
      <c r="BGP197" s="412"/>
      <c r="BGQ197" s="412"/>
      <c r="BGR197" s="412"/>
      <c r="BGS197" s="412"/>
      <c r="BGT197" s="412"/>
      <c r="BGU197" s="412"/>
      <c r="BGV197" s="412"/>
      <c r="BGW197" s="412"/>
      <c r="BGX197" s="412"/>
      <c r="BGY197" s="412"/>
      <c r="BGZ197" s="412"/>
      <c r="BHA197" s="412"/>
      <c r="BHB197" s="412"/>
      <c r="BHC197" s="412"/>
      <c r="BHD197" s="412"/>
      <c r="BHE197" s="412"/>
      <c r="BHF197" s="412"/>
      <c r="BHG197" s="412"/>
      <c r="BHH197" s="412"/>
      <c r="BHI197" s="412"/>
      <c r="BHJ197" s="412"/>
      <c r="BHK197" s="412"/>
      <c r="BHL197" s="412"/>
      <c r="BHM197" s="412"/>
      <c r="BHN197" s="412"/>
      <c r="BHO197" s="412"/>
      <c r="BHP197" s="412"/>
      <c r="BHQ197" s="412"/>
      <c r="BHR197" s="412"/>
      <c r="BHS197" s="412"/>
      <c r="BHT197" s="412"/>
      <c r="BHU197" s="412"/>
      <c r="BHV197" s="412"/>
      <c r="BHW197" s="412"/>
      <c r="BHX197" s="412"/>
      <c r="BHY197" s="412"/>
      <c r="BHZ197" s="412"/>
      <c r="BIA197" s="412"/>
      <c r="BIB197" s="412"/>
      <c r="BIC197" s="412"/>
      <c r="BID197" s="412"/>
      <c r="BIE197" s="412"/>
      <c r="BIF197" s="412"/>
      <c r="BIG197" s="412"/>
      <c r="BIH197" s="412"/>
      <c r="BII197" s="412"/>
      <c r="BIJ197" s="412"/>
      <c r="BIK197" s="412"/>
      <c r="BIL197" s="412"/>
      <c r="BIM197" s="412"/>
      <c r="BIN197" s="412"/>
      <c r="BIO197" s="412"/>
      <c r="BIP197" s="412"/>
      <c r="BIQ197" s="412"/>
      <c r="BIR197" s="412"/>
      <c r="BIS197" s="412"/>
      <c r="BIT197" s="412"/>
      <c r="BIU197" s="412"/>
      <c r="BIV197" s="412"/>
      <c r="BIW197" s="412"/>
      <c r="BIX197" s="412"/>
      <c r="BIY197" s="412"/>
      <c r="BIZ197" s="412"/>
      <c r="BJA197" s="412"/>
      <c r="BJB197" s="412"/>
      <c r="BJC197" s="412"/>
      <c r="BJD197" s="412"/>
      <c r="BJE197" s="412"/>
      <c r="BJF197" s="412"/>
      <c r="BJG197" s="412"/>
      <c r="BJH197" s="412"/>
      <c r="BJI197" s="412"/>
      <c r="BJJ197" s="412"/>
      <c r="BJK197" s="412"/>
      <c r="BJL197" s="412"/>
      <c r="BJM197" s="412"/>
      <c r="BJN197" s="412"/>
      <c r="BJO197" s="412"/>
      <c r="BJP197" s="412"/>
      <c r="BJQ197" s="412"/>
      <c r="BJR197" s="412"/>
      <c r="BJS197" s="412"/>
      <c r="BJT197" s="412"/>
      <c r="BJU197" s="412"/>
      <c r="BJV197" s="412"/>
      <c r="BJW197" s="412"/>
      <c r="BJX197" s="412"/>
      <c r="BJY197" s="412"/>
      <c r="BJZ197" s="412"/>
      <c r="BKA197" s="412"/>
      <c r="BKB197" s="412"/>
      <c r="BKC197" s="412"/>
      <c r="BKD197" s="412"/>
      <c r="BKE197" s="412"/>
      <c r="BKF197" s="412"/>
      <c r="BKG197" s="412"/>
      <c r="BKH197" s="412"/>
      <c r="BKI197" s="412"/>
      <c r="BKJ197" s="412"/>
      <c r="BKK197" s="412"/>
      <c r="BKL197" s="412"/>
      <c r="BKM197" s="412"/>
      <c r="BKN197" s="412"/>
      <c r="BKO197" s="412"/>
      <c r="BKP197" s="412"/>
      <c r="BKQ197" s="412"/>
      <c r="BKR197" s="412"/>
      <c r="BKS197" s="412"/>
      <c r="BKT197" s="412"/>
      <c r="BKU197" s="412"/>
      <c r="BKV197" s="412"/>
      <c r="BKW197" s="412"/>
      <c r="BKX197" s="412"/>
      <c r="BKY197" s="412"/>
      <c r="BKZ197" s="412"/>
      <c r="BLA197" s="412"/>
      <c r="BLB197" s="412"/>
      <c r="BLC197" s="412"/>
      <c r="BLD197" s="412"/>
      <c r="BLE197" s="412"/>
      <c r="BLF197" s="412"/>
      <c r="BLG197" s="412"/>
      <c r="BLH197" s="412"/>
      <c r="BLI197" s="412"/>
      <c r="BLJ197" s="412"/>
      <c r="BLK197" s="412"/>
      <c r="BLL197" s="412"/>
      <c r="BLM197" s="412"/>
      <c r="BLN197" s="412"/>
      <c r="BLO197" s="412"/>
      <c r="BLP197" s="412"/>
      <c r="BLQ197" s="412"/>
      <c r="BLR197" s="412"/>
      <c r="BLS197" s="412"/>
      <c r="BLT197" s="412"/>
      <c r="BLU197" s="412"/>
      <c r="BLV197" s="412"/>
      <c r="BLW197" s="412"/>
      <c r="BLX197" s="412"/>
      <c r="BLY197" s="412"/>
      <c r="BLZ197" s="412"/>
      <c r="BMA197" s="412"/>
      <c r="BMB197" s="412"/>
      <c r="BMC197" s="412"/>
      <c r="BMD197" s="412"/>
      <c r="BME197" s="412"/>
      <c r="BMF197" s="412"/>
      <c r="BMG197" s="412"/>
      <c r="BMH197" s="412"/>
      <c r="BMI197" s="412"/>
      <c r="BMJ197" s="412"/>
      <c r="BMK197" s="412"/>
      <c r="BML197" s="412"/>
      <c r="BMM197" s="412"/>
      <c r="BMN197" s="412"/>
      <c r="BMO197" s="412"/>
      <c r="BMP197" s="412"/>
      <c r="BMQ197" s="412"/>
      <c r="BMR197" s="412"/>
      <c r="BMS197" s="412"/>
      <c r="BMT197" s="412"/>
      <c r="BMU197" s="412"/>
      <c r="BMV197" s="412"/>
      <c r="BMW197" s="412"/>
      <c r="BMX197" s="412"/>
      <c r="BMY197" s="412"/>
      <c r="BMZ197" s="412"/>
      <c r="BNA197" s="412"/>
      <c r="BNB197" s="412"/>
      <c r="BNC197" s="412"/>
      <c r="BND197" s="412"/>
      <c r="BNE197" s="412"/>
      <c r="BNF197" s="412"/>
      <c r="BNG197" s="412"/>
      <c r="BNH197" s="412"/>
      <c r="BNI197" s="412"/>
      <c r="BNJ197" s="412"/>
      <c r="BNK197" s="412"/>
      <c r="BNL197" s="412"/>
      <c r="BNM197" s="412"/>
      <c r="BNN197" s="412"/>
      <c r="BNO197" s="412"/>
      <c r="BNP197" s="412"/>
      <c r="BNQ197" s="412"/>
      <c r="BNR197" s="412"/>
      <c r="BNS197" s="412"/>
      <c r="BNT197" s="412"/>
      <c r="BNU197" s="412"/>
      <c r="BNV197" s="412"/>
      <c r="BNW197" s="412"/>
      <c r="BNX197" s="412"/>
      <c r="BNY197" s="412"/>
      <c r="BNZ197" s="412"/>
      <c r="BOA197" s="412"/>
      <c r="BOB197" s="412"/>
      <c r="BOC197" s="412"/>
      <c r="BOD197" s="412"/>
      <c r="BOE197" s="412"/>
      <c r="BOF197" s="412"/>
      <c r="BOG197" s="412"/>
      <c r="BOH197" s="412"/>
      <c r="BOI197" s="412"/>
      <c r="BOJ197" s="412"/>
      <c r="BOK197" s="412"/>
      <c r="BOL197" s="412"/>
      <c r="BOM197" s="412"/>
      <c r="BON197" s="412"/>
      <c r="BOO197" s="412"/>
      <c r="BOP197" s="412"/>
      <c r="BOQ197" s="412"/>
      <c r="BOR197" s="412"/>
      <c r="BOS197" s="412"/>
      <c r="BOT197" s="412"/>
      <c r="BOU197" s="412"/>
      <c r="BOV197" s="412"/>
      <c r="BOW197" s="412"/>
      <c r="BOX197" s="412"/>
      <c r="BOY197" s="412"/>
      <c r="BOZ197" s="412"/>
      <c r="BPA197" s="412"/>
      <c r="BPB197" s="412"/>
      <c r="BPC197" s="412"/>
      <c r="BPD197" s="412"/>
      <c r="BPE197" s="412"/>
      <c r="BPF197" s="412"/>
      <c r="BPG197" s="412"/>
      <c r="BPH197" s="412"/>
      <c r="BPI197" s="412"/>
      <c r="BPJ197" s="412"/>
      <c r="BPK197" s="412"/>
      <c r="BPL197" s="412"/>
      <c r="BPM197" s="412"/>
      <c r="BPN197" s="412"/>
      <c r="BPO197" s="412"/>
      <c r="BPP197" s="412"/>
      <c r="BPQ197" s="412"/>
      <c r="BPR197" s="412"/>
      <c r="BPS197" s="412"/>
      <c r="BPT197" s="412"/>
      <c r="BPU197" s="412"/>
      <c r="BPV197" s="412"/>
      <c r="BPW197" s="412"/>
      <c r="BPX197" s="412"/>
      <c r="BPY197" s="412"/>
      <c r="BPZ197" s="412"/>
      <c r="BQA197" s="412"/>
      <c r="BQB197" s="412"/>
      <c r="BQC197" s="412"/>
      <c r="BQD197" s="412"/>
      <c r="BQE197" s="412"/>
      <c r="BQF197" s="412"/>
      <c r="BQG197" s="412"/>
      <c r="BQH197" s="412"/>
      <c r="BQI197" s="412"/>
      <c r="BQJ197" s="412"/>
      <c r="BQK197" s="412"/>
      <c r="BQL197" s="412"/>
      <c r="BQM197" s="412"/>
      <c r="BQN197" s="412"/>
      <c r="BQO197" s="412"/>
      <c r="BQP197" s="412"/>
      <c r="BQQ197" s="412"/>
      <c r="BQR197" s="412"/>
      <c r="BQS197" s="412"/>
      <c r="BQT197" s="412"/>
      <c r="BQU197" s="412"/>
      <c r="BQV197" s="412"/>
      <c r="BQW197" s="412"/>
      <c r="BQX197" s="412"/>
      <c r="BQY197" s="412"/>
      <c r="BQZ197" s="412"/>
      <c r="BRA197" s="412"/>
      <c r="BRB197" s="412"/>
      <c r="BRC197" s="412"/>
      <c r="BRD197" s="412"/>
      <c r="BRE197" s="412"/>
      <c r="BRF197" s="412"/>
      <c r="BRG197" s="412"/>
      <c r="BRH197" s="412"/>
      <c r="BRI197" s="412"/>
      <c r="BRJ197" s="412"/>
      <c r="BRK197" s="412"/>
      <c r="BRL197" s="412"/>
      <c r="BRM197" s="412"/>
      <c r="BRN197" s="412"/>
      <c r="BRO197" s="412"/>
      <c r="BRP197" s="412"/>
      <c r="BRQ197" s="412"/>
      <c r="BRR197" s="412"/>
      <c r="BRS197" s="412"/>
      <c r="BRT197" s="412"/>
      <c r="BRU197" s="412"/>
      <c r="BRV197" s="412"/>
      <c r="BRW197" s="412"/>
      <c r="BRX197" s="412"/>
      <c r="BRY197" s="412"/>
      <c r="BRZ197" s="412"/>
      <c r="BSA197" s="412"/>
      <c r="BSB197" s="412"/>
      <c r="BSC197" s="412"/>
      <c r="BSD197" s="412"/>
      <c r="BSE197" s="412"/>
      <c r="BSF197" s="412"/>
      <c r="BSG197" s="412"/>
      <c r="BSH197" s="412"/>
      <c r="BSI197" s="412"/>
      <c r="BSJ197" s="412"/>
      <c r="BSK197" s="412"/>
      <c r="BSL197" s="412"/>
      <c r="BSM197" s="412"/>
      <c r="BSN197" s="412"/>
      <c r="BSO197" s="412"/>
      <c r="BSP197" s="412"/>
      <c r="BSQ197" s="412"/>
      <c r="BSR197" s="412"/>
      <c r="BSS197" s="412"/>
      <c r="BST197" s="412"/>
      <c r="BSU197" s="412"/>
      <c r="BSV197" s="412"/>
      <c r="BSW197" s="412"/>
      <c r="BSX197" s="412"/>
      <c r="BSY197" s="412"/>
      <c r="BSZ197" s="412"/>
      <c r="BTA197" s="412"/>
      <c r="BTB197" s="412"/>
      <c r="BTC197" s="412"/>
      <c r="BTD197" s="412"/>
      <c r="BTE197" s="412"/>
      <c r="BTF197" s="412"/>
      <c r="BTG197" s="412"/>
      <c r="BTH197" s="412"/>
      <c r="BTI197" s="412"/>
    </row>
    <row r="198" spans="1:1881" s="320" customFormat="1" ht="55.5" customHeight="1" x14ac:dyDescent="0.25">
      <c r="A198" s="189">
        <v>356</v>
      </c>
      <c r="B198" s="151" t="s">
        <v>73</v>
      </c>
      <c r="C198" s="183" t="s">
        <v>237</v>
      </c>
      <c r="D198" s="175" t="s">
        <v>22</v>
      </c>
      <c r="E198" s="32" t="e">
        <f>HLOOKUP($D$2,'2019 Data(H)'!$C$1:$CG$300,118,FALSE)</f>
        <v>#N/A</v>
      </c>
      <c r="F198" s="609"/>
      <c r="G198" s="319"/>
      <c r="H198" s="13"/>
      <c r="I198" s="298"/>
      <c r="J198" s="412"/>
      <c r="K198" s="412"/>
      <c r="L198" s="412"/>
      <c r="M198" s="412"/>
      <c r="N198"/>
      <c r="O198" s="412"/>
      <c r="P198" s="412"/>
      <c r="Q198" s="412"/>
      <c r="R198" s="412"/>
      <c r="S198" s="412"/>
      <c r="T198" s="412"/>
      <c r="U198" s="412"/>
      <c r="V198" s="412"/>
      <c r="W198" s="412"/>
      <c r="X198" s="412"/>
      <c r="Y198" s="412"/>
      <c r="Z198" s="412"/>
      <c r="AA198" s="412"/>
      <c r="AB198" s="412"/>
      <c r="AC198" s="412"/>
      <c r="AD198" s="412"/>
      <c r="AE198" s="412"/>
      <c r="AF198" s="412"/>
      <c r="AG198" s="412"/>
      <c r="AH198" s="412"/>
      <c r="AI198" s="412"/>
      <c r="AJ198" s="412"/>
      <c r="AK198" s="412"/>
      <c r="AL198" s="412"/>
      <c r="AM198" s="412"/>
      <c r="AN198" s="412"/>
      <c r="AO198" s="412"/>
      <c r="AP198" s="412"/>
      <c r="AQ198" s="412"/>
      <c r="AR198" s="412"/>
      <c r="AS198" s="412"/>
      <c r="AT198" s="412"/>
      <c r="AU198" s="412"/>
      <c r="AV198" s="412"/>
      <c r="AW198" s="412"/>
      <c r="AX198" s="412"/>
      <c r="AY198" s="412"/>
      <c r="AZ198" s="412"/>
      <c r="BA198" s="412"/>
      <c r="BB198" s="412"/>
      <c r="BC198" s="412"/>
      <c r="BD198" s="412"/>
      <c r="BE198" s="412"/>
      <c r="BF198" s="412"/>
      <c r="BG198" s="412"/>
      <c r="BH198" s="412"/>
      <c r="BI198" s="412"/>
      <c r="BJ198" s="412"/>
      <c r="BK198" s="412"/>
      <c r="BL198" s="412"/>
      <c r="BM198" s="412"/>
      <c r="BN198" s="412"/>
      <c r="BO198" s="412"/>
      <c r="BP198" s="412"/>
      <c r="BQ198" s="412"/>
      <c r="BR198" s="412"/>
      <c r="BS198" s="412"/>
      <c r="BT198" s="412"/>
      <c r="BU198" s="412"/>
      <c r="BV198" s="412"/>
      <c r="BW198" s="412"/>
      <c r="BX198" s="412"/>
      <c r="BY198" s="412"/>
      <c r="BZ198" s="412"/>
      <c r="CA198" s="412"/>
      <c r="CB198" s="412"/>
      <c r="CC198" s="412"/>
      <c r="CD198" s="412"/>
      <c r="CE198" s="412"/>
      <c r="CF198" s="412"/>
      <c r="CG198" s="412"/>
      <c r="CH198" s="412"/>
      <c r="CI198" s="412"/>
      <c r="CJ198" s="412"/>
      <c r="CK198" s="412"/>
      <c r="CL198" s="412"/>
      <c r="CM198" s="412"/>
      <c r="CN198" s="412"/>
      <c r="CO198" s="412"/>
      <c r="CP198" s="412"/>
      <c r="CQ198" s="412"/>
      <c r="CR198" s="412"/>
      <c r="CS198" s="412"/>
      <c r="CT198" s="412"/>
      <c r="CU198" s="412"/>
      <c r="CV198" s="412"/>
      <c r="CW198" s="412"/>
      <c r="CX198" s="412"/>
      <c r="CY198" s="412"/>
      <c r="CZ198" s="412"/>
      <c r="DA198" s="412"/>
      <c r="DB198" s="412"/>
      <c r="DC198" s="412"/>
      <c r="DD198" s="412"/>
      <c r="DE198" s="412"/>
      <c r="DF198" s="412"/>
      <c r="DG198" s="412"/>
      <c r="DH198" s="412"/>
      <c r="DI198" s="412"/>
      <c r="DJ198" s="412"/>
      <c r="DK198" s="412"/>
      <c r="DL198" s="412"/>
      <c r="DM198" s="412"/>
      <c r="DN198" s="412"/>
      <c r="DO198" s="412"/>
      <c r="DP198" s="412"/>
      <c r="DQ198" s="412"/>
      <c r="DR198" s="412"/>
      <c r="DS198" s="412"/>
      <c r="DT198" s="412"/>
      <c r="DU198" s="412"/>
      <c r="DV198" s="412"/>
      <c r="DW198" s="412"/>
      <c r="DX198" s="412"/>
      <c r="DY198" s="412"/>
      <c r="DZ198" s="412"/>
      <c r="EA198" s="412"/>
      <c r="EB198" s="412"/>
      <c r="EC198" s="412"/>
      <c r="ED198" s="412"/>
      <c r="EE198" s="412"/>
      <c r="EF198" s="412"/>
      <c r="EG198" s="412"/>
      <c r="EH198" s="412"/>
      <c r="EI198" s="412"/>
      <c r="EJ198" s="412"/>
      <c r="EK198" s="412"/>
      <c r="EL198" s="412"/>
      <c r="EM198" s="412"/>
      <c r="EN198" s="412"/>
      <c r="EO198" s="412"/>
      <c r="EP198" s="412"/>
      <c r="EQ198" s="412"/>
      <c r="ER198" s="412"/>
      <c r="ES198" s="412"/>
      <c r="ET198" s="412"/>
      <c r="EU198" s="412"/>
      <c r="EV198" s="412"/>
      <c r="EW198" s="412"/>
      <c r="EX198" s="412"/>
      <c r="EY198" s="412"/>
      <c r="EZ198" s="412"/>
      <c r="FA198" s="412"/>
      <c r="FB198" s="412"/>
      <c r="FC198" s="412"/>
      <c r="FD198" s="412"/>
      <c r="FE198" s="412"/>
      <c r="FF198" s="412"/>
      <c r="FG198" s="412"/>
      <c r="FH198" s="412"/>
      <c r="FI198" s="412"/>
      <c r="FJ198" s="412"/>
      <c r="FK198" s="412"/>
      <c r="FL198" s="412"/>
      <c r="FM198" s="412"/>
      <c r="FN198" s="412"/>
      <c r="FO198" s="412"/>
      <c r="FP198" s="412"/>
      <c r="FQ198" s="412"/>
      <c r="FR198" s="412"/>
      <c r="FS198" s="412"/>
      <c r="FT198" s="412"/>
      <c r="FU198" s="412"/>
      <c r="FV198" s="412"/>
      <c r="FW198" s="412"/>
      <c r="FX198" s="412"/>
      <c r="FY198" s="412"/>
      <c r="FZ198" s="412"/>
      <c r="GA198" s="412"/>
      <c r="GB198" s="412"/>
      <c r="GC198" s="412"/>
      <c r="GD198" s="412"/>
      <c r="GE198" s="412"/>
      <c r="GF198" s="412"/>
      <c r="GG198" s="412"/>
      <c r="GH198" s="412"/>
      <c r="GI198" s="412"/>
      <c r="GJ198" s="412"/>
      <c r="GK198" s="412"/>
      <c r="GL198" s="412"/>
      <c r="GM198" s="412"/>
      <c r="GN198" s="412"/>
      <c r="GO198" s="412"/>
      <c r="GP198" s="412"/>
      <c r="GQ198" s="412"/>
      <c r="GR198" s="412"/>
      <c r="GS198" s="412"/>
      <c r="GT198" s="412"/>
      <c r="GU198" s="412"/>
      <c r="GV198" s="412"/>
      <c r="GW198" s="412"/>
      <c r="GX198" s="412"/>
      <c r="GY198" s="412"/>
      <c r="GZ198" s="412"/>
      <c r="HA198" s="412"/>
      <c r="HB198" s="412"/>
      <c r="HC198" s="412"/>
      <c r="HD198" s="412"/>
      <c r="HE198" s="412"/>
      <c r="HF198" s="412"/>
      <c r="HG198" s="412"/>
      <c r="HH198" s="412"/>
      <c r="HI198" s="412"/>
      <c r="HJ198" s="412"/>
      <c r="HK198" s="412"/>
      <c r="HL198" s="412"/>
      <c r="HM198" s="412"/>
      <c r="HN198" s="412"/>
      <c r="HO198" s="412"/>
      <c r="HP198" s="412"/>
      <c r="HQ198" s="412"/>
      <c r="HR198" s="412"/>
      <c r="HS198" s="412"/>
      <c r="HT198" s="412"/>
      <c r="HU198" s="412"/>
      <c r="HV198" s="412"/>
      <c r="HW198" s="412"/>
      <c r="HX198" s="412"/>
      <c r="HY198" s="412"/>
      <c r="HZ198" s="412"/>
      <c r="IA198" s="412"/>
      <c r="IB198" s="412"/>
      <c r="IC198" s="412"/>
      <c r="ID198" s="412"/>
      <c r="IE198" s="412"/>
      <c r="IF198" s="412"/>
      <c r="IG198" s="412"/>
      <c r="IH198" s="412"/>
      <c r="II198" s="412"/>
      <c r="IJ198" s="412"/>
      <c r="IK198" s="412"/>
      <c r="IL198" s="412"/>
      <c r="IM198" s="412"/>
      <c r="IN198" s="412"/>
      <c r="IO198" s="412"/>
      <c r="IP198" s="412"/>
      <c r="IQ198" s="412"/>
      <c r="IR198" s="412"/>
      <c r="IS198" s="412"/>
      <c r="IT198" s="412"/>
      <c r="IU198" s="412"/>
      <c r="IV198" s="412"/>
      <c r="IW198" s="412"/>
      <c r="IX198" s="412"/>
      <c r="IY198" s="412"/>
      <c r="IZ198" s="412"/>
      <c r="JA198" s="412"/>
      <c r="JB198" s="412"/>
      <c r="JC198" s="412"/>
      <c r="JD198" s="412"/>
      <c r="JE198" s="412"/>
      <c r="JF198" s="412"/>
      <c r="JG198" s="412"/>
      <c r="JH198" s="412"/>
      <c r="JI198" s="412"/>
      <c r="JJ198" s="412"/>
      <c r="JK198" s="412"/>
      <c r="JL198" s="412"/>
      <c r="JM198" s="412"/>
      <c r="JN198" s="412"/>
      <c r="JO198" s="412"/>
      <c r="JP198" s="412"/>
      <c r="JQ198" s="412"/>
      <c r="JR198" s="412"/>
      <c r="JS198" s="412"/>
      <c r="JT198" s="412"/>
      <c r="JU198" s="412"/>
      <c r="JV198" s="412"/>
      <c r="JW198" s="412"/>
      <c r="JX198" s="412"/>
      <c r="JY198" s="412"/>
      <c r="JZ198" s="412"/>
      <c r="KA198" s="412"/>
      <c r="KB198" s="412"/>
      <c r="KC198" s="412"/>
      <c r="KD198" s="412"/>
      <c r="KE198" s="412"/>
      <c r="KF198" s="412"/>
      <c r="KG198" s="412"/>
      <c r="KH198" s="412"/>
      <c r="KI198" s="412"/>
      <c r="KJ198" s="412"/>
      <c r="KK198" s="412"/>
      <c r="KL198" s="412"/>
      <c r="KM198" s="412"/>
      <c r="KN198" s="412"/>
      <c r="KO198" s="412"/>
      <c r="KP198" s="412"/>
      <c r="KQ198" s="412"/>
      <c r="KR198" s="412"/>
      <c r="KS198" s="412"/>
      <c r="KT198" s="412"/>
      <c r="KU198" s="412"/>
      <c r="KV198" s="412"/>
      <c r="KW198" s="412"/>
      <c r="KX198" s="412"/>
      <c r="KY198" s="412"/>
      <c r="KZ198" s="412"/>
      <c r="LA198" s="412"/>
      <c r="LB198" s="412"/>
      <c r="LC198" s="412"/>
      <c r="LD198" s="412"/>
      <c r="LE198" s="412"/>
      <c r="LF198" s="412"/>
      <c r="LG198" s="412"/>
      <c r="LH198" s="412"/>
      <c r="LI198" s="412"/>
      <c r="LJ198" s="412"/>
      <c r="LK198" s="412"/>
      <c r="LL198" s="412"/>
      <c r="LM198" s="412"/>
      <c r="LN198" s="412"/>
      <c r="LO198" s="412"/>
      <c r="LP198" s="412"/>
      <c r="LQ198" s="412"/>
      <c r="LR198" s="412"/>
      <c r="LS198" s="412"/>
      <c r="LT198" s="412"/>
      <c r="LU198" s="412"/>
      <c r="LV198" s="412"/>
      <c r="LW198" s="412"/>
      <c r="LX198" s="412"/>
      <c r="LY198" s="412"/>
      <c r="LZ198" s="412"/>
      <c r="MA198" s="412"/>
      <c r="MB198" s="412"/>
      <c r="MC198" s="412"/>
      <c r="MD198" s="412"/>
      <c r="ME198" s="412"/>
      <c r="MF198" s="412"/>
      <c r="MG198" s="412"/>
      <c r="MH198" s="412"/>
      <c r="MI198" s="412"/>
      <c r="MJ198" s="412"/>
      <c r="MK198" s="412"/>
      <c r="ML198" s="412"/>
      <c r="MM198" s="412"/>
      <c r="MN198" s="412"/>
      <c r="MO198" s="412"/>
      <c r="MP198" s="412"/>
      <c r="MQ198" s="412"/>
      <c r="MR198" s="412"/>
      <c r="MS198" s="412"/>
      <c r="MT198" s="412"/>
      <c r="MU198" s="412"/>
      <c r="MV198" s="412"/>
      <c r="MW198" s="412"/>
      <c r="MX198" s="412"/>
      <c r="MY198" s="412"/>
      <c r="MZ198" s="412"/>
      <c r="NA198" s="412"/>
      <c r="NB198" s="412"/>
      <c r="NC198" s="412"/>
      <c r="ND198" s="412"/>
      <c r="NE198" s="412"/>
      <c r="NF198" s="412"/>
      <c r="NG198" s="412"/>
      <c r="NH198" s="412"/>
      <c r="NI198" s="412"/>
      <c r="NJ198" s="412"/>
      <c r="NK198" s="412"/>
      <c r="NL198" s="412"/>
      <c r="NM198" s="412"/>
      <c r="NN198" s="412"/>
      <c r="NO198" s="412"/>
      <c r="NP198" s="412"/>
      <c r="NQ198" s="412"/>
      <c r="NR198" s="412"/>
      <c r="NS198" s="412"/>
      <c r="NT198" s="412"/>
      <c r="NU198" s="412"/>
      <c r="NV198" s="412"/>
      <c r="NW198" s="412"/>
      <c r="NX198" s="412"/>
      <c r="NY198" s="412"/>
      <c r="NZ198" s="412"/>
      <c r="OA198" s="412"/>
      <c r="OB198" s="412"/>
      <c r="OC198" s="412"/>
      <c r="OD198" s="412"/>
      <c r="OE198" s="412"/>
      <c r="OF198" s="412"/>
      <c r="OG198" s="412"/>
      <c r="OH198" s="412"/>
      <c r="OI198" s="412"/>
      <c r="OJ198" s="412"/>
      <c r="OK198" s="412"/>
      <c r="OL198" s="412"/>
      <c r="OM198" s="412"/>
      <c r="ON198" s="412"/>
      <c r="OO198" s="412"/>
      <c r="OP198" s="412"/>
      <c r="OQ198" s="412"/>
      <c r="OR198" s="412"/>
      <c r="OS198" s="412"/>
      <c r="OT198" s="412"/>
      <c r="OU198" s="412"/>
      <c r="OV198" s="412"/>
      <c r="OW198" s="412"/>
      <c r="OX198" s="412"/>
      <c r="OY198" s="412"/>
      <c r="OZ198" s="412"/>
      <c r="PA198" s="412"/>
      <c r="PB198" s="412"/>
      <c r="PC198" s="412"/>
      <c r="PD198" s="412"/>
      <c r="PE198" s="412"/>
      <c r="PF198" s="412"/>
      <c r="PG198" s="412"/>
      <c r="PH198" s="412"/>
      <c r="PI198" s="412"/>
      <c r="PJ198" s="412"/>
      <c r="PK198" s="412"/>
      <c r="PL198" s="412"/>
      <c r="PM198" s="412"/>
      <c r="PN198" s="412"/>
      <c r="PO198" s="412"/>
      <c r="PP198" s="412"/>
      <c r="PQ198" s="412"/>
      <c r="PR198" s="412"/>
      <c r="PS198" s="412"/>
      <c r="PT198" s="412"/>
      <c r="PU198" s="412"/>
      <c r="PV198" s="412"/>
      <c r="PW198" s="412"/>
      <c r="PX198" s="412"/>
      <c r="PY198" s="412"/>
      <c r="PZ198" s="412"/>
      <c r="QA198" s="412"/>
      <c r="QB198" s="412"/>
      <c r="QC198" s="412"/>
      <c r="QD198" s="412"/>
      <c r="QE198" s="412"/>
      <c r="QF198" s="412"/>
      <c r="QG198" s="412"/>
      <c r="QH198" s="412"/>
      <c r="QI198" s="412"/>
      <c r="QJ198" s="412"/>
      <c r="QK198" s="412"/>
      <c r="QL198" s="412"/>
      <c r="QM198" s="412"/>
      <c r="QN198" s="412"/>
      <c r="QO198" s="412"/>
      <c r="QP198" s="412"/>
      <c r="QQ198" s="412"/>
      <c r="QR198" s="412"/>
      <c r="QS198" s="412"/>
      <c r="QT198" s="412"/>
      <c r="QU198" s="412"/>
      <c r="QV198" s="412"/>
      <c r="QW198" s="412"/>
      <c r="QX198" s="412"/>
      <c r="QY198" s="412"/>
      <c r="QZ198" s="412"/>
      <c r="RA198" s="412"/>
      <c r="RB198" s="412"/>
      <c r="RC198" s="412"/>
      <c r="RD198" s="412"/>
      <c r="RE198" s="412"/>
      <c r="RF198" s="412"/>
      <c r="RG198" s="412"/>
      <c r="RH198" s="412"/>
      <c r="RI198" s="412"/>
      <c r="RJ198" s="412"/>
      <c r="RK198" s="412"/>
      <c r="RL198" s="412"/>
      <c r="RM198" s="412"/>
      <c r="RN198" s="412"/>
      <c r="RO198" s="412"/>
      <c r="RP198" s="412"/>
      <c r="RQ198" s="412"/>
      <c r="RR198" s="412"/>
      <c r="RS198" s="412"/>
      <c r="RT198" s="412"/>
      <c r="RU198" s="412"/>
      <c r="RV198" s="412"/>
      <c r="RW198" s="412"/>
      <c r="RX198" s="412"/>
      <c r="RY198" s="412"/>
      <c r="RZ198" s="412"/>
      <c r="SA198" s="412"/>
      <c r="SB198" s="412"/>
      <c r="SC198" s="412"/>
      <c r="SD198" s="412"/>
      <c r="SE198" s="412"/>
      <c r="SF198" s="412"/>
      <c r="SG198" s="412"/>
      <c r="SH198" s="412"/>
      <c r="SI198" s="412"/>
      <c r="SJ198" s="412"/>
      <c r="SK198" s="412"/>
      <c r="SL198" s="412"/>
      <c r="SM198" s="412"/>
      <c r="SN198" s="412"/>
      <c r="SO198" s="412"/>
      <c r="SP198" s="412"/>
      <c r="SQ198" s="412"/>
      <c r="SR198" s="412"/>
      <c r="SS198" s="412"/>
      <c r="ST198" s="412"/>
      <c r="SU198" s="412"/>
      <c r="SV198" s="412"/>
      <c r="SW198" s="412"/>
      <c r="SX198" s="412"/>
      <c r="SY198" s="412"/>
      <c r="SZ198" s="412"/>
      <c r="TA198" s="412"/>
      <c r="TB198" s="412"/>
      <c r="TC198" s="412"/>
      <c r="TD198" s="412"/>
      <c r="TE198" s="412"/>
      <c r="TF198" s="412"/>
      <c r="TG198" s="412"/>
      <c r="TH198" s="412"/>
      <c r="TI198" s="412"/>
      <c r="TJ198" s="412"/>
      <c r="TK198" s="412"/>
      <c r="TL198" s="412"/>
      <c r="TM198" s="412"/>
      <c r="TN198" s="412"/>
      <c r="TO198" s="412"/>
      <c r="TP198" s="412"/>
      <c r="TQ198" s="412"/>
      <c r="TR198" s="412"/>
      <c r="TS198" s="412"/>
      <c r="TT198" s="412"/>
      <c r="TU198" s="412"/>
      <c r="TV198" s="412"/>
      <c r="TW198" s="412"/>
      <c r="TX198" s="412"/>
      <c r="TY198" s="412"/>
      <c r="TZ198" s="412"/>
      <c r="UA198" s="412"/>
      <c r="UB198" s="412"/>
      <c r="UC198" s="412"/>
      <c r="UD198" s="412"/>
      <c r="UE198" s="412"/>
      <c r="UF198" s="412"/>
      <c r="UG198" s="412"/>
      <c r="UH198" s="412"/>
      <c r="UI198" s="412"/>
      <c r="UJ198" s="412"/>
      <c r="UK198" s="412"/>
      <c r="UL198" s="412"/>
      <c r="UM198" s="412"/>
      <c r="UN198" s="412"/>
      <c r="UO198" s="412"/>
      <c r="UP198" s="412"/>
      <c r="UQ198" s="412"/>
      <c r="UR198" s="412"/>
      <c r="US198" s="412"/>
      <c r="UT198" s="412"/>
      <c r="UU198" s="412"/>
      <c r="UV198" s="412"/>
      <c r="UW198" s="412"/>
      <c r="UX198" s="412"/>
      <c r="UY198" s="412"/>
      <c r="UZ198" s="412"/>
      <c r="VA198" s="412"/>
      <c r="VB198" s="412"/>
      <c r="VC198" s="412"/>
      <c r="VD198" s="412"/>
      <c r="VE198" s="412"/>
      <c r="VF198" s="412"/>
      <c r="VG198" s="412"/>
      <c r="VH198" s="412"/>
      <c r="VI198" s="412"/>
      <c r="VJ198" s="412"/>
      <c r="VK198" s="412"/>
      <c r="VL198" s="412"/>
      <c r="VM198" s="412"/>
      <c r="VN198" s="412"/>
      <c r="VO198" s="412"/>
      <c r="VP198" s="412"/>
      <c r="VQ198" s="412"/>
      <c r="VR198" s="412"/>
      <c r="VS198" s="412"/>
      <c r="VT198" s="412"/>
      <c r="VU198" s="412"/>
      <c r="VV198" s="412"/>
      <c r="VW198" s="412"/>
      <c r="VX198" s="412"/>
      <c r="VY198" s="412"/>
      <c r="VZ198" s="412"/>
      <c r="WA198" s="412"/>
      <c r="WB198" s="412"/>
      <c r="WC198" s="412"/>
      <c r="WD198" s="412"/>
      <c r="WE198" s="412"/>
      <c r="WF198" s="412"/>
      <c r="WG198" s="412"/>
      <c r="WH198" s="412"/>
      <c r="WI198" s="412"/>
      <c r="WJ198" s="412"/>
      <c r="WK198" s="412"/>
      <c r="WL198" s="412"/>
      <c r="WM198" s="412"/>
      <c r="WN198" s="412"/>
      <c r="WO198" s="412"/>
      <c r="WP198" s="412"/>
      <c r="WQ198" s="412"/>
      <c r="WR198" s="412"/>
      <c r="WS198" s="412"/>
      <c r="WT198" s="412"/>
      <c r="WU198" s="412"/>
      <c r="WV198" s="412"/>
      <c r="WW198" s="412"/>
      <c r="WX198" s="412"/>
      <c r="WY198" s="412"/>
      <c r="WZ198" s="412"/>
      <c r="XA198" s="412"/>
      <c r="XB198" s="412"/>
      <c r="XC198" s="412"/>
      <c r="XD198" s="412"/>
      <c r="XE198" s="412"/>
      <c r="XF198" s="412"/>
      <c r="XG198" s="412"/>
      <c r="XH198" s="412"/>
      <c r="XI198" s="412"/>
      <c r="XJ198" s="412"/>
      <c r="XK198" s="412"/>
      <c r="XL198" s="412"/>
      <c r="XM198" s="412"/>
      <c r="XN198" s="412"/>
      <c r="XO198" s="412"/>
      <c r="XP198" s="412"/>
      <c r="XQ198" s="412"/>
      <c r="XR198" s="412"/>
      <c r="XS198" s="412"/>
      <c r="XT198" s="412"/>
      <c r="XU198" s="412"/>
      <c r="XV198" s="412"/>
      <c r="XW198" s="412"/>
      <c r="XX198" s="412"/>
      <c r="XY198" s="412"/>
      <c r="XZ198" s="412"/>
      <c r="YA198" s="412"/>
      <c r="YB198" s="412"/>
      <c r="YC198" s="412"/>
      <c r="YD198" s="412"/>
      <c r="YE198" s="412"/>
      <c r="YF198" s="412"/>
      <c r="YG198" s="412"/>
      <c r="YH198" s="412"/>
      <c r="YI198" s="412"/>
      <c r="YJ198" s="412"/>
      <c r="YK198" s="412"/>
      <c r="YL198" s="412"/>
      <c r="YM198" s="412"/>
      <c r="YN198" s="412"/>
      <c r="YO198" s="412"/>
      <c r="YP198" s="412"/>
      <c r="YQ198" s="412"/>
      <c r="YR198" s="412"/>
      <c r="YS198" s="412"/>
      <c r="YT198" s="412"/>
      <c r="YU198" s="412"/>
      <c r="YV198" s="412"/>
      <c r="YW198" s="412"/>
      <c r="YX198" s="412"/>
      <c r="YY198" s="412"/>
      <c r="YZ198" s="412"/>
      <c r="ZA198" s="412"/>
      <c r="ZB198" s="412"/>
      <c r="ZC198" s="412"/>
      <c r="ZD198" s="412"/>
      <c r="ZE198" s="412"/>
      <c r="ZF198" s="412"/>
      <c r="ZG198" s="412"/>
      <c r="ZH198" s="412"/>
      <c r="ZI198" s="412"/>
      <c r="ZJ198" s="412"/>
      <c r="ZK198" s="412"/>
      <c r="ZL198" s="412"/>
      <c r="ZM198" s="412"/>
      <c r="ZN198" s="412"/>
      <c r="ZO198" s="412"/>
      <c r="ZP198" s="412"/>
      <c r="ZQ198" s="412"/>
      <c r="ZR198" s="412"/>
      <c r="ZS198" s="412"/>
      <c r="ZT198" s="412"/>
      <c r="ZU198" s="412"/>
      <c r="ZV198" s="412"/>
      <c r="ZW198" s="412"/>
      <c r="ZX198" s="412"/>
      <c r="ZY198" s="412"/>
      <c r="ZZ198" s="412"/>
      <c r="AAA198" s="412"/>
      <c r="AAB198" s="412"/>
      <c r="AAC198" s="412"/>
      <c r="AAD198" s="412"/>
      <c r="AAE198" s="412"/>
      <c r="AAF198" s="412"/>
      <c r="AAG198" s="412"/>
      <c r="AAH198" s="412"/>
      <c r="AAI198" s="412"/>
      <c r="AAJ198" s="412"/>
      <c r="AAK198" s="412"/>
      <c r="AAL198" s="412"/>
      <c r="AAM198" s="412"/>
      <c r="AAN198" s="412"/>
      <c r="AAO198" s="412"/>
      <c r="AAP198" s="412"/>
      <c r="AAQ198" s="412"/>
      <c r="AAR198" s="412"/>
      <c r="AAS198" s="412"/>
      <c r="AAT198" s="412"/>
      <c r="AAU198" s="412"/>
      <c r="AAV198" s="412"/>
      <c r="AAW198" s="412"/>
      <c r="AAX198" s="412"/>
      <c r="AAY198" s="412"/>
      <c r="AAZ198" s="412"/>
      <c r="ABA198" s="412"/>
      <c r="ABB198" s="412"/>
      <c r="ABC198" s="412"/>
      <c r="ABD198" s="412"/>
      <c r="ABE198" s="412"/>
      <c r="ABF198" s="412"/>
      <c r="ABG198" s="412"/>
      <c r="ABH198" s="412"/>
      <c r="ABI198" s="412"/>
      <c r="ABJ198" s="412"/>
      <c r="ABK198" s="412"/>
      <c r="ABL198" s="412"/>
      <c r="ABM198" s="412"/>
      <c r="ABN198" s="412"/>
      <c r="ABO198" s="412"/>
      <c r="ABP198" s="412"/>
      <c r="ABQ198" s="412"/>
      <c r="ABR198" s="412"/>
      <c r="ABS198" s="412"/>
      <c r="ABT198" s="412"/>
      <c r="ABU198" s="412"/>
      <c r="ABV198" s="412"/>
      <c r="ABW198" s="412"/>
      <c r="ABX198" s="412"/>
      <c r="ABY198" s="412"/>
      <c r="ABZ198" s="412"/>
      <c r="ACA198" s="412"/>
      <c r="ACB198" s="412"/>
      <c r="ACC198" s="412"/>
      <c r="ACD198" s="412"/>
      <c r="ACE198" s="412"/>
      <c r="ACF198" s="412"/>
      <c r="ACG198" s="412"/>
      <c r="ACH198" s="412"/>
      <c r="ACI198" s="412"/>
      <c r="ACJ198" s="412"/>
      <c r="ACK198" s="412"/>
      <c r="ACL198" s="412"/>
      <c r="ACM198" s="412"/>
      <c r="ACN198" s="412"/>
      <c r="ACO198" s="412"/>
      <c r="ACP198" s="412"/>
      <c r="ACQ198" s="412"/>
      <c r="ACR198" s="412"/>
      <c r="ACS198" s="412"/>
      <c r="ACT198" s="412"/>
      <c r="ACU198" s="412"/>
      <c r="ACV198" s="412"/>
      <c r="ACW198" s="412"/>
      <c r="ACX198" s="412"/>
      <c r="ACY198" s="412"/>
      <c r="ACZ198" s="412"/>
      <c r="ADA198" s="412"/>
      <c r="ADB198" s="412"/>
      <c r="ADC198" s="412"/>
      <c r="ADD198" s="412"/>
      <c r="ADE198" s="412"/>
      <c r="ADF198" s="412"/>
      <c r="ADG198" s="412"/>
      <c r="ADH198" s="412"/>
      <c r="ADI198" s="412"/>
      <c r="ADJ198" s="412"/>
      <c r="ADK198" s="412"/>
      <c r="ADL198" s="412"/>
      <c r="ADM198" s="412"/>
      <c r="ADN198" s="412"/>
      <c r="ADO198" s="412"/>
      <c r="ADP198" s="412"/>
      <c r="ADQ198" s="412"/>
      <c r="ADR198" s="412"/>
      <c r="ADS198" s="412"/>
      <c r="ADT198" s="412"/>
      <c r="ADU198" s="412"/>
      <c r="ADV198" s="412"/>
      <c r="ADW198" s="412"/>
      <c r="ADX198" s="412"/>
      <c r="ADY198" s="412"/>
      <c r="ADZ198" s="412"/>
      <c r="AEA198" s="412"/>
      <c r="AEB198" s="412"/>
      <c r="AEC198" s="412"/>
      <c r="AED198" s="412"/>
      <c r="AEE198" s="412"/>
      <c r="AEF198" s="412"/>
      <c r="AEG198" s="412"/>
      <c r="AEH198" s="412"/>
      <c r="AEI198" s="412"/>
      <c r="AEJ198" s="412"/>
      <c r="AEK198" s="412"/>
      <c r="AEL198" s="412"/>
      <c r="AEM198" s="412"/>
      <c r="AEN198" s="412"/>
      <c r="AEO198" s="412"/>
      <c r="AEP198" s="412"/>
      <c r="AEQ198" s="412"/>
      <c r="AER198" s="412"/>
      <c r="AES198" s="412"/>
      <c r="AET198" s="412"/>
      <c r="AEU198" s="412"/>
      <c r="AEV198" s="412"/>
      <c r="AEW198" s="412"/>
      <c r="AEX198" s="412"/>
      <c r="AEY198" s="412"/>
      <c r="AEZ198" s="412"/>
      <c r="AFA198" s="412"/>
      <c r="AFB198" s="412"/>
      <c r="AFC198" s="412"/>
      <c r="AFD198" s="412"/>
      <c r="AFE198" s="412"/>
      <c r="AFF198" s="412"/>
      <c r="AFG198" s="412"/>
      <c r="AFH198" s="412"/>
      <c r="AFI198" s="412"/>
      <c r="AFJ198" s="412"/>
      <c r="AFK198" s="412"/>
      <c r="AFL198" s="412"/>
      <c r="AFM198" s="412"/>
      <c r="AFN198" s="412"/>
      <c r="AFO198" s="412"/>
      <c r="AFP198" s="412"/>
      <c r="AFQ198" s="412"/>
      <c r="AFR198" s="412"/>
      <c r="AFS198" s="412"/>
      <c r="AFT198" s="412"/>
      <c r="AFU198" s="412"/>
      <c r="AFV198" s="412"/>
      <c r="AFW198" s="412"/>
      <c r="AFX198" s="412"/>
      <c r="AFY198" s="412"/>
      <c r="AFZ198" s="412"/>
      <c r="AGA198" s="412"/>
      <c r="AGB198" s="412"/>
      <c r="AGC198" s="412"/>
      <c r="AGD198" s="412"/>
      <c r="AGE198" s="412"/>
      <c r="AGF198" s="412"/>
      <c r="AGG198" s="412"/>
      <c r="AGH198" s="412"/>
      <c r="AGI198" s="412"/>
      <c r="AGJ198" s="412"/>
      <c r="AGK198" s="412"/>
      <c r="AGL198" s="412"/>
      <c r="AGM198" s="412"/>
      <c r="AGN198" s="412"/>
      <c r="AGO198" s="412"/>
      <c r="AGP198" s="412"/>
      <c r="AGQ198" s="412"/>
      <c r="AGR198" s="412"/>
      <c r="AGS198" s="412"/>
      <c r="AGT198" s="412"/>
      <c r="AGU198" s="412"/>
      <c r="AGV198" s="412"/>
      <c r="AGW198" s="412"/>
      <c r="AGX198" s="412"/>
      <c r="AGY198" s="412"/>
      <c r="AGZ198" s="412"/>
      <c r="AHA198" s="412"/>
      <c r="AHB198" s="412"/>
      <c r="AHC198" s="412"/>
      <c r="AHD198" s="412"/>
      <c r="AHE198" s="412"/>
      <c r="AHF198" s="412"/>
      <c r="AHG198" s="412"/>
      <c r="AHH198" s="412"/>
      <c r="AHI198" s="412"/>
      <c r="AHJ198" s="412"/>
      <c r="AHK198" s="412"/>
      <c r="AHL198" s="412"/>
      <c r="AHM198" s="412"/>
      <c r="AHN198" s="412"/>
      <c r="AHO198" s="412"/>
      <c r="AHP198" s="412"/>
      <c r="AHQ198" s="412"/>
      <c r="AHR198" s="412"/>
      <c r="AHS198" s="412"/>
      <c r="AHT198" s="412"/>
      <c r="AHU198" s="412"/>
      <c r="AHV198" s="412"/>
      <c r="AHW198" s="412"/>
      <c r="AHX198" s="412"/>
      <c r="AHY198" s="412"/>
      <c r="AHZ198" s="412"/>
      <c r="AIA198" s="412"/>
      <c r="AIB198" s="412"/>
      <c r="AIC198" s="412"/>
      <c r="AID198" s="412"/>
      <c r="AIE198" s="412"/>
      <c r="AIF198" s="412"/>
      <c r="AIG198" s="412"/>
      <c r="AIH198" s="412"/>
      <c r="AII198" s="412"/>
      <c r="AIJ198" s="412"/>
      <c r="AIK198" s="412"/>
      <c r="AIL198" s="412"/>
      <c r="AIM198" s="412"/>
      <c r="AIN198" s="412"/>
      <c r="AIO198" s="412"/>
      <c r="AIP198" s="412"/>
      <c r="AIQ198" s="412"/>
      <c r="AIR198" s="412"/>
      <c r="AIS198" s="412"/>
      <c r="AIT198" s="412"/>
      <c r="AIU198" s="412"/>
      <c r="AIV198" s="412"/>
      <c r="AIW198" s="412"/>
      <c r="AIX198" s="412"/>
      <c r="AIY198" s="412"/>
      <c r="AIZ198" s="412"/>
      <c r="AJA198" s="412"/>
      <c r="AJB198" s="412"/>
      <c r="AJC198" s="412"/>
      <c r="AJD198" s="412"/>
      <c r="AJE198" s="412"/>
      <c r="AJF198" s="412"/>
      <c r="AJG198" s="412"/>
      <c r="AJH198" s="412"/>
      <c r="AJI198" s="412"/>
      <c r="AJJ198" s="412"/>
      <c r="AJK198" s="412"/>
      <c r="AJL198" s="412"/>
      <c r="AJM198" s="412"/>
      <c r="AJN198" s="412"/>
      <c r="AJO198" s="412"/>
      <c r="AJP198" s="412"/>
      <c r="AJQ198" s="412"/>
      <c r="AJR198" s="412"/>
      <c r="AJS198" s="412"/>
      <c r="AJT198" s="412"/>
      <c r="AJU198" s="412"/>
      <c r="AJV198" s="412"/>
      <c r="AJW198" s="412"/>
      <c r="AJX198" s="412"/>
      <c r="AJY198" s="412"/>
      <c r="AJZ198" s="412"/>
      <c r="AKA198" s="412"/>
      <c r="AKB198" s="412"/>
      <c r="AKC198" s="412"/>
      <c r="AKD198" s="412"/>
      <c r="AKE198" s="412"/>
      <c r="AKF198" s="412"/>
      <c r="AKG198" s="412"/>
      <c r="AKH198" s="412"/>
      <c r="AKI198" s="412"/>
      <c r="AKJ198" s="412"/>
      <c r="AKK198" s="412"/>
      <c r="AKL198" s="412"/>
      <c r="AKM198" s="412"/>
      <c r="AKN198" s="412"/>
      <c r="AKO198" s="412"/>
      <c r="AKP198" s="412"/>
      <c r="AKQ198" s="412"/>
      <c r="AKR198" s="412"/>
      <c r="AKS198" s="412"/>
      <c r="AKT198" s="412"/>
      <c r="AKU198" s="412"/>
      <c r="AKV198" s="412"/>
      <c r="AKW198" s="412"/>
      <c r="AKX198" s="412"/>
      <c r="AKY198" s="412"/>
      <c r="AKZ198" s="412"/>
      <c r="ALA198" s="412"/>
      <c r="ALB198" s="412"/>
      <c r="ALC198" s="412"/>
      <c r="ALD198" s="412"/>
      <c r="ALE198" s="412"/>
      <c r="ALF198" s="412"/>
      <c r="ALG198" s="412"/>
      <c r="ALH198" s="412"/>
      <c r="ALI198" s="412"/>
      <c r="ALJ198" s="412"/>
      <c r="ALK198" s="412"/>
      <c r="ALL198" s="412"/>
      <c r="ALM198" s="412"/>
      <c r="ALN198" s="412"/>
      <c r="ALO198" s="412"/>
      <c r="ALP198" s="412"/>
      <c r="ALQ198" s="412"/>
      <c r="ALR198" s="412"/>
      <c r="ALS198" s="412"/>
      <c r="ALT198" s="412"/>
      <c r="ALU198" s="412"/>
      <c r="ALV198" s="412"/>
      <c r="ALW198" s="412"/>
      <c r="ALX198" s="412"/>
      <c r="ALY198" s="412"/>
      <c r="ALZ198" s="412"/>
      <c r="AMA198" s="412"/>
      <c r="AMB198" s="412"/>
      <c r="AMC198" s="412"/>
      <c r="AMD198" s="412"/>
      <c r="AME198" s="412"/>
      <c r="AMF198" s="412"/>
      <c r="AMG198" s="412"/>
      <c r="AMH198" s="412"/>
      <c r="AMI198" s="412"/>
      <c r="AMJ198" s="412"/>
      <c r="AMK198" s="412"/>
      <c r="AML198" s="412"/>
      <c r="AMM198" s="412"/>
      <c r="AMN198" s="412"/>
      <c r="AMO198" s="412"/>
      <c r="AMP198" s="412"/>
      <c r="AMQ198" s="412"/>
      <c r="AMR198" s="412"/>
      <c r="AMS198" s="412"/>
      <c r="AMT198" s="412"/>
      <c r="AMU198" s="412"/>
      <c r="AMV198" s="412"/>
      <c r="AMW198" s="412"/>
      <c r="AMX198" s="412"/>
      <c r="AMY198" s="412"/>
      <c r="AMZ198" s="412"/>
      <c r="ANA198" s="412"/>
      <c r="ANB198" s="412"/>
      <c r="ANC198" s="412"/>
      <c r="AND198" s="412"/>
      <c r="ANE198" s="412"/>
      <c r="ANF198" s="412"/>
      <c r="ANG198" s="412"/>
      <c r="ANH198" s="412"/>
      <c r="ANI198" s="412"/>
      <c r="ANJ198" s="412"/>
      <c r="ANK198" s="412"/>
      <c r="ANL198" s="412"/>
      <c r="ANM198" s="412"/>
      <c r="ANN198" s="412"/>
      <c r="ANO198" s="412"/>
      <c r="ANP198" s="412"/>
      <c r="ANQ198" s="412"/>
      <c r="ANR198" s="412"/>
      <c r="ANS198" s="412"/>
      <c r="ANT198" s="412"/>
      <c r="ANU198" s="412"/>
      <c r="ANV198" s="412"/>
      <c r="ANW198" s="412"/>
      <c r="ANX198" s="412"/>
      <c r="ANY198" s="412"/>
      <c r="ANZ198" s="412"/>
      <c r="AOA198" s="412"/>
      <c r="AOB198" s="412"/>
      <c r="AOC198" s="412"/>
      <c r="AOD198" s="412"/>
      <c r="AOE198" s="412"/>
      <c r="AOF198" s="412"/>
      <c r="AOG198" s="412"/>
      <c r="AOH198" s="412"/>
      <c r="AOI198" s="412"/>
      <c r="AOJ198" s="412"/>
      <c r="AOK198" s="412"/>
      <c r="AOL198" s="412"/>
      <c r="AOM198" s="412"/>
      <c r="AON198" s="412"/>
      <c r="AOO198" s="412"/>
      <c r="AOP198" s="412"/>
      <c r="AOQ198" s="412"/>
      <c r="AOR198" s="412"/>
      <c r="AOS198" s="412"/>
      <c r="AOT198" s="412"/>
      <c r="AOU198" s="412"/>
      <c r="AOV198" s="412"/>
      <c r="AOW198" s="412"/>
      <c r="AOX198" s="412"/>
      <c r="AOY198" s="412"/>
      <c r="AOZ198" s="412"/>
      <c r="APA198" s="412"/>
      <c r="APB198" s="412"/>
      <c r="APC198" s="412"/>
      <c r="APD198" s="412"/>
      <c r="APE198" s="412"/>
      <c r="APF198" s="412"/>
      <c r="APG198" s="412"/>
      <c r="APH198" s="412"/>
      <c r="API198" s="412"/>
      <c r="APJ198" s="412"/>
      <c r="APK198" s="412"/>
      <c r="APL198" s="412"/>
      <c r="APM198" s="412"/>
      <c r="APN198" s="412"/>
      <c r="APO198" s="412"/>
      <c r="APP198" s="412"/>
      <c r="APQ198" s="412"/>
      <c r="APR198" s="412"/>
      <c r="APS198" s="412"/>
      <c r="APT198" s="412"/>
      <c r="APU198" s="412"/>
      <c r="APV198" s="412"/>
      <c r="APW198" s="412"/>
      <c r="APX198" s="412"/>
      <c r="APY198" s="412"/>
      <c r="APZ198" s="412"/>
      <c r="AQA198" s="412"/>
      <c r="AQB198" s="412"/>
      <c r="AQC198" s="412"/>
      <c r="AQD198" s="412"/>
      <c r="AQE198" s="412"/>
      <c r="AQF198" s="412"/>
      <c r="AQG198" s="412"/>
      <c r="AQH198" s="412"/>
      <c r="AQI198" s="412"/>
      <c r="AQJ198" s="412"/>
      <c r="AQK198" s="412"/>
      <c r="AQL198" s="412"/>
      <c r="AQM198" s="412"/>
      <c r="AQN198" s="412"/>
      <c r="AQO198" s="412"/>
      <c r="AQP198" s="412"/>
      <c r="AQQ198" s="412"/>
      <c r="AQR198" s="412"/>
      <c r="AQS198" s="412"/>
      <c r="AQT198" s="412"/>
      <c r="AQU198" s="412"/>
      <c r="AQV198" s="412"/>
      <c r="AQW198" s="412"/>
      <c r="AQX198" s="412"/>
      <c r="AQY198" s="412"/>
      <c r="AQZ198" s="412"/>
      <c r="ARA198" s="412"/>
      <c r="ARB198" s="412"/>
      <c r="ARC198" s="412"/>
      <c r="ARD198" s="412"/>
      <c r="ARE198" s="412"/>
      <c r="ARF198" s="412"/>
      <c r="ARG198" s="412"/>
      <c r="ARH198" s="412"/>
      <c r="ARI198" s="412"/>
      <c r="ARJ198" s="412"/>
      <c r="ARK198" s="412"/>
      <c r="ARL198" s="412"/>
      <c r="ARM198" s="412"/>
      <c r="ARN198" s="412"/>
      <c r="ARO198" s="412"/>
      <c r="ARP198" s="412"/>
      <c r="ARQ198" s="412"/>
      <c r="ARR198" s="412"/>
      <c r="ARS198" s="412"/>
      <c r="ART198" s="412"/>
      <c r="ARU198" s="412"/>
      <c r="ARV198" s="412"/>
      <c r="ARW198" s="412"/>
      <c r="ARX198" s="412"/>
      <c r="ARY198" s="412"/>
      <c r="ARZ198" s="412"/>
      <c r="ASA198" s="412"/>
      <c r="ASB198" s="412"/>
      <c r="ASC198" s="412"/>
      <c r="ASD198" s="412"/>
      <c r="ASE198" s="412"/>
      <c r="ASF198" s="412"/>
      <c r="ASG198" s="412"/>
      <c r="ASH198" s="412"/>
      <c r="ASI198" s="412"/>
      <c r="ASJ198" s="412"/>
      <c r="ASK198" s="412"/>
      <c r="ASL198" s="412"/>
      <c r="ASM198" s="412"/>
      <c r="ASN198" s="412"/>
      <c r="ASO198" s="412"/>
      <c r="ASP198" s="412"/>
      <c r="ASQ198" s="412"/>
      <c r="ASR198" s="412"/>
      <c r="ASS198" s="412"/>
      <c r="AST198" s="412"/>
      <c r="ASU198" s="412"/>
      <c r="ASV198" s="412"/>
      <c r="ASW198" s="412"/>
      <c r="ASX198" s="412"/>
      <c r="ASY198" s="412"/>
      <c r="ASZ198" s="412"/>
      <c r="ATA198" s="412"/>
      <c r="ATB198" s="412"/>
      <c r="ATC198" s="412"/>
      <c r="ATD198" s="412"/>
      <c r="ATE198" s="412"/>
      <c r="ATF198" s="412"/>
      <c r="ATG198" s="412"/>
      <c r="ATH198" s="412"/>
      <c r="ATI198" s="412"/>
      <c r="ATJ198" s="412"/>
      <c r="ATK198" s="412"/>
      <c r="ATL198" s="412"/>
      <c r="ATM198" s="412"/>
      <c r="ATN198" s="412"/>
      <c r="ATO198" s="412"/>
      <c r="ATP198" s="412"/>
      <c r="ATQ198" s="412"/>
      <c r="ATR198" s="412"/>
      <c r="ATS198" s="412"/>
      <c r="ATT198" s="412"/>
      <c r="ATU198" s="412"/>
      <c r="ATV198" s="412"/>
      <c r="ATW198" s="412"/>
      <c r="ATX198" s="412"/>
      <c r="ATY198" s="412"/>
      <c r="ATZ198" s="412"/>
      <c r="AUA198" s="412"/>
      <c r="AUB198" s="412"/>
      <c r="AUC198" s="412"/>
      <c r="AUD198" s="412"/>
      <c r="AUE198" s="412"/>
      <c r="AUF198" s="412"/>
      <c r="AUG198" s="412"/>
      <c r="AUH198" s="412"/>
      <c r="AUI198" s="412"/>
      <c r="AUJ198" s="412"/>
      <c r="AUK198" s="412"/>
      <c r="AUL198" s="412"/>
      <c r="AUM198" s="412"/>
      <c r="AUN198" s="412"/>
      <c r="AUO198" s="412"/>
      <c r="AUP198" s="412"/>
      <c r="AUQ198" s="412"/>
      <c r="AUR198" s="412"/>
      <c r="AUS198" s="412"/>
      <c r="AUT198" s="412"/>
      <c r="AUU198" s="412"/>
      <c r="AUV198" s="412"/>
      <c r="AUW198" s="412"/>
      <c r="AUX198" s="412"/>
      <c r="AUY198" s="412"/>
      <c r="AUZ198" s="412"/>
      <c r="AVA198" s="412"/>
      <c r="AVB198" s="412"/>
      <c r="AVC198" s="412"/>
      <c r="AVD198" s="412"/>
      <c r="AVE198" s="412"/>
      <c r="AVF198" s="412"/>
      <c r="AVG198" s="412"/>
      <c r="AVH198" s="412"/>
      <c r="AVI198" s="412"/>
      <c r="AVJ198" s="412"/>
      <c r="AVK198" s="412"/>
      <c r="AVL198" s="412"/>
      <c r="AVM198" s="412"/>
      <c r="AVN198" s="412"/>
      <c r="AVO198" s="412"/>
      <c r="AVP198" s="412"/>
      <c r="AVQ198" s="412"/>
      <c r="AVR198" s="412"/>
      <c r="AVS198" s="412"/>
      <c r="AVT198" s="412"/>
      <c r="AVU198" s="412"/>
      <c r="AVV198" s="412"/>
      <c r="AVW198" s="412"/>
      <c r="AVX198" s="412"/>
      <c r="AVY198" s="412"/>
      <c r="AVZ198" s="412"/>
      <c r="AWA198" s="412"/>
      <c r="AWB198" s="412"/>
      <c r="AWC198" s="412"/>
      <c r="AWD198" s="412"/>
      <c r="AWE198" s="412"/>
      <c r="AWF198" s="412"/>
      <c r="AWG198" s="412"/>
      <c r="AWH198" s="412"/>
      <c r="AWI198" s="412"/>
      <c r="AWJ198" s="412"/>
      <c r="AWK198" s="412"/>
      <c r="AWL198" s="412"/>
      <c r="AWM198" s="412"/>
      <c r="AWN198" s="412"/>
      <c r="AWO198" s="412"/>
      <c r="AWP198" s="412"/>
      <c r="AWQ198" s="412"/>
      <c r="AWR198" s="412"/>
      <c r="AWS198" s="412"/>
      <c r="AWT198" s="412"/>
      <c r="AWU198" s="412"/>
      <c r="AWV198" s="412"/>
      <c r="AWW198" s="412"/>
      <c r="AWX198" s="412"/>
      <c r="AWY198" s="412"/>
      <c r="AWZ198" s="412"/>
      <c r="AXA198" s="412"/>
      <c r="AXB198" s="412"/>
      <c r="AXC198" s="412"/>
      <c r="AXD198" s="412"/>
      <c r="AXE198" s="412"/>
      <c r="AXF198" s="412"/>
      <c r="AXG198" s="412"/>
      <c r="AXH198" s="412"/>
      <c r="AXI198" s="412"/>
      <c r="AXJ198" s="412"/>
      <c r="AXK198" s="412"/>
      <c r="AXL198" s="412"/>
      <c r="AXM198" s="412"/>
      <c r="AXN198" s="412"/>
      <c r="AXO198" s="412"/>
      <c r="AXP198" s="412"/>
      <c r="AXQ198" s="412"/>
      <c r="AXR198" s="412"/>
      <c r="AXS198" s="412"/>
      <c r="AXT198" s="412"/>
      <c r="AXU198" s="412"/>
      <c r="AXV198" s="412"/>
      <c r="AXW198" s="412"/>
      <c r="AXX198" s="412"/>
      <c r="AXY198" s="412"/>
      <c r="AXZ198" s="412"/>
      <c r="AYA198" s="412"/>
      <c r="AYB198" s="412"/>
      <c r="AYC198" s="412"/>
      <c r="AYD198" s="412"/>
      <c r="AYE198" s="412"/>
      <c r="AYF198" s="412"/>
      <c r="AYG198" s="412"/>
      <c r="AYH198" s="412"/>
      <c r="AYI198" s="412"/>
      <c r="AYJ198" s="412"/>
      <c r="AYK198" s="412"/>
      <c r="AYL198" s="412"/>
      <c r="AYM198" s="412"/>
      <c r="AYN198" s="412"/>
      <c r="AYO198" s="412"/>
      <c r="AYP198" s="412"/>
      <c r="AYQ198" s="412"/>
      <c r="AYR198" s="412"/>
      <c r="AYS198" s="412"/>
      <c r="AYT198" s="412"/>
      <c r="AYU198" s="412"/>
      <c r="AYV198" s="412"/>
      <c r="AYW198" s="412"/>
      <c r="AYX198" s="412"/>
      <c r="AYY198" s="412"/>
      <c r="AYZ198" s="412"/>
      <c r="AZA198" s="412"/>
      <c r="AZB198" s="412"/>
      <c r="AZC198" s="412"/>
      <c r="AZD198" s="412"/>
      <c r="AZE198" s="412"/>
      <c r="AZF198" s="412"/>
      <c r="AZG198" s="412"/>
      <c r="AZH198" s="412"/>
      <c r="AZI198" s="412"/>
      <c r="AZJ198" s="412"/>
      <c r="AZK198" s="412"/>
      <c r="AZL198" s="412"/>
      <c r="AZM198" s="412"/>
      <c r="AZN198" s="412"/>
      <c r="AZO198" s="412"/>
      <c r="AZP198" s="412"/>
      <c r="AZQ198" s="412"/>
      <c r="AZR198" s="412"/>
      <c r="AZS198" s="412"/>
      <c r="AZT198" s="412"/>
      <c r="AZU198" s="412"/>
      <c r="AZV198" s="412"/>
      <c r="AZW198" s="412"/>
      <c r="AZX198" s="412"/>
      <c r="AZY198" s="412"/>
      <c r="AZZ198" s="412"/>
      <c r="BAA198" s="412"/>
      <c r="BAB198" s="412"/>
      <c r="BAC198" s="412"/>
      <c r="BAD198" s="412"/>
      <c r="BAE198" s="412"/>
      <c r="BAF198" s="412"/>
      <c r="BAG198" s="412"/>
      <c r="BAH198" s="412"/>
      <c r="BAI198" s="412"/>
      <c r="BAJ198" s="412"/>
      <c r="BAK198" s="412"/>
      <c r="BAL198" s="412"/>
      <c r="BAM198" s="412"/>
      <c r="BAN198" s="412"/>
      <c r="BAO198" s="412"/>
      <c r="BAP198" s="412"/>
      <c r="BAQ198" s="412"/>
      <c r="BAR198" s="412"/>
      <c r="BAS198" s="412"/>
      <c r="BAT198" s="412"/>
      <c r="BAU198" s="412"/>
      <c r="BAV198" s="412"/>
      <c r="BAW198" s="412"/>
      <c r="BAX198" s="412"/>
      <c r="BAY198" s="412"/>
      <c r="BAZ198" s="412"/>
      <c r="BBA198" s="412"/>
      <c r="BBB198" s="412"/>
      <c r="BBC198" s="412"/>
      <c r="BBD198" s="412"/>
      <c r="BBE198" s="412"/>
      <c r="BBF198" s="412"/>
      <c r="BBG198" s="412"/>
      <c r="BBH198" s="412"/>
      <c r="BBI198" s="412"/>
      <c r="BBJ198" s="412"/>
      <c r="BBK198" s="412"/>
      <c r="BBL198" s="412"/>
      <c r="BBM198" s="412"/>
      <c r="BBN198" s="412"/>
      <c r="BBO198" s="412"/>
      <c r="BBP198" s="412"/>
      <c r="BBQ198" s="412"/>
      <c r="BBR198" s="412"/>
      <c r="BBS198" s="412"/>
      <c r="BBT198" s="412"/>
      <c r="BBU198" s="412"/>
      <c r="BBV198" s="412"/>
      <c r="BBW198" s="412"/>
      <c r="BBX198" s="412"/>
      <c r="BBY198" s="412"/>
      <c r="BBZ198" s="412"/>
      <c r="BCA198" s="412"/>
      <c r="BCB198" s="412"/>
      <c r="BCC198" s="412"/>
      <c r="BCD198" s="412"/>
      <c r="BCE198" s="412"/>
      <c r="BCF198" s="412"/>
      <c r="BCG198" s="412"/>
      <c r="BCH198" s="412"/>
      <c r="BCI198" s="412"/>
      <c r="BCJ198" s="412"/>
      <c r="BCK198" s="412"/>
      <c r="BCL198" s="412"/>
      <c r="BCM198" s="412"/>
      <c r="BCN198" s="412"/>
      <c r="BCO198" s="412"/>
      <c r="BCP198" s="412"/>
      <c r="BCQ198" s="412"/>
      <c r="BCR198" s="412"/>
      <c r="BCS198" s="412"/>
      <c r="BCT198" s="412"/>
      <c r="BCU198" s="412"/>
      <c r="BCV198" s="412"/>
      <c r="BCW198" s="412"/>
      <c r="BCX198" s="412"/>
      <c r="BCY198" s="412"/>
      <c r="BCZ198" s="412"/>
      <c r="BDA198" s="412"/>
      <c r="BDB198" s="412"/>
      <c r="BDC198" s="412"/>
      <c r="BDD198" s="412"/>
      <c r="BDE198" s="412"/>
      <c r="BDF198" s="412"/>
      <c r="BDG198" s="412"/>
      <c r="BDH198" s="412"/>
      <c r="BDI198" s="412"/>
      <c r="BDJ198" s="412"/>
      <c r="BDK198" s="412"/>
      <c r="BDL198" s="412"/>
      <c r="BDM198" s="412"/>
      <c r="BDN198" s="412"/>
      <c r="BDO198" s="412"/>
      <c r="BDP198" s="412"/>
      <c r="BDQ198" s="412"/>
      <c r="BDR198" s="412"/>
      <c r="BDS198" s="412"/>
      <c r="BDT198" s="412"/>
      <c r="BDU198" s="412"/>
      <c r="BDV198" s="412"/>
      <c r="BDW198" s="412"/>
      <c r="BDX198" s="412"/>
      <c r="BDY198" s="412"/>
      <c r="BDZ198" s="412"/>
      <c r="BEA198" s="412"/>
      <c r="BEB198" s="412"/>
      <c r="BEC198" s="412"/>
      <c r="BED198" s="412"/>
      <c r="BEE198" s="412"/>
      <c r="BEF198" s="412"/>
      <c r="BEG198" s="412"/>
      <c r="BEH198" s="412"/>
      <c r="BEI198" s="412"/>
      <c r="BEJ198" s="412"/>
      <c r="BEK198" s="412"/>
      <c r="BEL198" s="412"/>
      <c r="BEM198" s="412"/>
      <c r="BEN198" s="412"/>
      <c r="BEO198" s="412"/>
      <c r="BEP198" s="412"/>
      <c r="BEQ198" s="412"/>
      <c r="BER198" s="412"/>
      <c r="BES198" s="412"/>
      <c r="BET198" s="412"/>
      <c r="BEU198" s="412"/>
      <c r="BEV198" s="412"/>
      <c r="BEW198" s="412"/>
      <c r="BEX198" s="412"/>
      <c r="BEY198" s="412"/>
      <c r="BEZ198" s="412"/>
      <c r="BFA198" s="412"/>
      <c r="BFB198" s="412"/>
      <c r="BFC198" s="412"/>
      <c r="BFD198" s="412"/>
      <c r="BFE198" s="412"/>
      <c r="BFF198" s="412"/>
      <c r="BFG198" s="412"/>
      <c r="BFH198" s="412"/>
      <c r="BFI198" s="412"/>
      <c r="BFJ198" s="412"/>
      <c r="BFK198" s="412"/>
      <c r="BFL198" s="412"/>
      <c r="BFM198" s="412"/>
      <c r="BFN198" s="412"/>
      <c r="BFO198" s="412"/>
      <c r="BFP198" s="412"/>
      <c r="BFQ198" s="412"/>
      <c r="BFR198" s="412"/>
      <c r="BFS198" s="412"/>
      <c r="BFT198" s="412"/>
      <c r="BFU198" s="412"/>
      <c r="BFV198" s="412"/>
      <c r="BFW198" s="412"/>
      <c r="BFX198" s="412"/>
      <c r="BFY198" s="412"/>
      <c r="BFZ198" s="412"/>
      <c r="BGA198" s="412"/>
      <c r="BGB198" s="412"/>
      <c r="BGC198" s="412"/>
      <c r="BGD198" s="412"/>
      <c r="BGE198" s="412"/>
      <c r="BGF198" s="412"/>
      <c r="BGG198" s="412"/>
      <c r="BGH198" s="412"/>
      <c r="BGI198" s="412"/>
      <c r="BGJ198" s="412"/>
      <c r="BGK198" s="412"/>
      <c r="BGL198" s="412"/>
      <c r="BGM198" s="412"/>
      <c r="BGN198" s="412"/>
      <c r="BGO198" s="412"/>
      <c r="BGP198" s="412"/>
      <c r="BGQ198" s="412"/>
      <c r="BGR198" s="412"/>
      <c r="BGS198" s="412"/>
      <c r="BGT198" s="412"/>
      <c r="BGU198" s="412"/>
      <c r="BGV198" s="412"/>
      <c r="BGW198" s="412"/>
      <c r="BGX198" s="412"/>
      <c r="BGY198" s="412"/>
      <c r="BGZ198" s="412"/>
      <c r="BHA198" s="412"/>
      <c r="BHB198" s="412"/>
      <c r="BHC198" s="412"/>
      <c r="BHD198" s="412"/>
      <c r="BHE198" s="412"/>
      <c r="BHF198" s="412"/>
      <c r="BHG198" s="412"/>
      <c r="BHH198" s="412"/>
      <c r="BHI198" s="412"/>
      <c r="BHJ198" s="412"/>
      <c r="BHK198" s="412"/>
      <c r="BHL198" s="412"/>
      <c r="BHM198" s="412"/>
      <c r="BHN198" s="412"/>
      <c r="BHO198" s="412"/>
      <c r="BHP198" s="412"/>
      <c r="BHQ198" s="412"/>
      <c r="BHR198" s="412"/>
      <c r="BHS198" s="412"/>
      <c r="BHT198" s="412"/>
      <c r="BHU198" s="412"/>
      <c r="BHV198" s="412"/>
      <c r="BHW198" s="412"/>
      <c r="BHX198" s="412"/>
      <c r="BHY198" s="412"/>
      <c r="BHZ198" s="412"/>
      <c r="BIA198" s="412"/>
      <c r="BIB198" s="412"/>
      <c r="BIC198" s="412"/>
      <c r="BID198" s="412"/>
      <c r="BIE198" s="412"/>
      <c r="BIF198" s="412"/>
      <c r="BIG198" s="412"/>
      <c r="BIH198" s="412"/>
      <c r="BII198" s="412"/>
      <c r="BIJ198" s="412"/>
      <c r="BIK198" s="412"/>
      <c r="BIL198" s="412"/>
      <c r="BIM198" s="412"/>
      <c r="BIN198" s="412"/>
      <c r="BIO198" s="412"/>
      <c r="BIP198" s="412"/>
      <c r="BIQ198" s="412"/>
      <c r="BIR198" s="412"/>
      <c r="BIS198" s="412"/>
      <c r="BIT198" s="412"/>
      <c r="BIU198" s="412"/>
      <c r="BIV198" s="412"/>
      <c r="BIW198" s="412"/>
      <c r="BIX198" s="412"/>
      <c r="BIY198" s="412"/>
      <c r="BIZ198" s="412"/>
      <c r="BJA198" s="412"/>
      <c r="BJB198" s="412"/>
      <c r="BJC198" s="412"/>
      <c r="BJD198" s="412"/>
      <c r="BJE198" s="412"/>
      <c r="BJF198" s="412"/>
      <c r="BJG198" s="412"/>
      <c r="BJH198" s="412"/>
      <c r="BJI198" s="412"/>
      <c r="BJJ198" s="412"/>
      <c r="BJK198" s="412"/>
      <c r="BJL198" s="412"/>
      <c r="BJM198" s="412"/>
      <c r="BJN198" s="412"/>
      <c r="BJO198" s="412"/>
      <c r="BJP198" s="412"/>
      <c r="BJQ198" s="412"/>
      <c r="BJR198" s="412"/>
      <c r="BJS198" s="412"/>
      <c r="BJT198" s="412"/>
      <c r="BJU198" s="412"/>
      <c r="BJV198" s="412"/>
      <c r="BJW198" s="412"/>
      <c r="BJX198" s="412"/>
      <c r="BJY198" s="412"/>
      <c r="BJZ198" s="412"/>
      <c r="BKA198" s="412"/>
      <c r="BKB198" s="412"/>
      <c r="BKC198" s="412"/>
      <c r="BKD198" s="412"/>
      <c r="BKE198" s="412"/>
      <c r="BKF198" s="412"/>
      <c r="BKG198" s="412"/>
      <c r="BKH198" s="412"/>
      <c r="BKI198" s="412"/>
      <c r="BKJ198" s="412"/>
      <c r="BKK198" s="412"/>
      <c r="BKL198" s="412"/>
      <c r="BKM198" s="412"/>
      <c r="BKN198" s="412"/>
      <c r="BKO198" s="412"/>
      <c r="BKP198" s="412"/>
      <c r="BKQ198" s="412"/>
      <c r="BKR198" s="412"/>
      <c r="BKS198" s="412"/>
      <c r="BKT198" s="412"/>
      <c r="BKU198" s="412"/>
      <c r="BKV198" s="412"/>
      <c r="BKW198" s="412"/>
      <c r="BKX198" s="412"/>
      <c r="BKY198" s="412"/>
      <c r="BKZ198" s="412"/>
      <c r="BLA198" s="412"/>
      <c r="BLB198" s="412"/>
      <c r="BLC198" s="412"/>
      <c r="BLD198" s="412"/>
      <c r="BLE198" s="412"/>
      <c r="BLF198" s="412"/>
      <c r="BLG198" s="412"/>
      <c r="BLH198" s="412"/>
      <c r="BLI198" s="412"/>
      <c r="BLJ198" s="412"/>
      <c r="BLK198" s="412"/>
      <c r="BLL198" s="412"/>
      <c r="BLM198" s="412"/>
      <c r="BLN198" s="412"/>
      <c r="BLO198" s="412"/>
      <c r="BLP198" s="412"/>
      <c r="BLQ198" s="412"/>
      <c r="BLR198" s="412"/>
      <c r="BLS198" s="412"/>
      <c r="BLT198" s="412"/>
      <c r="BLU198" s="412"/>
      <c r="BLV198" s="412"/>
      <c r="BLW198" s="412"/>
      <c r="BLX198" s="412"/>
      <c r="BLY198" s="412"/>
      <c r="BLZ198" s="412"/>
      <c r="BMA198" s="412"/>
      <c r="BMB198" s="412"/>
      <c r="BMC198" s="412"/>
      <c r="BMD198" s="412"/>
      <c r="BME198" s="412"/>
      <c r="BMF198" s="412"/>
      <c r="BMG198" s="412"/>
      <c r="BMH198" s="412"/>
      <c r="BMI198" s="412"/>
      <c r="BMJ198" s="412"/>
      <c r="BMK198" s="412"/>
      <c r="BML198" s="412"/>
      <c r="BMM198" s="412"/>
      <c r="BMN198" s="412"/>
      <c r="BMO198" s="412"/>
      <c r="BMP198" s="412"/>
      <c r="BMQ198" s="412"/>
      <c r="BMR198" s="412"/>
      <c r="BMS198" s="412"/>
      <c r="BMT198" s="412"/>
      <c r="BMU198" s="412"/>
      <c r="BMV198" s="412"/>
      <c r="BMW198" s="412"/>
      <c r="BMX198" s="412"/>
      <c r="BMY198" s="412"/>
      <c r="BMZ198" s="412"/>
      <c r="BNA198" s="412"/>
      <c r="BNB198" s="412"/>
      <c r="BNC198" s="412"/>
      <c r="BND198" s="412"/>
      <c r="BNE198" s="412"/>
      <c r="BNF198" s="412"/>
      <c r="BNG198" s="412"/>
      <c r="BNH198" s="412"/>
      <c r="BNI198" s="412"/>
      <c r="BNJ198" s="412"/>
      <c r="BNK198" s="412"/>
      <c r="BNL198" s="412"/>
      <c r="BNM198" s="412"/>
      <c r="BNN198" s="412"/>
      <c r="BNO198" s="412"/>
      <c r="BNP198" s="412"/>
      <c r="BNQ198" s="412"/>
      <c r="BNR198" s="412"/>
      <c r="BNS198" s="412"/>
      <c r="BNT198" s="412"/>
      <c r="BNU198" s="412"/>
      <c r="BNV198" s="412"/>
      <c r="BNW198" s="412"/>
      <c r="BNX198" s="412"/>
      <c r="BNY198" s="412"/>
      <c r="BNZ198" s="412"/>
      <c r="BOA198" s="412"/>
      <c r="BOB198" s="412"/>
      <c r="BOC198" s="412"/>
      <c r="BOD198" s="412"/>
      <c r="BOE198" s="412"/>
      <c r="BOF198" s="412"/>
      <c r="BOG198" s="412"/>
      <c r="BOH198" s="412"/>
      <c r="BOI198" s="412"/>
      <c r="BOJ198" s="412"/>
      <c r="BOK198" s="412"/>
      <c r="BOL198" s="412"/>
      <c r="BOM198" s="412"/>
      <c r="BON198" s="412"/>
      <c r="BOO198" s="412"/>
      <c r="BOP198" s="412"/>
      <c r="BOQ198" s="412"/>
      <c r="BOR198" s="412"/>
      <c r="BOS198" s="412"/>
      <c r="BOT198" s="412"/>
      <c r="BOU198" s="412"/>
      <c r="BOV198" s="412"/>
      <c r="BOW198" s="412"/>
      <c r="BOX198" s="412"/>
      <c r="BOY198" s="412"/>
      <c r="BOZ198" s="412"/>
      <c r="BPA198" s="412"/>
      <c r="BPB198" s="412"/>
      <c r="BPC198" s="412"/>
      <c r="BPD198" s="412"/>
      <c r="BPE198" s="412"/>
      <c r="BPF198" s="412"/>
      <c r="BPG198" s="412"/>
      <c r="BPH198" s="412"/>
      <c r="BPI198" s="412"/>
      <c r="BPJ198" s="412"/>
      <c r="BPK198" s="412"/>
      <c r="BPL198" s="412"/>
      <c r="BPM198" s="412"/>
      <c r="BPN198" s="412"/>
      <c r="BPO198" s="412"/>
      <c r="BPP198" s="412"/>
      <c r="BPQ198" s="412"/>
      <c r="BPR198" s="412"/>
      <c r="BPS198" s="412"/>
      <c r="BPT198" s="412"/>
      <c r="BPU198" s="412"/>
      <c r="BPV198" s="412"/>
      <c r="BPW198" s="412"/>
      <c r="BPX198" s="412"/>
      <c r="BPY198" s="412"/>
      <c r="BPZ198" s="412"/>
      <c r="BQA198" s="412"/>
      <c r="BQB198" s="412"/>
      <c r="BQC198" s="412"/>
      <c r="BQD198" s="412"/>
      <c r="BQE198" s="412"/>
      <c r="BQF198" s="412"/>
      <c r="BQG198" s="412"/>
      <c r="BQH198" s="412"/>
      <c r="BQI198" s="412"/>
      <c r="BQJ198" s="412"/>
      <c r="BQK198" s="412"/>
      <c r="BQL198" s="412"/>
      <c r="BQM198" s="412"/>
      <c r="BQN198" s="412"/>
      <c r="BQO198" s="412"/>
      <c r="BQP198" s="412"/>
      <c r="BQQ198" s="412"/>
      <c r="BQR198" s="412"/>
      <c r="BQS198" s="412"/>
      <c r="BQT198" s="412"/>
      <c r="BQU198" s="412"/>
      <c r="BQV198" s="412"/>
      <c r="BQW198" s="412"/>
      <c r="BQX198" s="412"/>
      <c r="BQY198" s="412"/>
      <c r="BQZ198" s="412"/>
      <c r="BRA198" s="412"/>
      <c r="BRB198" s="412"/>
      <c r="BRC198" s="412"/>
      <c r="BRD198" s="412"/>
      <c r="BRE198" s="412"/>
      <c r="BRF198" s="412"/>
      <c r="BRG198" s="412"/>
      <c r="BRH198" s="412"/>
      <c r="BRI198" s="412"/>
      <c r="BRJ198" s="412"/>
      <c r="BRK198" s="412"/>
      <c r="BRL198" s="412"/>
      <c r="BRM198" s="412"/>
      <c r="BRN198" s="412"/>
      <c r="BRO198" s="412"/>
      <c r="BRP198" s="412"/>
      <c r="BRQ198" s="412"/>
      <c r="BRR198" s="412"/>
      <c r="BRS198" s="412"/>
      <c r="BRT198" s="412"/>
      <c r="BRU198" s="412"/>
      <c r="BRV198" s="412"/>
      <c r="BRW198" s="412"/>
      <c r="BRX198" s="412"/>
      <c r="BRY198" s="412"/>
      <c r="BRZ198" s="412"/>
      <c r="BSA198" s="412"/>
      <c r="BSB198" s="412"/>
      <c r="BSC198" s="412"/>
      <c r="BSD198" s="412"/>
      <c r="BSE198" s="412"/>
      <c r="BSF198" s="412"/>
      <c r="BSG198" s="412"/>
      <c r="BSH198" s="412"/>
      <c r="BSI198" s="412"/>
      <c r="BSJ198" s="412"/>
      <c r="BSK198" s="412"/>
      <c r="BSL198" s="412"/>
      <c r="BSM198" s="412"/>
      <c r="BSN198" s="412"/>
      <c r="BSO198" s="412"/>
      <c r="BSP198" s="412"/>
      <c r="BSQ198" s="412"/>
      <c r="BSR198" s="412"/>
      <c r="BSS198" s="412"/>
      <c r="BST198" s="412"/>
      <c r="BSU198" s="412"/>
      <c r="BSV198" s="412"/>
      <c r="BSW198" s="412"/>
      <c r="BSX198" s="412"/>
      <c r="BSY198" s="412"/>
      <c r="BSZ198" s="412"/>
      <c r="BTA198" s="412"/>
      <c r="BTB198" s="412"/>
      <c r="BTC198" s="412"/>
      <c r="BTD198" s="412"/>
      <c r="BTE198" s="412"/>
      <c r="BTF198" s="412"/>
      <c r="BTG198" s="412"/>
      <c r="BTH198" s="412"/>
      <c r="BTI198" s="412"/>
    </row>
    <row r="199" spans="1:1881" ht="55.5" customHeight="1" x14ac:dyDescent="0.25">
      <c r="A199" s="189">
        <v>357</v>
      </c>
      <c r="B199" s="151" t="s">
        <v>63</v>
      </c>
      <c r="C199" s="183" t="s">
        <v>238</v>
      </c>
      <c r="D199" s="175" t="s">
        <v>23</v>
      </c>
      <c r="E199" s="32" t="e">
        <f>HLOOKUP($D$2,'2019 Data(H)'!$C$1:$CG$300,119,FALSE)</f>
        <v>#N/A</v>
      </c>
      <c r="F199" s="609"/>
      <c r="G199" s="601">
        <f>IF(F199&lt;0,"Error: Enter as positive.",)</f>
        <v>0</v>
      </c>
      <c r="H199" s="13"/>
      <c r="I199" s="298"/>
    </row>
    <row r="200" spans="1:1881" s="321" customFormat="1" ht="35.25" customHeight="1" x14ac:dyDescent="0.3">
      <c r="A200" s="190"/>
      <c r="B200" s="162" t="s">
        <v>11</v>
      </c>
      <c r="C200" s="161"/>
      <c r="D200" s="156"/>
      <c r="E200" s="163"/>
      <c r="F200" s="754"/>
      <c r="G200" s="575"/>
      <c r="H200" s="13"/>
      <c r="I200" s="31"/>
      <c r="J200" s="412"/>
      <c r="K200" s="412"/>
      <c r="L200" s="412"/>
      <c r="M200" s="412"/>
      <c r="N200"/>
      <c r="O200" s="412"/>
      <c r="P200" s="412"/>
      <c r="Q200" s="412"/>
      <c r="R200" s="412"/>
      <c r="S200" s="412"/>
      <c r="T200" s="412"/>
      <c r="U200" s="412"/>
      <c r="V200" s="412"/>
      <c r="W200" s="412"/>
      <c r="X200" s="412"/>
      <c r="Y200" s="412"/>
      <c r="Z200" s="412"/>
      <c r="AA200" s="412"/>
      <c r="AB200" s="412"/>
      <c r="AC200" s="412"/>
      <c r="AD200" s="412"/>
      <c r="AE200" s="412"/>
      <c r="AF200" s="412"/>
      <c r="AG200" s="412"/>
      <c r="AH200" s="412"/>
      <c r="AI200" s="412"/>
      <c r="AJ200" s="412"/>
      <c r="AK200" s="412"/>
      <c r="AL200" s="412"/>
      <c r="AM200" s="412"/>
      <c r="AN200" s="412"/>
      <c r="AO200" s="412"/>
      <c r="AP200" s="412"/>
      <c r="AQ200" s="412"/>
      <c r="AR200" s="412"/>
      <c r="AS200" s="412"/>
      <c r="AT200" s="412"/>
      <c r="AU200" s="412"/>
      <c r="AV200" s="412"/>
      <c r="AW200" s="412"/>
      <c r="AX200" s="412"/>
      <c r="AY200" s="412"/>
      <c r="AZ200" s="412"/>
      <c r="BA200" s="412"/>
      <c r="BB200" s="412"/>
      <c r="BC200" s="412"/>
      <c r="BD200" s="412"/>
      <c r="BE200" s="412"/>
      <c r="BF200" s="412"/>
      <c r="BG200" s="412"/>
      <c r="BH200" s="412"/>
      <c r="BI200" s="412"/>
      <c r="BJ200" s="412"/>
      <c r="BK200" s="412"/>
      <c r="BL200" s="412"/>
      <c r="BM200" s="412"/>
      <c r="BN200" s="412"/>
      <c r="BO200" s="412"/>
      <c r="BP200" s="412"/>
      <c r="BQ200" s="412"/>
      <c r="BR200" s="412"/>
      <c r="BS200" s="412"/>
      <c r="BT200" s="412"/>
      <c r="BU200" s="412"/>
      <c r="BV200" s="412"/>
      <c r="BW200" s="412"/>
      <c r="BX200" s="412"/>
      <c r="BY200" s="412"/>
      <c r="BZ200" s="412"/>
      <c r="CA200" s="412"/>
      <c r="CB200" s="412"/>
      <c r="CC200" s="412"/>
      <c r="CD200" s="412"/>
      <c r="CE200" s="412"/>
      <c r="CF200" s="412"/>
      <c r="CG200" s="412"/>
      <c r="CH200" s="412"/>
      <c r="CI200" s="412"/>
      <c r="CJ200" s="412"/>
      <c r="CK200" s="412"/>
      <c r="CL200" s="412"/>
      <c r="CM200" s="412"/>
      <c r="CN200" s="412"/>
      <c r="CO200" s="412"/>
      <c r="CP200" s="412"/>
      <c r="CQ200" s="412"/>
      <c r="CR200" s="412"/>
      <c r="CS200" s="412"/>
      <c r="CT200" s="412"/>
      <c r="CU200" s="412"/>
      <c r="CV200" s="412"/>
      <c r="CW200" s="412"/>
      <c r="CX200" s="412"/>
      <c r="CY200" s="412"/>
      <c r="CZ200" s="412"/>
      <c r="DA200" s="412"/>
      <c r="DB200" s="412"/>
      <c r="DC200" s="412"/>
      <c r="DD200" s="412"/>
      <c r="DE200" s="412"/>
      <c r="DF200" s="412"/>
      <c r="DG200" s="412"/>
      <c r="DH200" s="412"/>
      <c r="DI200" s="412"/>
      <c r="DJ200" s="412"/>
      <c r="DK200" s="412"/>
      <c r="DL200" s="412"/>
      <c r="DM200" s="412"/>
      <c r="DN200" s="412"/>
      <c r="DO200" s="412"/>
      <c r="DP200" s="412"/>
      <c r="DQ200" s="412"/>
      <c r="DR200" s="412"/>
      <c r="DS200" s="412"/>
      <c r="DT200" s="412"/>
      <c r="DU200" s="412"/>
      <c r="DV200" s="412"/>
      <c r="DW200" s="412"/>
      <c r="DX200" s="412"/>
      <c r="DY200" s="412"/>
      <c r="DZ200" s="412"/>
      <c r="EA200" s="412"/>
      <c r="EB200" s="412"/>
      <c r="EC200" s="412"/>
      <c r="ED200" s="412"/>
      <c r="EE200" s="412"/>
      <c r="EF200" s="412"/>
      <c r="EG200" s="412"/>
      <c r="EH200" s="412"/>
      <c r="EI200" s="412"/>
      <c r="EJ200" s="412"/>
      <c r="EK200" s="412"/>
      <c r="EL200" s="412"/>
      <c r="EM200" s="412"/>
      <c r="EN200" s="412"/>
      <c r="EO200" s="412"/>
      <c r="EP200" s="412"/>
      <c r="EQ200" s="412"/>
      <c r="ER200" s="412"/>
      <c r="ES200" s="412"/>
      <c r="ET200" s="412"/>
      <c r="EU200" s="412"/>
      <c r="EV200" s="412"/>
      <c r="EW200" s="412"/>
      <c r="EX200" s="412"/>
      <c r="EY200" s="412"/>
      <c r="EZ200" s="412"/>
      <c r="FA200" s="412"/>
      <c r="FB200" s="412"/>
      <c r="FC200" s="412"/>
      <c r="FD200" s="412"/>
      <c r="FE200" s="412"/>
      <c r="FF200" s="412"/>
      <c r="FG200" s="412"/>
      <c r="FH200" s="412"/>
      <c r="FI200" s="412"/>
      <c r="FJ200" s="412"/>
      <c r="FK200" s="412"/>
      <c r="FL200" s="412"/>
      <c r="FM200" s="412"/>
      <c r="FN200" s="412"/>
      <c r="FO200" s="412"/>
      <c r="FP200" s="412"/>
      <c r="FQ200" s="412"/>
      <c r="FR200" s="412"/>
      <c r="FS200" s="412"/>
      <c r="FT200" s="412"/>
      <c r="FU200" s="412"/>
      <c r="FV200" s="412"/>
      <c r="FW200" s="412"/>
      <c r="FX200" s="412"/>
      <c r="FY200" s="412"/>
      <c r="FZ200" s="412"/>
      <c r="GA200" s="412"/>
      <c r="GB200" s="412"/>
      <c r="GC200" s="412"/>
      <c r="GD200" s="412"/>
      <c r="GE200" s="412"/>
      <c r="GF200" s="412"/>
      <c r="GG200" s="412"/>
      <c r="GH200" s="412"/>
      <c r="GI200" s="412"/>
      <c r="GJ200" s="412"/>
      <c r="GK200" s="412"/>
      <c r="GL200" s="412"/>
      <c r="GM200" s="412"/>
      <c r="GN200" s="412"/>
      <c r="GO200" s="412"/>
      <c r="GP200" s="412"/>
      <c r="GQ200" s="412"/>
      <c r="GR200" s="412"/>
      <c r="GS200" s="412"/>
      <c r="GT200" s="412"/>
      <c r="GU200" s="412"/>
      <c r="GV200" s="412"/>
      <c r="GW200" s="412"/>
      <c r="GX200" s="412"/>
      <c r="GY200" s="412"/>
      <c r="GZ200" s="412"/>
      <c r="HA200" s="412"/>
      <c r="HB200" s="412"/>
      <c r="HC200" s="412"/>
      <c r="HD200" s="412"/>
      <c r="HE200" s="412"/>
      <c r="HF200" s="412"/>
      <c r="HG200" s="412"/>
      <c r="HH200" s="412"/>
      <c r="HI200" s="412"/>
      <c r="HJ200" s="412"/>
      <c r="HK200" s="412"/>
      <c r="HL200" s="412"/>
      <c r="HM200" s="412"/>
      <c r="HN200" s="412"/>
      <c r="HO200" s="412"/>
      <c r="HP200" s="412"/>
      <c r="HQ200" s="412"/>
      <c r="HR200" s="412"/>
      <c r="HS200" s="412"/>
      <c r="HT200" s="412"/>
      <c r="HU200" s="412"/>
      <c r="HV200" s="412"/>
      <c r="HW200" s="412"/>
      <c r="HX200" s="412"/>
      <c r="HY200" s="412"/>
      <c r="HZ200" s="412"/>
      <c r="IA200" s="412"/>
      <c r="IB200" s="412"/>
      <c r="IC200" s="412"/>
      <c r="ID200" s="412"/>
      <c r="IE200" s="412"/>
      <c r="IF200" s="412"/>
      <c r="IG200" s="412"/>
      <c r="IH200" s="412"/>
      <c r="II200" s="412"/>
      <c r="IJ200" s="412"/>
      <c r="IK200" s="412"/>
      <c r="IL200" s="412"/>
      <c r="IM200" s="412"/>
      <c r="IN200" s="412"/>
      <c r="IO200" s="412"/>
      <c r="IP200" s="412"/>
      <c r="IQ200" s="412"/>
      <c r="IR200" s="412"/>
      <c r="IS200" s="412"/>
      <c r="IT200" s="412"/>
      <c r="IU200" s="412"/>
      <c r="IV200" s="412"/>
      <c r="IW200" s="412"/>
      <c r="IX200" s="412"/>
      <c r="IY200" s="412"/>
      <c r="IZ200" s="412"/>
      <c r="JA200" s="412"/>
      <c r="JB200" s="412"/>
      <c r="JC200" s="412"/>
      <c r="JD200" s="412"/>
      <c r="JE200" s="412"/>
      <c r="JF200" s="412"/>
      <c r="JG200" s="412"/>
      <c r="JH200" s="412"/>
      <c r="JI200" s="412"/>
      <c r="JJ200" s="412"/>
      <c r="JK200" s="412"/>
      <c r="JL200" s="412"/>
      <c r="JM200" s="412"/>
      <c r="JN200" s="412"/>
      <c r="JO200" s="412"/>
      <c r="JP200" s="412"/>
      <c r="JQ200" s="412"/>
      <c r="JR200" s="412"/>
      <c r="JS200" s="412"/>
      <c r="JT200" s="412"/>
      <c r="JU200" s="412"/>
      <c r="JV200" s="412"/>
      <c r="JW200" s="412"/>
      <c r="JX200" s="412"/>
      <c r="JY200" s="412"/>
      <c r="JZ200" s="412"/>
      <c r="KA200" s="412"/>
      <c r="KB200" s="412"/>
      <c r="KC200" s="412"/>
      <c r="KD200" s="412"/>
      <c r="KE200" s="412"/>
      <c r="KF200" s="412"/>
      <c r="KG200" s="412"/>
      <c r="KH200" s="412"/>
      <c r="KI200" s="412"/>
      <c r="KJ200" s="412"/>
      <c r="KK200" s="412"/>
      <c r="KL200" s="412"/>
      <c r="KM200" s="412"/>
      <c r="KN200" s="412"/>
      <c r="KO200" s="412"/>
      <c r="KP200" s="412"/>
      <c r="KQ200" s="412"/>
      <c r="KR200" s="412"/>
      <c r="KS200" s="412"/>
      <c r="KT200" s="412"/>
      <c r="KU200" s="412"/>
      <c r="KV200" s="412"/>
      <c r="KW200" s="412"/>
      <c r="KX200" s="412"/>
      <c r="KY200" s="412"/>
      <c r="KZ200" s="412"/>
      <c r="LA200" s="412"/>
      <c r="LB200" s="412"/>
      <c r="LC200" s="412"/>
      <c r="LD200" s="412"/>
      <c r="LE200" s="412"/>
      <c r="LF200" s="412"/>
      <c r="LG200" s="412"/>
      <c r="LH200" s="412"/>
      <c r="LI200" s="412"/>
      <c r="LJ200" s="412"/>
      <c r="LK200" s="412"/>
      <c r="LL200" s="412"/>
      <c r="LM200" s="412"/>
      <c r="LN200" s="412"/>
      <c r="LO200" s="412"/>
      <c r="LP200" s="412"/>
      <c r="LQ200" s="412"/>
      <c r="LR200" s="412"/>
      <c r="LS200" s="412"/>
      <c r="LT200" s="412"/>
      <c r="LU200" s="412"/>
      <c r="LV200" s="412"/>
      <c r="LW200" s="412"/>
      <c r="LX200" s="412"/>
      <c r="LY200" s="412"/>
      <c r="LZ200" s="412"/>
      <c r="MA200" s="412"/>
      <c r="MB200" s="412"/>
      <c r="MC200" s="412"/>
      <c r="MD200" s="412"/>
      <c r="ME200" s="412"/>
      <c r="MF200" s="412"/>
      <c r="MG200" s="412"/>
      <c r="MH200" s="412"/>
      <c r="MI200" s="412"/>
      <c r="MJ200" s="412"/>
      <c r="MK200" s="412"/>
      <c r="ML200" s="412"/>
      <c r="MM200" s="412"/>
      <c r="MN200" s="412"/>
      <c r="MO200" s="412"/>
      <c r="MP200" s="412"/>
      <c r="MQ200" s="412"/>
      <c r="MR200" s="412"/>
      <c r="MS200" s="412"/>
      <c r="MT200" s="412"/>
      <c r="MU200" s="412"/>
      <c r="MV200" s="412"/>
      <c r="MW200" s="412"/>
      <c r="MX200" s="412"/>
      <c r="MY200" s="412"/>
      <c r="MZ200" s="412"/>
      <c r="NA200" s="412"/>
      <c r="NB200" s="412"/>
      <c r="NC200" s="412"/>
      <c r="ND200" s="412"/>
      <c r="NE200" s="412"/>
      <c r="NF200" s="412"/>
      <c r="NG200" s="412"/>
      <c r="NH200" s="412"/>
      <c r="NI200" s="412"/>
      <c r="NJ200" s="412"/>
      <c r="NK200" s="412"/>
      <c r="NL200" s="412"/>
      <c r="NM200" s="412"/>
      <c r="NN200" s="412"/>
      <c r="NO200" s="412"/>
      <c r="NP200" s="412"/>
      <c r="NQ200" s="412"/>
      <c r="NR200" s="412"/>
      <c r="NS200" s="412"/>
      <c r="NT200" s="412"/>
      <c r="NU200" s="412"/>
      <c r="NV200" s="412"/>
      <c r="NW200" s="412"/>
      <c r="NX200" s="412"/>
      <c r="NY200" s="412"/>
      <c r="NZ200" s="412"/>
      <c r="OA200" s="412"/>
      <c r="OB200" s="412"/>
      <c r="OC200" s="412"/>
      <c r="OD200" s="412"/>
      <c r="OE200" s="412"/>
      <c r="OF200" s="412"/>
      <c r="OG200" s="412"/>
      <c r="OH200" s="412"/>
      <c r="OI200" s="412"/>
      <c r="OJ200" s="412"/>
      <c r="OK200" s="412"/>
      <c r="OL200" s="412"/>
      <c r="OM200" s="412"/>
      <c r="ON200" s="412"/>
      <c r="OO200" s="412"/>
      <c r="OP200" s="412"/>
      <c r="OQ200" s="412"/>
      <c r="OR200" s="412"/>
      <c r="OS200" s="412"/>
      <c r="OT200" s="412"/>
      <c r="OU200" s="412"/>
      <c r="OV200" s="412"/>
      <c r="OW200" s="412"/>
      <c r="OX200" s="412"/>
      <c r="OY200" s="412"/>
      <c r="OZ200" s="412"/>
      <c r="PA200" s="412"/>
      <c r="PB200" s="412"/>
      <c r="PC200" s="412"/>
      <c r="PD200" s="412"/>
      <c r="PE200" s="412"/>
      <c r="PF200" s="412"/>
      <c r="PG200" s="412"/>
      <c r="PH200" s="412"/>
      <c r="PI200" s="412"/>
      <c r="PJ200" s="412"/>
      <c r="PK200" s="412"/>
      <c r="PL200" s="412"/>
      <c r="PM200" s="412"/>
      <c r="PN200" s="412"/>
      <c r="PO200" s="412"/>
      <c r="PP200" s="412"/>
      <c r="PQ200" s="412"/>
      <c r="PR200" s="412"/>
      <c r="PS200" s="412"/>
      <c r="PT200" s="412"/>
      <c r="PU200" s="412"/>
      <c r="PV200" s="412"/>
      <c r="PW200" s="412"/>
      <c r="PX200" s="412"/>
      <c r="PY200" s="412"/>
      <c r="PZ200" s="412"/>
      <c r="QA200" s="412"/>
      <c r="QB200" s="412"/>
      <c r="QC200" s="412"/>
      <c r="QD200" s="412"/>
      <c r="QE200" s="412"/>
      <c r="QF200" s="412"/>
      <c r="QG200" s="412"/>
      <c r="QH200" s="412"/>
      <c r="QI200" s="412"/>
      <c r="QJ200" s="412"/>
      <c r="QK200" s="412"/>
      <c r="QL200" s="412"/>
      <c r="QM200" s="412"/>
      <c r="QN200" s="412"/>
      <c r="QO200" s="412"/>
      <c r="QP200" s="412"/>
      <c r="QQ200" s="412"/>
      <c r="QR200" s="412"/>
      <c r="QS200" s="412"/>
      <c r="QT200" s="412"/>
      <c r="QU200" s="412"/>
      <c r="QV200" s="412"/>
      <c r="QW200" s="412"/>
      <c r="QX200" s="412"/>
      <c r="QY200" s="412"/>
      <c r="QZ200" s="412"/>
      <c r="RA200" s="412"/>
      <c r="RB200" s="412"/>
      <c r="RC200" s="412"/>
      <c r="RD200" s="412"/>
      <c r="RE200" s="412"/>
      <c r="RF200" s="412"/>
      <c r="RG200" s="412"/>
      <c r="RH200" s="412"/>
      <c r="RI200" s="412"/>
      <c r="RJ200" s="412"/>
      <c r="RK200" s="412"/>
      <c r="RL200" s="412"/>
      <c r="RM200" s="412"/>
      <c r="RN200" s="412"/>
      <c r="RO200" s="412"/>
      <c r="RP200" s="412"/>
      <c r="RQ200" s="412"/>
      <c r="RR200" s="412"/>
      <c r="RS200" s="412"/>
      <c r="RT200" s="412"/>
      <c r="RU200" s="412"/>
      <c r="RV200" s="412"/>
      <c r="RW200" s="412"/>
      <c r="RX200" s="412"/>
      <c r="RY200" s="412"/>
      <c r="RZ200" s="412"/>
      <c r="SA200" s="412"/>
      <c r="SB200" s="412"/>
      <c r="SC200" s="412"/>
      <c r="SD200" s="412"/>
      <c r="SE200" s="412"/>
      <c r="SF200" s="412"/>
      <c r="SG200" s="412"/>
      <c r="SH200" s="412"/>
      <c r="SI200" s="412"/>
      <c r="SJ200" s="412"/>
      <c r="SK200" s="412"/>
      <c r="SL200" s="412"/>
      <c r="SM200" s="412"/>
      <c r="SN200" s="412"/>
      <c r="SO200" s="412"/>
      <c r="SP200" s="412"/>
      <c r="SQ200" s="412"/>
      <c r="SR200" s="412"/>
      <c r="SS200" s="412"/>
      <c r="ST200" s="412"/>
      <c r="SU200" s="412"/>
      <c r="SV200" s="412"/>
      <c r="SW200" s="412"/>
      <c r="SX200" s="412"/>
      <c r="SY200" s="412"/>
      <c r="SZ200" s="412"/>
      <c r="TA200" s="412"/>
      <c r="TB200" s="412"/>
      <c r="TC200" s="412"/>
      <c r="TD200" s="412"/>
      <c r="TE200" s="412"/>
      <c r="TF200" s="412"/>
      <c r="TG200" s="412"/>
      <c r="TH200" s="412"/>
      <c r="TI200" s="412"/>
      <c r="TJ200" s="412"/>
      <c r="TK200" s="412"/>
      <c r="TL200" s="412"/>
      <c r="TM200" s="412"/>
      <c r="TN200" s="412"/>
      <c r="TO200" s="412"/>
      <c r="TP200" s="412"/>
      <c r="TQ200" s="412"/>
      <c r="TR200" s="412"/>
      <c r="TS200" s="412"/>
      <c r="TT200" s="412"/>
      <c r="TU200" s="412"/>
      <c r="TV200" s="412"/>
      <c r="TW200" s="412"/>
      <c r="TX200" s="412"/>
      <c r="TY200" s="412"/>
      <c r="TZ200" s="412"/>
      <c r="UA200" s="412"/>
      <c r="UB200" s="412"/>
      <c r="UC200" s="412"/>
      <c r="UD200" s="412"/>
      <c r="UE200" s="412"/>
      <c r="UF200" s="412"/>
      <c r="UG200" s="412"/>
      <c r="UH200" s="412"/>
      <c r="UI200" s="412"/>
      <c r="UJ200" s="412"/>
      <c r="UK200" s="412"/>
      <c r="UL200" s="412"/>
      <c r="UM200" s="412"/>
      <c r="UN200" s="412"/>
      <c r="UO200" s="412"/>
      <c r="UP200" s="412"/>
      <c r="UQ200" s="412"/>
      <c r="UR200" s="412"/>
      <c r="US200" s="412"/>
      <c r="UT200" s="412"/>
      <c r="UU200" s="412"/>
      <c r="UV200" s="412"/>
      <c r="UW200" s="412"/>
      <c r="UX200" s="412"/>
      <c r="UY200" s="412"/>
      <c r="UZ200" s="412"/>
      <c r="VA200" s="412"/>
      <c r="VB200" s="412"/>
      <c r="VC200" s="412"/>
      <c r="VD200" s="412"/>
      <c r="VE200" s="412"/>
      <c r="VF200" s="412"/>
      <c r="VG200" s="412"/>
      <c r="VH200" s="412"/>
      <c r="VI200" s="412"/>
      <c r="VJ200" s="412"/>
      <c r="VK200" s="412"/>
      <c r="VL200" s="412"/>
      <c r="VM200" s="412"/>
      <c r="VN200" s="412"/>
      <c r="VO200" s="412"/>
      <c r="VP200" s="412"/>
      <c r="VQ200" s="412"/>
      <c r="VR200" s="412"/>
      <c r="VS200" s="412"/>
      <c r="VT200" s="412"/>
      <c r="VU200" s="412"/>
      <c r="VV200" s="412"/>
      <c r="VW200" s="412"/>
      <c r="VX200" s="412"/>
      <c r="VY200" s="412"/>
      <c r="VZ200" s="412"/>
      <c r="WA200" s="412"/>
      <c r="WB200" s="412"/>
      <c r="WC200" s="412"/>
      <c r="WD200" s="412"/>
      <c r="WE200" s="412"/>
      <c r="WF200" s="412"/>
      <c r="WG200" s="412"/>
      <c r="WH200" s="412"/>
      <c r="WI200" s="412"/>
      <c r="WJ200" s="412"/>
      <c r="WK200" s="412"/>
      <c r="WL200" s="412"/>
      <c r="WM200" s="412"/>
      <c r="WN200" s="412"/>
      <c r="WO200" s="412"/>
      <c r="WP200" s="412"/>
      <c r="WQ200" s="412"/>
      <c r="WR200" s="412"/>
      <c r="WS200" s="412"/>
      <c r="WT200" s="412"/>
      <c r="WU200" s="412"/>
      <c r="WV200" s="412"/>
      <c r="WW200" s="412"/>
      <c r="WX200" s="412"/>
      <c r="WY200" s="412"/>
      <c r="WZ200" s="412"/>
      <c r="XA200" s="412"/>
      <c r="XB200" s="412"/>
      <c r="XC200" s="412"/>
      <c r="XD200" s="412"/>
      <c r="XE200" s="412"/>
      <c r="XF200" s="412"/>
      <c r="XG200" s="412"/>
      <c r="XH200" s="412"/>
      <c r="XI200" s="412"/>
      <c r="XJ200" s="412"/>
      <c r="XK200" s="412"/>
      <c r="XL200" s="412"/>
      <c r="XM200" s="412"/>
      <c r="XN200" s="412"/>
      <c r="XO200" s="412"/>
      <c r="XP200" s="412"/>
      <c r="XQ200" s="412"/>
      <c r="XR200" s="412"/>
      <c r="XS200" s="412"/>
      <c r="XT200" s="412"/>
      <c r="XU200" s="412"/>
      <c r="XV200" s="412"/>
      <c r="XW200" s="412"/>
      <c r="XX200" s="412"/>
      <c r="XY200" s="412"/>
      <c r="XZ200" s="412"/>
      <c r="YA200" s="412"/>
      <c r="YB200" s="412"/>
      <c r="YC200" s="412"/>
      <c r="YD200" s="412"/>
      <c r="YE200" s="412"/>
      <c r="YF200" s="412"/>
      <c r="YG200" s="412"/>
      <c r="YH200" s="412"/>
      <c r="YI200" s="412"/>
      <c r="YJ200" s="412"/>
      <c r="YK200" s="412"/>
      <c r="YL200" s="412"/>
      <c r="YM200" s="412"/>
      <c r="YN200" s="412"/>
      <c r="YO200" s="412"/>
      <c r="YP200" s="412"/>
      <c r="YQ200" s="412"/>
      <c r="YR200" s="412"/>
      <c r="YS200" s="412"/>
      <c r="YT200" s="412"/>
      <c r="YU200" s="412"/>
      <c r="YV200" s="412"/>
      <c r="YW200" s="412"/>
      <c r="YX200" s="412"/>
      <c r="YY200" s="412"/>
      <c r="YZ200" s="412"/>
      <c r="ZA200" s="412"/>
      <c r="ZB200" s="412"/>
      <c r="ZC200" s="412"/>
      <c r="ZD200" s="412"/>
      <c r="ZE200" s="412"/>
      <c r="ZF200" s="412"/>
      <c r="ZG200" s="412"/>
      <c r="ZH200" s="412"/>
      <c r="ZI200" s="412"/>
      <c r="ZJ200" s="412"/>
      <c r="ZK200" s="412"/>
      <c r="ZL200" s="412"/>
      <c r="ZM200" s="412"/>
      <c r="ZN200" s="412"/>
      <c r="ZO200" s="412"/>
      <c r="ZP200" s="412"/>
      <c r="ZQ200" s="412"/>
      <c r="ZR200" s="412"/>
      <c r="ZS200" s="412"/>
      <c r="ZT200" s="412"/>
      <c r="ZU200" s="412"/>
      <c r="ZV200" s="412"/>
      <c r="ZW200" s="412"/>
      <c r="ZX200" s="412"/>
      <c r="ZY200" s="412"/>
      <c r="ZZ200" s="412"/>
      <c r="AAA200" s="412"/>
      <c r="AAB200" s="412"/>
      <c r="AAC200" s="412"/>
      <c r="AAD200" s="412"/>
      <c r="AAE200" s="412"/>
      <c r="AAF200" s="412"/>
      <c r="AAG200" s="412"/>
      <c r="AAH200" s="412"/>
      <c r="AAI200" s="412"/>
      <c r="AAJ200" s="412"/>
      <c r="AAK200" s="412"/>
      <c r="AAL200" s="412"/>
      <c r="AAM200" s="412"/>
      <c r="AAN200" s="412"/>
      <c r="AAO200" s="412"/>
      <c r="AAP200" s="412"/>
      <c r="AAQ200" s="412"/>
      <c r="AAR200" s="412"/>
      <c r="AAS200" s="412"/>
      <c r="AAT200" s="412"/>
      <c r="AAU200" s="412"/>
      <c r="AAV200" s="412"/>
      <c r="AAW200" s="412"/>
      <c r="AAX200" s="412"/>
      <c r="AAY200" s="412"/>
      <c r="AAZ200" s="412"/>
      <c r="ABA200" s="412"/>
      <c r="ABB200" s="412"/>
      <c r="ABC200" s="412"/>
      <c r="ABD200" s="412"/>
      <c r="ABE200" s="412"/>
      <c r="ABF200" s="412"/>
      <c r="ABG200" s="412"/>
      <c r="ABH200" s="412"/>
      <c r="ABI200" s="412"/>
      <c r="ABJ200" s="412"/>
      <c r="ABK200" s="412"/>
      <c r="ABL200" s="412"/>
      <c r="ABM200" s="412"/>
      <c r="ABN200" s="412"/>
      <c r="ABO200" s="412"/>
      <c r="ABP200" s="412"/>
      <c r="ABQ200" s="412"/>
      <c r="ABR200" s="412"/>
      <c r="ABS200" s="412"/>
      <c r="ABT200" s="412"/>
      <c r="ABU200" s="412"/>
      <c r="ABV200" s="412"/>
      <c r="ABW200" s="412"/>
      <c r="ABX200" s="412"/>
      <c r="ABY200" s="412"/>
      <c r="ABZ200" s="412"/>
      <c r="ACA200" s="412"/>
      <c r="ACB200" s="412"/>
      <c r="ACC200" s="412"/>
      <c r="ACD200" s="412"/>
      <c r="ACE200" s="412"/>
      <c r="ACF200" s="412"/>
      <c r="ACG200" s="412"/>
      <c r="ACH200" s="412"/>
      <c r="ACI200" s="412"/>
      <c r="ACJ200" s="412"/>
      <c r="ACK200" s="412"/>
      <c r="ACL200" s="412"/>
      <c r="ACM200" s="412"/>
      <c r="ACN200" s="412"/>
      <c r="ACO200" s="412"/>
      <c r="ACP200" s="412"/>
      <c r="ACQ200" s="412"/>
      <c r="ACR200" s="412"/>
      <c r="ACS200" s="412"/>
      <c r="ACT200" s="412"/>
      <c r="ACU200" s="412"/>
      <c r="ACV200" s="412"/>
      <c r="ACW200" s="412"/>
      <c r="ACX200" s="412"/>
      <c r="ACY200" s="412"/>
      <c r="ACZ200" s="412"/>
      <c r="ADA200" s="412"/>
      <c r="ADB200" s="412"/>
      <c r="ADC200" s="412"/>
      <c r="ADD200" s="412"/>
      <c r="ADE200" s="412"/>
      <c r="ADF200" s="412"/>
      <c r="ADG200" s="412"/>
      <c r="ADH200" s="412"/>
      <c r="ADI200" s="412"/>
      <c r="ADJ200" s="412"/>
      <c r="ADK200" s="412"/>
      <c r="ADL200" s="412"/>
      <c r="ADM200" s="412"/>
      <c r="ADN200" s="412"/>
      <c r="ADO200" s="412"/>
      <c r="ADP200" s="412"/>
      <c r="ADQ200" s="412"/>
      <c r="ADR200" s="412"/>
      <c r="ADS200" s="412"/>
      <c r="ADT200" s="412"/>
      <c r="ADU200" s="412"/>
      <c r="ADV200" s="412"/>
      <c r="ADW200" s="412"/>
      <c r="ADX200" s="412"/>
      <c r="ADY200" s="412"/>
      <c r="ADZ200" s="412"/>
      <c r="AEA200" s="412"/>
      <c r="AEB200" s="412"/>
      <c r="AEC200" s="412"/>
      <c r="AED200" s="412"/>
      <c r="AEE200" s="412"/>
      <c r="AEF200" s="412"/>
      <c r="AEG200" s="412"/>
      <c r="AEH200" s="412"/>
      <c r="AEI200" s="412"/>
      <c r="AEJ200" s="412"/>
      <c r="AEK200" s="412"/>
      <c r="AEL200" s="412"/>
      <c r="AEM200" s="412"/>
      <c r="AEN200" s="412"/>
      <c r="AEO200" s="412"/>
      <c r="AEP200" s="412"/>
      <c r="AEQ200" s="412"/>
      <c r="AER200" s="412"/>
      <c r="AES200" s="412"/>
      <c r="AET200" s="412"/>
      <c r="AEU200" s="412"/>
      <c r="AEV200" s="412"/>
      <c r="AEW200" s="412"/>
      <c r="AEX200" s="412"/>
      <c r="AEY200" s="412"/>
      <c r="AEZ200" s="412"/>
      <c r="AFA200" s="412"/>
      <c r="AFB200" s="412"/>
      <c r="AFC200" s="412"/>
      <c r="AFD200" s="412"/>
      <c r="AFE200" s="412"/>
      <c r="AFF200" s="412"/>
      <c r="AFG200" s="412"/>
      <c r="AFH200" s="412"/>
      <c r="AFI200" s="412"/>
      <c r="AFJ200" s="412"/>
      <c r="AFK200" s="412"/>
      <c r="AFL200" s="412"/>
      <c r="AFM200" s="412"/>
      <c r="AFN200" s="412"/>
      <c r="AFO200" s="412"/>
      <c r="AFP200" s="412"/>
      <c r="AFQ200" s="412"/>
      <c r="AFR200" s="412"/>
      <c r="AFS200" s="412"/>
      <c r="AFT200" s="412"/>
      <c r="AFU200" s="412"/>
      <c r="AFV200" s="412"/>
      <c r="AFW200" s="412"/>
      <c r="AFX200" s="412"/>
      <c r="AFY200" s="412"/>
      <c r="AFZ200" s="412"/>
      <c r="AGA200" s="412"/>
      <c r="AGB200" s="412"/>
      <c r="AGC200" s="412"/>
      <c r="AGD200" s="412"/>
      <c r="AGE200" s="412"/>
      <c r="AGF200" s="412"/>
      <c r="AGG200" s="412"/>
      <c r="AGH200" s="412"/>
      <c r="AGI200" s="412"/>
      <c r="AGJ200" s="412"/>
      <c r="AGK200" s="412"/>
      <c r="AGL200" s="412"/>
      <c r="AGM200" s="412"/>
      <c r="AGN200" s="412"/>
      <c r="AGO200" s="412"/>
      <c r="AGP200" s="412"/>
      <c r="AGQ200" s="412"/>
      <c r="AGR200" s="412"/>
      <c r="AGS200" s="412"/>
      <c r="AGT200" s="412"/>
      <c r="AGU200" s="412"/>
      <c r="AGV200" s="412"/>
      <c r="AGW200" s="412"/>
      <c r="AGX200" s="412"/>
      <c r="AGY200" s="412"/>
      <c r="AGZ200" s="412"/>
      <c r="AHA200" s="412"/>
      <c r="AHB200" s="412"/>
      <c r="AHC200" s="412"/>
      <c r="AHD200" s="412"/>
      <c r="AHE200" s="412"/>
      <c r="AHF200" s="412"/>
      <c r="AHG200" s="412"/>
      <c r="AHH200" s="412"/>
      <c r="AHI200" s="412"/>
      <c r="AHJ200" s="412"/>
      <c r="AHK200" s="412"/>
      <c r="AHL200" s="412"/>
      <c r="AHM200" s="412"/>
      <c r="AHN200" s="412"/>
      <c r="AHO200" s="412"/>
      <c r="AHP200" s="412"/>
      <c r="AHQ200" s="412"/>
      <c r="AHR200" s="412"/>
      <c r="AHS200" s="412"/>
      <c r="AHT200" s="412"/>
      <c r="AHU200" s="412"/>
      <c r="AHV200" s="412"/>
      <c r="AHW200" s="412"/>
      <c r="AHX200" s="412"/>
      <c r="AHY200" s="412"/>
      <c r="AHZ200" s="412"/>
      <c r="AIA200" s="412"/>
      <c r="AIB200" s="412"/>
      <c r="AIC200" s="412"/>
      <c r="AID200" s="412"/>
      <c r="AIE200" s="412"/>
      <c r="AIF200" s="412"/>
      <c r="AIG200" s="412"/>
      <c r="AIH200" s="412"/>
      <c r="AII200" s="412"/>
      <c r="AIJ200" s="412"/>
      <c r="AIK200" s="412"/>
      <c r="AIL200" s="412"/>
      <c r="AIM200" s="412"/>
      <c r="AIN200" s="412"/>
      <c r="AIO200" s="412"/>
      <c r="AIP200" s="412"/>
      <c r="AIQ200" s="412"/>
      <c r="AIR200" s="412"/>
      <c r="AIS200" s="412"/>
      <c r="AIT200" s="412"/>
      <c r="AIU200" s="412"/>
      <c r="AIV200" s="412"/>
      <c r="AIW200" s="412"/>
      <c r="AIX200" s="412"/>
      <c r="AIY200" s="412"/>
      <c r="AIZ200" s="412"/>
      <c r="AJA200" s="412"/>
      <c r="AJB200" s="412"/>
      <c r="AJC200" s="412"/>
      <c r="AJD200" s="412"/>
      <c r="AJE200" s="412"/>
      <c r="AJF200" s="412"/>
      <c r="AJG200" s="412"/>
      <c r="AJH200" s="412"/>
      <c r="AJI200" s="412"/>
      <c r="AJJ200" s="412"/>
      <c r="AJK200" s="412"/>
      <c r="AJL200" s="412"/>
      <c r="AJM200" s="412"/>
      <c r="AJN200" s="412"/>
      <c r="AJO200" s="412"/>
      <c r="AJP200" s="412"/>
      <c r="AJQ200" s="412"/>
      <c r="AJR200" s="412"/>
      <c r="AJS200" s="412"/>
      <c r="AJT200" s="412"/>
      <c r="AJU200" s="412"/>
      <c r="AJV200" s="412"/>
      <c r="AJW200" s="412"/>
      <c r="AJX200" s="412"/>
      <c r="AJY200" s="412"/>
      <c r="AJZ200" s="412"/>
      <c r="AKA200" s="412"/>
      <c r="AKB200" s="412"/>
      <c r="AKC200" s="412"/>
      <c r="AKD200" s="412"/>
      <c r="AKE200" s="412"/>
      <c r="AKF200" s="412"/>
      <c r="AKG200" s="412"/>
      <c r="AKH200" s="412"/>
      <c r="AKI200" s="412"/>
      <c r="AKJ200" s="412"/>
      <c r="AKK200" s="412"/>
      <c r="AKL200" s="412"/>
      <c r="AKM200" s="412"/>
      <c r="AKN200" s="412"/>
      <c r="AKO200" s="412"/>
      <c r="AKP200" s="412"/>
      <c r="AKQ200" s="412"/>
      <c r="AKR200" s="412"/>
      <c r="AKS200" s="412"/>
      <c r="AKT200" s="412"/>
      <c r="AKU200" s="412"/>
      <c r="AKV200" s="412"/>
      <c r="AKW200" s="412"/>
      <c r="AKX200" s="412"/>
      <c r="AKY200" s="412"/>
      <c r="AKZ200" s="412"/>
      <c r="ALA200" s="412"/>
      <c r="ALB200" s="412"/>
      <c r="ALC200" s="412"/>
      <c r="ALD200" s="412"/>
      <c r="ALE200" s="412"/>
      <c r="ALF200" s="412"/>
      <c r="ALG200" s="412"/>
      <c r="ALH200" s="412"/>
      <c r="ALI200" s="412"/>
      <c r="ALJ200" s="412"/>
      <c r="ALK200" s="412"/>
      <c r="ALL200" s="412"/>
      <c r="ALM200" s="412"/>
      <c r="ALN200" s="412"/>
      <c r="ALO200" s="412"/>
      <c r="ALP200" s="412"/>
      <c r="ALQ200" s="412"/>
      <c r="ALR200" s="412"/>
      <c r="ALS200" s="412"/>
      <c r="ALT200" s="412"/>
      <c r="ALU200" s="412"/>
      <c r="ALV200" s="412"/>
      <c r="ALW200" s="412"/>
      <c r="ALX200" s="412"/>
      <c r="ALY200" s="412"/>
      <c r="ALZ200" s="412"/>
      <c r="AMA200" s="412"/>
      <c r="AMB200" s="412"/>
      <c r="AMC200" s="412"/>
      <c r="AMD200" s="412"/>
      <c r="AME200" s="412"/>
      <c r="AMF200" s="412"/>
      <c r="AMG200" s="412"/>
      <c r="AMH200" s="412"/>
      <c r="AMI200" s="412"/>
      <c r="AMJ200" s="412"/>
      <c r="AMK200" s="412"/>
      <c r="AML200" s="412"/>
      <c r="AMM200" s="412"/>
      <c r="AMN200" s="412"/>
      <c r="AMO200" s="412"/>
      <c r="AMP200" s="412"/>
      <c r="AMQ200" s="412"/>
      <c r="AMR200" s="412"/>
      <c r="AMS200" s="412"/>
      <c r="AMT200" s="412"/>
      <c r="AMU200" s="412"/>
      <c r="AMV200" s="412"/>
      <c r="AMW200" s="412"/>
      <c r="AMX200" s="412"/>
      <c r="AMY200" s="412"/>
      <c r="AMZ200" s="412"/>
      <c r="ANA200" s="412"/>
      <c r="ANB200" s="412"/>
      <c r="ANC200" s="412"/>
      <c r="AND200" s="412"/>
      <c r="ANE200" s="412"/>
      <c r="ANF200" s="412"/>
      <c r="ANG200" s="412"/>
      <c r="ANH200" s="412"/>
      <c r="ANI200" s="412"/>
      <c r="ANJ200" s="412"/>
      <c r="ANK200" s="412"/>
      <c r="ANL200" s="412"/>
      <c r="ANM200" s="412"/>
      <c r="ANN200" s="412"/>
      <c r="ANO200" s="412"/>
      <c r="ANP200" s="412"/>
      <c r="ANQ200" s="412"/>
      <c r="ANR200" s="412"/>
      <c r="ANS200" s="412"/>
      <c r="ANT200" s="412"/>
      <c r="ANU200" s="412"/>
      <c r="ANV200" s="412"/>
      <c r="ANW200" s="412"/>
      <c r="ANX200" s="412"/>
      <c r="ANY200" s="412"/>
      <c r="ANZ200" s="412"/>
      <c r="AOA200" s="412"/>
      <c r="AOB200" s="412"/>
      <c r="AOC200" s="412"/>
      <c r="AOD200" s="412"/>
      <c r="AOE200" s="412"/>
      <c r="AOF200" s="412"/>
      <c r="AOG200" s="412"/>
      <c r="AOH200" s="412"/>
      <c r="AOI200" s="412"/>
      <c r="AOJ200" s="412"/>
      <c r="AOK200" s="412"/>
      <c r="AOL200" s="412"/>
      <c r="AOM200" s="412"/>
      <c r="AON200" s="412"/>
      <c r="AOO200" s="412"/>
      <c r="AOP200" s="412"/>
      <c r="AOQ200" s="412"/>
      <c r="AOR200" s="412"/>
      <c r="AOS200" s="412"/>
      <c r="AOT200" s="412"/>
      <c r="AOU200" s="412"/>
      <c r="AOV200" s="412"/>
      <c r="AOW200" s="412"/>
      <c r="AOX200" s="412"/>
      <c r="AOY200" s="412"/>
      <c r="AOZ200" s="412"/>
      <c r="APA200" s="412"/>
      <c r="APB200" s="412"/>
      <c r="APC200" s="412"/>
      <c r="APD200" s="412"/>
      <c r="APE200" s="412"/>
      <c r="APF200" s="412"/>
      <c r="APG200" s="412"/>
      <c r="APH200" s="412"/>
      <c r="API200" s="412"/>
      <c r="APJ200" s="412"/>
      <c r="APK200" s="412"/>
      <c r="APL200" s="412"/>
      <c r="APM200" s="412"/>
      <c r="APN200" s="412"/>
      <c r="APO200" s="412"/>
      <c r="APP200" s="412"/>
      <c r="APQ200" s="412"/>
      <c r="APR200" s="412"/>
      <c r="APS200" s="412"/>
      <c r="APT200" s="412"/>
      <c r="APU200" s="412"/>
      <c r="APV200" s="412"/>
      <c r="APW200" s="412"/>
      <c r="APX200" s="412"/>
      <c r="APY200" s="412"/>
      <c r="APZ200" s="412"/>
      <c r="AQA200" s="412"/>
      <c r="AQB200" s="412"/>
      <c r="AQC200" s="412"/>
      <c r="AQD200" s="412"/>
      <c r="AQE200" s="412"/>
      <c r="AQF200" s="412"/>
      <c r="AQG200" s="412"/>
      <c r="AQH200" s="412"/>
      <c r="AQI200" s="412"/>
      <c r="AQJ200" s="412"/>
      <c r="AQK200" s="412"/>
      <c r="AQL200" s="412"/>
      <c r="AQM200" s="412"/>
      <c r="AQN200" s="412"/>
      <c r="AQO200" s="412"/>
      <c r="AQP200" s="412"/>
      <c r="AQQ200" s="412"/>
      <c r="AQR200" s="412"/>
      <c r="AQS200" s="412"/>
      <c r="AQT200" s="412"/>
      <c r="AQU200" s="412"/>
      <c r="AQV200" s="412"/>
      <c r="AQW200" s="412"/>
      <c r="AQX200" s="412"/>
      <c r="AQY200" s="412"/>
      <c r="AQZ200" s="412"/>
      <c r="ARA200" s="412"/>
      <c r="ARB200" s="412"/>
      <c r="ARC200" s="412"/>
      <c r="ARD200" s="412"/>
      <c r="ARE200" s="412"/>
      <c r="ARF200" s="412"/>
      <c r="ARG200" s="412"/>
      <c r="ARH200" s="412"/>
      <c r="ARI200" s="412"/>
      <c r="ARJ200" s="412"/>
      <c r="ARK200" s="412"/>
      <c r="ARL200" s="412"/>
      <c r="ARM200" s="412"/>
      <c r="ARN200" s="412"/>
      <c r="ARO200" s="412"/>
      <c r="ARP200" s="412"/>
      <c r="ARQ200" s="412"/>
      <c r="ARR200" s="412"/>
      <c r="ARS200" s="412"/>
      <c r="ART200" s="412"/>
      <c r="ARU200" s="412"/>
      <c r="ARV200" s="412"/>
      <c r="ARW200" s="412"/>
      <c r="ARX200" s="412"/>
      <c r="ARY200" s="412"/>
      <c r="ARZ200" s="412"/>
      <c r="ASA200" s="412"/>
      <c r="ASB200" s="412"/>
      <c r="ASC200" s="412"/>
      <c r="ASD200" s="412"/>
      <c r="ASE200" s="412"/>
      <c r="ASF200" s="412"/>
      <c r="ASG200" s="412"/>
      <c r="ASH200" s="412"/>
      <c r="ASI200" s="412"/>
      <c r="ASJ200" s="412"/>
      <c r="ASK200" s="412"/>
      <c r="ASL200" s="412"/>
      <c r="ASM200" s="412"/>
      <c r="ASN200" s="412"/>
      <c r="ASO200" s="412"/>
      <c r="ASP200" s="412"/>
      <c r="ASQ200" s="412"/>
      <c r="ASR200" s="412"/>
      <c r="ASS200" s="412"/>
      <c r="AST200" s="412"/>
      <c r="ASU200" s="412"/>
      <c r="ASV200" s="412"/>
      <c r="ASW200" s="412"/>
      <c r="ASX200" s="412"/>
      <c r="ASY200" s="412"/>
      <c r="ASZ200" s="412"/>
      <c r="ATA200" s="412"/>
      <c r="ATB200" s="412"/>
      <c r="ATC200" s="412"/>
      <c r="ATD200" s="412"/>
      <c r="ATE200" s="412"/>
      <c r="ATF200" s="412"/>
      <c r="ATG200" s="412"/>
      <c r="ATH200" s="412"/>
      <c r="ATI200" s="412"/>
      <c r="ATJ200" s="412"/>
      <c r="ATK200" s="412"/>
      <c r="ATL200" s="412"/>
      <c r="ATM200" s="412"/>
      <c r="ATN200" s="412"/>
      <c r="ATO200" s="412"/>
      <c r="ATP200" s="412"/>
      <c r="ATQ200" s="412"/>
      <c r="ATR200" s="412"/>
      <c r="ATS200" s="412"/>
      <c r="ATT200" s="412"/>
      <c r="ATU200" s="412"/>
      <c r="ATV200" s="412"/>
      <c r="ATW200" s="412"/>
      <c r="ATX200" s="412"/>
      <c r="ATY200" s="412"/>
      <c r="ATZ200" s="412"/>
      <c r="AUA200" s="412"/>
      <c r="AUB200" s="412"/>
      <c r="AUC200" s="412"/>
      <c r="AUD200" s="412"/>
      <c r="AUE200" s="412"/>
      <c r="AUF200" s="412"/>
      <c r="AUG200" s="412"/>
      <c r="AUH200" s="412"/>
      <c r="AUI200" s="412"/>
      <c r="AUJ200" s="412"/>
      <c r="AUK200" s="412"/>
      <c r="AUL200" s="412"/>
      <c r="AUM200" s="412"/>
      <c r="AUN200" s="412"/>
      <c r="AUO200" s="412"/>
      <c r="AUP200" s="412"/>
      <c r="AUQ200" s="412"/>
      <c r="AUR200" s="412"/>
      <c r="AUS200" s="412"/>
      <c r="AUT200" s="412"/>
      <c r="AUU200" s="412"/>
      <c r="AUV200" s="412"/>
      <c r="AUW200" s="412"/>
      <c r="AUX200" s="412"/>
      <c r="AUY200" s="412"/>
      <c r="AUZ200" s="412"/>
      <c r="AVA200" s="412"/>
      <c r="AVB200" s="412"/>
      <c r="AVC200" s="412"/>
      <c r="AVD200" s="412"/>
      <c r="AVE200" s="412"/>
      <c r="AVF200" s="412"/>
      <c r="AVG200" s="412"/>
      <c r="AVH200" s="412"/>
      <c r="AVI200" s="412"/>
      <c r="AVJ200" s="412"/>
      <c r="AVK200" s="412"/>
      <c r="AVL200" s="412"/>
      <c r="AVM200" s="412"/>
      <c r="AVN200" s="412"/>
      <c r="AVO200" s="412"/>
      <c r="AVP200" s="412"/>
      <c r="AVQ200" s="412"/>
      <c r="AVR200" s="412"/>
      <c r="AVS200" s="412"/>
      <c r="AVT200" s="412"/>
      <c r="AVU200" s="412"/>
      <c r="AVV200" s="412"/>
      <c r="AVW200" s="412"/>
      <c r="AVX200" s="412"/>
      <c r="AVY200" s="412"/>
      <c r="AVZ200" s="412"/>
      <c r="AWA200" s="412"/>
      <c r="AWB200" s="412"/>
      <c r="AWC200" s="412"/>
      <c r="AWD200" s="412"/>
      <c r="AWE200" s="412"/>
      <c r="AWF200" s="412"/>
      <c r="AWG200" s="412"/>
      <c r="AWH200" s="412"/>
      <c r="AWI200" s="412"/>
      <c r="AWJ200" s="412"/>
      <c r="AWK200" s="412"/>
      <c r="AWL200" s="412"/>
      <c r="AWM200" s="412"/>
      <c r="AWN200" s="412"/>
      <c r="AWO200" s="412"/>
      <c r="AWP200" s="412"/>
      <c r="AWQ200" s="412"/>
      <c r="AWR200" s="412"/>
      <c r="AWS200" s="412"/>
      <c r="AWT200" s="412"/>
      <c r="AWU200" s="412"/>
      <c r="AWV200" s="412"/>
      <c r="AWW200" s="412"/>
      <c r="AWX200" s="412"/>
      <c r="AWY200" s="412"/>
      <c r="AWZ200" s="412"/>
      <c r="AXA200" s="412"/>
      <c r="AXB200" s="412"/>
      <c r="AXC200" s="412"/>
      <c r="AXD200" s="412"/>
      <c r="AXE200" s="412"/>
      <c r="AXF200" s="412"/>
      <c r="AXG200" s="412"/>
      <c r="AXH200" s="412"/>
      <c r="AXI200" s="412"/>
      <c r="AXJ200" s="412"/>
      <c r="AXK200" s="412"/>
      <c r="AXL200" s="412"/>
      <c r="AXM200" s="412"/>
      <c r="AXN200" s="412"/>
      <c r="AXO200" s="412"/>
      <c r="AXP200" s="412"/>
      <c r="AXQ200" s="412"/>
      <c r="AXR200" s="412"/>
      <c r="AXS200" s="412"/>
      <c r="AXT200" s="412"/>
      <c r="AXU200" s="412"/>
      <c r="AXV200" s="412"/>
      <c r="AXW200" s="412"/>
      <c r="AXX200" s="412"/>
      <c r="AXY200" s="412"/>
      <c r="AXZ200" s="412"/>
      <c r="AYA200" s="412"/>
      <c r="AYB200" s="412"/>
      <c r="AYC200" s="412"/>
      <c r="AYD200" s="412"/>
      <c r="AYE200" s="412"/>
      <c r="AYF200" s="412"/>
      <c r="AYG200" s="412"/>
      <c r="AYH200" s="412"/>
      <c r="AYI200" s="412"/>
      <c r="AYJ200" s="412"/>
      <c r="AYK200" s="412"/>
      <c r="AYL200" s="412"/>
      <c r="AYM200" s="412"/>
      <c r="AYN200" s="412"/>
      <c r="AYO200" s="412"/>
      <c r="AYP200" s="412"/>
      <c r="AYQ200" s="412"/>
      <c r="AYR200" s="412"/>
      <c r="AYS200" s="412"/>
      <c r="AYT200" s="412"/>
      <c r="AYU200" s="412"/>
      <c r="AYV200" s="412"/>
      <c r="AYW200" s="412"/>
      <c r="AYX200" s="412"/>
      <c r="AYY200" s="412"/>
      <c r="AYZ200" s="412"/>
      <c r="AZA200" s="412"/>
      <c r="AZB200" s="412"/>
      <c r="AZC200" s="412"/>
      <c r="AZD200" s="412"/>
      <c r="AZE200" s="412"/>
      <c r="AZF200" s="412"/>
      <c r="AZG200" s="412"/>
      <c r="AZH200" s="412"/>
      <c r="AZI200" s="412"/>
      <c r="AZJ200" s="412"/>
      <c r="AZK200" s="412"/>
      <c r="AZL200" s="412"/>
      <c r="AZM200" s="412"/>
      <c r="AZN200" s="412"/>
      <c r="AZO200" s="412"/>
      <c r="AZP200" s="412"/>
      <c r="AZQ200" s="412"/>
      <c r="AZR200" s="412"/>
      <c r="AZS200" s="412"/>
      <c r="AZT200" s="412"/>
      <c r="AZU200" s="412"/>
      <c r="AZV200" s="412"/>
      <c r="AZW200" s="412"/>
      <c r="AZX200" s="412"/>
      <c r="AZY200" s="412"/>
      <c r="AZZ200" s="412"/>
      <c r="BAA200" s="412"/>
      <c r="BAB200" s="412"/>
      <c r="BAC200" s="412"/>
      <c r="BAD200" s="412"/>
      <c r="BAE200" s="412"/>
      <c r="BAF200" s="412"/>
      <c r="BAG200" s="412"/>
      <c r="BAH200" s="412"/>
      <c r="BAI200" s="412"/>
      <c r="BAJ200" s="412"/>
      <c r="BAK200" s="412"/>
      <c r="BAL200" s="412"/>
      <c r="BAM200" s="412"/>
      <c r="BAN200" s="412"/>
      <c r="BAO200" s="412"/>
      <c r="BAP200" s="412"/>
      <c r="BAQ200" s="412"/>
      <c r="BAR200" s="412"/>
      <c r="BAS200" s="412"/>
      <c r="BAT200" s="412"/>
      <c r="BAU200" s="412"/>
      <c r="BAV200" s="412"/>
      <c r="BAW200" s="412"/>
      <c r="BAX200" s="412"/>
      <c r="BAY200" s="412"/>
      <c r="BAZ200" s="412"/>
      <c r="BBA200" s="412"/>
      <c r="BBB200" s="412"/>
      <c r="BBC200" s="412"/>
      <c r="BBD200" s="412"/>
      <c r="BBE200" s="412"/>
      <c r="BBF200" s="412"/>
      <c r="BBG200" s="412"/>
      <c r="BBH200" s="412"/>
      <c r="BBI200" s="412"/>
      <c r="BBJ200" s="412"/>
      <c r="BBK200" s="412"/>
      <c r="BBL200" s="412"/>
      <c r="BBM200" s="412"/>
      <c r="BBN200" s="412"/>
      <c r="BBO200" s="412"/>
      <c r="BBP200" s="412"/>
      <c r="BBQ200" s="412"/>
      <c r="BBR200" s="412"/>
      <c r="BBS200" s="412"/>
      <c r="BBT200" s="412"/>
      <c r="BBU200" s="412"/>
      <c r="BBV200" s="412"/>
      <c r="BBW200" s="412"/>
      <c r="BBX200" s="412"/>
      <c r="BBY200" s="412"/>
      <c r="BBZ200" s="412"/>
      <c r="BCA200" s="412"/>
      <c r="BCB200" s="412"/>
      <c r="BCC200" s="412"/>
      <c r="BCD200" s="412"/>
      <c r="BCE200" s="412"/>
      <c r="BCF200" s="412"/>
      <c r="BCG200" s="412"/>
      <c r="BCH200" s="412"/>
      <c r="BCI200" s="412"/>
      <c r="BCJ200" s="412"/>
      <c r="BCK200" s="412"/>
      <c r="BCL200" s="412"/>
      <c r="BCM200" s="412"/>
      <c r="BCN200" s="412"/>
      <c r="BCO200" s="412"/>
      <c r="BCP200" s="412"/>
      <c r="BCQ200" s="412"/>
      <c r="BCR200" s="412"/>
      <c r="BCS200" s="412"/>
      <c r="BCT200" s="412"/>
      <c r="BCU200" s="412"/>
      <c r="BCV200" s="412"/>
      <c r="BCW200" s="412"/>
      <c r="BCX200" s="412"/>
      <c r="BCY200" s="412"/>
      <c r="BCZ200" s="412"/>
      <c r="BDA200" s="412"/>
      <c r="BDB200" s="412"/>
      <c r="BDC200" s="412"/>
      <c r="BDD200" s="412"/>
      <c r="BDE200" s="412"/>
      <c r="BDF200" s="412"/>
      <c r="BDG200" s="412"/>
      <c r="BDH200" s="412"/>
      <c r="BDI200" s="412"/>
      <c r="BDJ200" s="412"/>
      <c r="BDK200" s="412"/>
      <c r="BDL200" s="412"/>
      <c r="BDM200" s="412"/>
      <c r="BDN200" s="412"/>
      <c r="BDO200" s="412"/>
      <c r="BDP200" s="412"/>
      <c r="BDQ200" s="412"/>
      <c r="BDR200" s="412"/>
      <c r="BDS200" s="412"/>
      <c r="BDT200" s="412"/>
      <c r="BDU200" s="412"/>
      <c r="BDV200" s="412"/>
      <c r="BDW200" s="412"/>
      <c r="BDX200" s="412"/>
      <c r="BDY200" s="412"/>
      <c r="BDZ200" s="412"/>
      <c r="BEA200" s="412"/>
      <c r="BEB200" s="412"/>
      <c r="BEC200" s="412"/>
      <c r="BED200" s="412"/>
      <c r="BEE200" s="412"/>
      <c r="BEF200" s="412"/>
      <c r="BEG200" s="412"/>
      <c r="BEH200" s="412"/>
      <c r="BEI200" s="412"/>
      <c r="BEJ200" s="412"/>
      <c r="BEK200" s="412"/>
      <c r="BEL200" s="412"/>
      <c r="BEM200" s="412"/>
      <c r="BEN200" s="412"/>
      <c r="BEO200" s="412"/>
      <c r="BEP200" s="412"/>
      <c r="BEQ200" s="412"/>
      <c r="BER200" s="412"/>
      <c r="BES200" s="412"/>
      <c r="BET200" s="412"/>
      <c r="BEU200" s="412"/>
      <c r="BEV200" s="412"/>
      <c r="BEW200" s="412"/>
      <c r="BEX200" s="412"/>
      <c r="BEY200" s="412"/>
      <c r="BEZ200" s="412"/>
      <c r="BFA200" s="412"/>
      <c r="BFB200" s="412"/>
      <c r="BFC200" s="412"/>
      <c r="BFD200" s="412"/>
      <c r="BFE200" s="412"/>
      <c r="BFF200" s="412"/>
      <c r="BFG200" s="412"/>
      <c r="BFH200" s="412"/>
      <c r="BFI200" s="412"/>
      <c r="BFJ200" s="412"/>
      <c r="BFK200" s="412"/>
      <c r="BFL200" s="412"/>
      <c r="BFM200" s="412"/>
      <c r="BFN200" s="412"/>
      <c r="BFO200" s="412"/>
      <c r="BFP200" s="412"/>
      <c r="BFQ200" s="412"/>
      <c r="BFR200" s="412"/>
      <c r="BFS200" s="412"/>
      <c r="BFT200" s="412"/>
      <c r="BFU200" s="412"/>
      <c r="BFV200" s="412"/>
      <c r="BFW200" s="412"/>
      <c r="BFX200" s="412"/>
      <c r="BFY200" s="412"/>
      <c r="BFZ200" s="412"/>
      <c r="BGA200" s="412"/>
      <c r="BGB200" s="412"/>
      <c r="BGC200" s="412"/>
      <c r="BGD200" s="412"/>
      <c r="BGE200" s="412"/>
      <c r="BGF200" s="412"/>
      <c r="BGG200" s="412"/>
      <c r="BGH200" s="412"/>
      <c r="BGI200" s="412"/>
      <c r="BGJ200" s="412"/>
      <c r="BGK200" s="412"/>
      <c r="BGL200" s="412"/>
      <c r="BGM200" s="412"/>
      <c r="BGN200" s="412"/>
      <c r="BGO200" s="412"/>
      <c r="BGP200" s="412"/>
      <c r="BGQ200" s="412"/>
      <c r="BGR200" s="412"/>
      <c r="BGS200" s="412"/>
      <c r="BGT200" s="412"/>
      <c r="BGU200" s="412"/>
      <c r="BGV200" s="412"/>
      <c r="BGW200" s="412"/>
      <c r="BGX200" s="412"/>
      <c r="BGY200" s="412"/>
      <c r="BGZ200" s="412"/>
      <c r="BHA200" s="412"/>
      <c r="BHB200" s="412"/>
      <c r="BHC200" s="412"/>
      <c r="BHD200" s="412"/>
      <c r="BHE200" s="412"/>
      <c r="BHF200" s="412"/>
      <c r="BHG200" s="412"/>
      <c r="BHH200" s="412"/>
      <c r="BHI200" s="412"/>
      <c r="BHJ200" s="412"/>
      <c r="BHK200" s="412"/>
      <c r="BHL200" s="412"/>
      <c r="BHM200" s="412"/>
      <c r="BHN200" s="412"/>
      <c r="BHO200" s="412"/>
      <c r="BHP200" s="412"/>
      <c r="BHQ200" s="412"/>
      <c r="BHR200" s="412"/>
      <c r="BHS200" s="412"/>
      <c r="BHT200" s="412"/>
      <c r="BHU200" s="412"/>
      <c r="BHV200" s="412"/>
      <c r="BHW200" s="412"/>
      <c r="BHX200" s="412"/>
      <c r="BHY200" s="412"/>
      <c r="BHZ200" s="412"/>
      <c r="BIA200" s="412"/>
      <c r="BIB200" s="412"/>
      <c r="BIC200" s="412"/>
      <c r="BID200" s="412"/>
      <c r="BIE200" s="412"/>
      <c r="BIF200" s="412"/>
      <c r="BIG200" s="412"/>
      <c r="BIH200" s="412"/>
      <c r="BII200" s="412"/>
      <c r="BIJ200" s="412"/>
      <c r="BIK200" s="412"/>
      <c r="BIL200" s="412"/>
      <c r="BIM200" s="412"/>
      <c r="BIN200" s="412"/>
      <c r="BIO200" s="412"/>
      <c r="BIP200" s="412"/>
      <c r="BIQ200" s="412"/>
      <c r="BIR200" s="412"/>
      <c r="BIS200" s="412"/>
      <c r="BIT200" s="412"/>
      <c r="BIU200" s="412"/>
      <c r="BIV200" s="412"/>
      <c r="BIW200" s="412"/>
      <c r="BIX200" s="412"/>
      <c r="BIY200" s="412"/>
      <c r="BIZ200" s="412"/>
      <c r="BJA200" s="412"/>
      <c r="BJB200" s="412"/>
      <c r="BJC200" s="412"/>
      <c r="BJD200" s="412"/>
      <c r="BJE200" s="412"/>
      <c r="BJF200" s="412"/>
      <c r="BJG200" s="412"/>
      <c r="BJH200" s="412"/>
      <c r="BJI200" s="412"/>
      <c r="BJJ200" s="412"/>
      <c r="BJK200" s="412"/>
      <c r="BJL200" s="412"/>
      <c r="BJM200" s="412"/>
      <c r="BJN200" s="412"/>
      <c r="BJO200" s="412"/>
      <c r="BJP200" s="412"/>
      <c r="BJQ200" s="412"/>
      <c r="BJR200" s="412"/>
      <c r="BJS200" s="412"/>
      <c r="BJT200" s="412"/>
      <c r="BJU200" s="412"/>
      <c r="BJV200" s="412"/>
      <c r="BJW200" s="412"/>
      <c r="BJX200" s="412"/>
      <c r="BJY200" s="412"/>
      <c r="BJZ200" s="412"/>
      <c r="BKA200" s="412"/>
      <c r="BKB200" s="412"/>
      <c r="BKC200" s="412"/>
      <c r="BKD200" s="412"/>
      <c r="BKE200" s="412"/>
      <c r="BKF200" s="412"/>
      <c r="BKG200" s="412"/>
      <c r="BKH200" s="412"/>
      <c r="BKI200" s="412"/>
      <c r="BKJ200" s="412"/>
      <c r="BKK200" s="412"/>
      <c r="BKL200" s="412"/>
      <c r="BKM200" s="412"/>
      <c r="BKN200" s="412"/>
      <c r="BKO200" s="412"/>
      <c r="BKP200" s="412"/>
      <c r="BKQ200" s="412"/>
      <c r="BKR200" s="412"/>
      <c r="BKS200" s="412"/>
      <c r="BKT200" s="412"/>
      <c r="BKU200" s="412"/>
      <c r="BKV200" s="412"/>
      <c r="BKW200" s="412"/>
      <c r="BKX200" s="412"/>
      <c r="BKY200" s="412"/>
      <c r="BKZ200" s="412"/>
      <c r="BLA200" s="412"/>
      <c r="BLB200" s="412"/>
      <c r="BLC200" s="412"/>
      <c r="BLD200" s="412"/>
      <c r="BLE200" s="412"/>
      <c r="BLF200" s="412"/>
      <c r="BLG200" s="412"/>
      <c r="BLH200" s="412"/>
      <c r="BLI200" s="412"/>
      <c r="BLJ200" s="412"/>
      <c r="BLK200" s="412"/>
      <c r="BLL200" s="412"/>
      <c r="BLM200" s="412"/>
      <c r="BLN200" s="412"/>
      <c r="BLO200" s="412"/>
      <c r="BLP200" s="412"/>
      <c r="BLQ200" s="412"/>
      <c r="BLR200" s="412"/>
      <c r="BLS200" s="412"/>
      <c r="BLT200" s="412"/>
      <c r="BLU200" s="412"/>
      <c r="BLV200" s="412"/>
      <c r="BLW200" s="412"/>
      <c r="BLX200" s="412"/>
      <c r="BLY200" s="412"/>
      <c r="BLZ200" s="412"/>
      <c r="BMA200" s="412"/>
      <c r="BMB200" s="412"/>
      <c r="BMC200" s="412"/>
      <c r="BMD200" s="412"/>
      <c r="BME200" s="412"/>
      <c r="BMF200" s="412"/>
      <c r="BMG200" s="412"/>
      <c r="BMH200" s="412"/>
      <c r="BMI200" s="412"/>
      <c r="BMJ200" s="412"/>
      <c r="BMK200" s="412"/>
      <c r="BML200" s="412"/>
      <c r="BMM200" s="412"/>
      <c r="BMN200" s="412"/>
      <c r="BMO200" s="412"/>
      <c r="BMP200" s="412"/>
      <c r="BMQ200" s="412"/>
      <c r="BMR200" s="412"/>
      <c r="BMS200" s="412"/>
      <c r="BMT200" s="412"/>
      <c r="BMU200" s="412"/>
      <c r="BMV200" s="412"/>
      <c r="BMW200" s="412"/>
      <c r="BMX200" s="412"/>
      <c r="BMY200" s="412"/>
      <c r="BMZ200" s="412"/>
      <c r="BNA200" s="412"/>
      <c r="BNB200" s="412"/>
      <c r="BNC200" s="412"/>
      <c r="BND200" s="412"/>
      <c r="BNE200" s="412"/>
      <c r="BNF200" s="412"/>
      <c r="BNG200" s="412"/>
      <c r="BNH200" s="412"/>
      <c r="BNI200" s="412"/>
      <c r="BNJ200" s="412"/>
      <c r="BNK200" s="412"/>
      <c r="BNL200" s="412"/>
      <c r="BNM200" s="412"/>
      <c r="BNN200" s="412"/>
      <c r="BNO200" s="412"/>
      <c r="BNP200" s="412"/>
      <c r="BNQ200" s="412"/>
      <c r="BNR200" s="412"/>
      <c r="BNS200" s="412"/>
      <c r="BNT200" s="412"/>
      <c r="BNU200" s="412"/>
      <c r="BNV200" s="412"/>
      <c r="BNW200" s="412"/>
      <c r="BNX200" s="412"/>
      <c r="BNY200" s="412"/>
      <c r="BNZ200" s="412"/>
      <c r="BOA200" s="412"/>
      <c r="BOB200" s="412"/>
      <c r="BOC200" s="412"/>
      <c r="BOD200" s="412"/>
      <c r="BOE200" s="412"/>
      <c r="BOF200" s="412"/>
      <c r="BOG200" s="412"/>
      <c r="BOH200" s="412"/>
      <c r="BOI200" s="412"/>
      <c r="BOJ200" s="412"/>
      <c r="BOK200" s="412"/>
      <c r="BOL200" s="412"/>
      <c r="BOM200" s="412"/>
      <c r="BON200" s="412"/>
      <c r="BOO200" s="412"/>
      <c r="BOP200" s="412"/>
      <c r="BOQ200" s="412"/>
      <c r="BOR200" s="412"/>
      <c r="BOS200" s="412"/>
      <c r="BOT200" s="412"/>
      <c r="BOU200" s="412"/>
      <c r="BOV200" s="412"/>
      <c r="BOW200" s="412"/>
      <c r="BOX200" s="412"/>
      <c r="BOY200" s="412"/>
      <c r="BOZ200" s="412"/>
      <c r="BPA200" s="412"/>
      <c r="BPB200" s="412"/>
      <c r="BPC200" s="412"/>
      <c r="BPD200" s="412"/>
      <c r="BPE200" s="412"/>
      <c r="BPF200" s="412"/>
      <c r="BPG200" s="412"/>
      <c r="BPH200" s="412"/>
      <c r="BPI200" s="412"/>
      <c r="BPJ200" s="412"/>
      <c r="BPK200" s="412"/>
      <c r="BPL200" s="412"/>
      <c r="BPM200" s="412"/>
      <c r="BPN200" s="412"/>
      <c r="BPO200" s="412"/>
      <c r="BPP200" s="412"/>
      <c r="BPQ200" s="412"/>
      <c r="BPR200" s="412"/>
      <c r="BPS200" s="412"/>
      <c r="BPT200" s="412"/>
      <c r="BPU200" s="412"/>
      <c r="BPV200" s="412"/>
      <c r="BPW200" s="412"/>
      <c r="BPX200" s="412"/>
      <c r="BPY200" s="412"/>
      <c r="BPZ200" s="412"/>
      <c r="BQA200" s="412"/>
      <c r="BQB200" s="412"/>
      <c r="BQC200" s="412"/>
      <c r="BQD200" s="412"/>
      <c r="BQE200" s="412"/>
      <c r="BQF200" s="412"/>
      <c r="BQG200" s="412"/>
      <c r="BQH200" s="412"/>
      <c r="BQI200" s="412"/>
      <c r="BQJ200" s="412"/>
      <c r="BQK200" s="412"/>
      <c r="BQL200" s="412"/>
      <c r="BQM200" s="412"/>
      <c r="BQN200" s="412"/>
      <c r="BQO200" s="412"/>
      <c r="BQP200" s="412"/>
      <c r="BQQ200" s="412"/>
      <c r="BQR200" s="412"/>
      <c r="BQS200" s="412"/>
      <c r="BQT200" s="412"/>
      <c r="BQU200" s="412"/>
      <c r="BQV200" s="412"/>
      <c r="BQW200" s="412"/>
      <c r="BQX200" s="412"/>
      <c r="BQY200" s="412"/>
      <c r="BQZ200" s="412"/>
      <c r="BRA200" s="412"/>
      <c r="BRB200" s="412"/>
      <c r="BRC200" s="412"/>
      <c r="BRD200" s="412"/>
      <c r="BRE200" s="412"/>
      <c r="BRF200" s="412"/>
      <c r="BRG200" s="412"/>
      <c r="BRH200" s="412"/>
      <c r="BRI200" s="412"/>
      <c r="BRJ200" s="412"/>
      <c r="BRK200" s="412"/>
      <c r="BRL200" s="412"/>
      <c r="BRM200" s="412"/>
      <c r="BRN200" s="412"/>
      <c r="BRO200" s="412"/>
      <c r="BRP200" s="412"/>
      <c r="BRQ200" s="412"/>
      <c r="BRR200" s="412"/>
      <c r="BRS200" s="412"/>
      <c r="BRT200" s="412"/>
      <c r="BRU200" s="412"/>
      <c r="BRV200" s="412"/>
      <c r="BRW200" s="412"/>
      <c r="BRX200" s="412"/>
      <c r="BRY200" s="412"/>
      <c r="BRZ200" s="412"/>
      <c r="BSA200" s="412"/>
      <c r="BSB200" s="412"/>
      <c r="BSC200" s="412"/>
      <c r="BSD200" s="412"/>
      <c r="BSE200" s="412"/>
      <c r="BSF200" s="412"/>
      <c r="BSG200" s="412"/>
      <c r="BSH200" s="412"/>
      <c r="BSI200" s="412"/>
      <c r="BSJ200" s="412"/>
      <c r="BSK200" s="412"/>
      <c r="BSL200" s="412"/>
      <c r="BSM200" s="412"/>
      <c r="BSN200" s="412"/>
      <c r="BSO200" s="412"/>
      <c r="BSP200" s="412"/>
      <c r="BSQ200" s="412"/>
      <c r="BSR200" s="412"/>
      <c r="BSS200" s="412"/>
      <c r="BST200" s="412"/>
      <c r="BSU200" s="412"/>
      <c r="BSV200" s="412"/>
      <c r="BSW200" s="412"/>
      <c r="BSX200" s="412"/>
      <c r="BSY200" s="412"/>
      <c r="BSZ200" s="412"/>
      <c r="BTA200" s="412"/>
      <c r="BTB200" s="412"/>
      <c r="BTC200" s="412"/>
      <c r="BTD200" s="412"/>
      <c r="BTE200" s="412"/>
      <c r="BTF200" s="412"/>
      <c r="BTG200" s="412"/>
      <c r="BTH200" s="412"/>
      <c r="BTI200" s="412"/>
    </row>
    <row r="201" spans="1:1881" s="4" customFormat="1" ht="237.75" customHeight="1" x14ac:dyDescent="0.25">
      <c r="A201" s="189">
        <v>337</v>
      </c>
      <c r="B201" s="64" t="s">
        <v>63</v>
      </c>
      <c r="C201" s="160" t="s">
        <v>777</v>
      </c>
      <c r="D201" s="166" t="s">
        <v>1225</v>
      </c>
      <c r="E201" s="32" t="e">
        <f>HLOOKUP($D$2,'2019 Data(H)'!$C$1:$CG$300,103,FALSE)</f>
        <v>#N/A</v>
      </c>
      <c r="F201" s="609"/>
      <c r="G201" s="601">
        <f>IF(F201&lt;0,"Error: Enter as positive.",)</f>
        <v>0</v>
      </c>
      <c r="H201" s="13"/>
      <c r="I201" s="31"/>
      <c r="J201" s="412"/>
      <c r="K201" s="412"/>
      <c r="L201" s="412"/>
      <c r="M201" s="412"/>
      <c r="N201"/>
      <c r="O201" s="412"/>
      <c r="P201" s="412"/>
      <c r="Q201" s="412"/>
      <c r="R201" s="412"/>
      <c r="S201" s="412"/>
      <c r="T201" s="412"/>
      <c r="U201" s="412"/>
      <c r="V201" s="412"/>
      <c r="W201" s="412"/>
      <c r="X201" s="412"/>
      <c r="Y201" s="412"/>
      <c r="Z201" s="412"/>
      <c r="AA201" s="412"/>
      <c r="AB201" s="412"/>
      <c r="AC201" s="412"/>
      <c r="AD201" s="412"/>
      <c r="AE201" s="412"/>
      <c r="AF201" s="412"/>
      <c r="AG201" s="412"/>
      <c r="AH201" s="412"/>
      <c r="AI201" s="412"/>
      <c r="AJ201" s="412"/>
      <c r="AK201" s="412"/>
      <c r="AL201" s="412"/>
      <c r="AM201" s="412"/>
      <c r="AN201" s="412"/>
      <c r="AO201" s="412"/>
      <c r="AP201" s="412"/>
      <c r="AQ201" s="412"/>
      <c r="AR201" s="412"/>
      <c r="AS201" s="412"/>
      <c r="AT201" s="412"/>
      <c r="AU201" s="412"/>
      <c r="AV201" s="412"/>
      <c r="AW201" s="412"/>
      <c r="AX201" s="412"/>
      <c r="AY201" s="412"/>
      <c r="AZ201" s="412"/>
      <c r="BA201" s="412"/>
      <c r="BB201" s="412"/>
      <c r="BC201" s="412"/>
      <c r="BD201" s="412"/>
      <c r="BE201" s="412"/>
      <c r="BF201" s="412"/>
      <c r="BG201" s="412"/>
      <c r="BH201" s="412"/>
      <c r="BI201" s="412"/>
      <c r="BJ201" s="412"/>
      <c r="BK201" s="412"/>
      <c r="BL201" s="412"/>
      <c r="BM201" s="412"/>
      <c r="BN201" s="412"/>
      <c r="BO201" s="412"/>
      <c r="BP201" s="412"/>
      <c r="BQ201" s="412"/>
      <c r="BR201" s="412"/>
      <c r="BS201" s="412"/>
      <c r="BT201" s="412"/>
      <c r="BU201" s="412"/>
      <c r="BV201" s="412"/>
      <c r="BW201" s="412"/>
      <c r="BX201" s="412"/>
      <c r="BY201" s="412"/>
      <c r="BZ201" s="412"/>
      <c r="CA201" s="412"/>
      <c r="CB201" s="412"/>
      <c r="CC201" s="412"/>
      <c r="CD201" s="412"/>
      <c r="CE201" s="412"/>
      <c r="CF201" s="412"/>
      <c r="CG201" s="412"/>
      <c r="CH201" s="412"/>
      <c r="CI201" s="412"/>
      <c r="CJ201" s="412"/>
      <c r="CK201" s="412"/>
      <c r="CL201" s="412"/>
      <c r="CM201" s="412"/>
      <c r="CN201" s="412"/>
      <c r="CO201" s="412"/>
      <c r="CP201" s="412"/>
      <c r="CQ201" s="412"/>
      <c r="CR201" s="412"/>
      <c r="CS201" s="412"/>
      <c r="CT201" s="412"/>
      <c r="CU201" s="412"/>
      <c r="CV201" s="412"/>
      <c r="CW201" s="412"/>
      <c r="CX201" s="412"/>
      <c r="CY201" s="412"/>
      <c r="CZ201" s="412"/>
      <c r="DA201" s="412"/>
      <c r="DB201" s="412"/>
      <c r="DC201" s="412"/>
      <c r="DD201" s="412"/>
      <c r="DE201" s="412"/>
      <c r="DF201" s="412"/>
      <c r="DG201" s="412"/>
      <c r="DH201" s="412"/>
      <c r="DI201" s="412"/>
      <c r="DJ201" s="412"/>
      <c r="DK201" s="412"/>
      <c r="DL201" s="412"/>
      <c r="DM201" s="412"/>
      <c r="DN201" s="412"/>
      <c r="DO201" s="412"/>
      <c r="DP201" s="412"/>
      <c r="DQ201" s="412"/>
      <c r="DR201" s="412"/>
      <c r="DS201" s="412"/>
      <c r="DT201" s="412"/>
      <c r="DU201" s="412"/>
      <c r="DV201" s="412"/>
      <c r="DW201" s="412"/>
      <c r="DX201" s="412"/>
      <c r="DY201" s="412"/>
      <c r="DZ201" s="412"/>
      <c r="EA201" s="412"/>
      <c r="EB201" s="412"/>
      <c r="EC201" s="412"/>
      <c r="ED201" s="412"/>
      <c r="EE201" s="412"/>
      <c r="EF201" s="412"/>
      <c r="EG201" s="412"/>
      <c r="EH201" s="412"/>
      <c r="EI201" s="412"/>
      <c r="EJ201" s="412"/>
      <c r="EK201" s="412"/>
      <c r="EL201" s="412"/>
      <c r="EM201" s="412"/>
      <c r="EN201" s="412"/>
      <c r="EO201" s="412"/>
      <c r="EP201" s="412"/>
      <c r="EQ201" s="412"/>
      <c r="ER201" s="412"/>
      <c r="ES201" s="412"/>
      <c r="ET201" s="412"/>
      <c r="EU201" s="412"/>
      <c r="EV201" s="412"/>
      <c r="EW201" s="412"/>
      <c r="EX201" s="412"/>
      <c r="EY201" s="412"/>
      <c r="EZ201" s="412"/>
      <c r="FA201" s="412"/>
      <c r="FB201" s="412"/>
      <c r="FC201" s="412"/>
      <c r="FD201" s="412"/>
      <c r="FE201" s="412"/>
      <c r="FF201" s="412"/>
      <c r="FG201" s="412"/>
      <c r="FH201" s="412"/>
      <c r="FI201" s="412"/>
      <c r="FJ201" s="412"/>
      <c r="FK201" s="412"/>
      <c r="FL201" s="412"/>
      <c r="FM201" s="412"/>
      <c r="FN201" s="412"/>
      <c r="FO201" s="412"/>
      <c r="FP201" s="412"/>
      <c r="FQ201" s="412"/>
      <c r="FR201" s="412"/>
      <c r="FS201" s="412"/>
      <c r="FT201" s="412"/>
      <c r="FU201" s="412"/>
      <c r="FV201" s="412"/>
      <c r="FW201" s="412"/>
      <c r="FX201" s="412"/>
      <c r="FY201" s="412"/>
      <c r="FZ201" s="412"/>
      <c r="GA201" s="412"/>
      <c r="GB201" s="412"/>
      <c r="GC201" s="412"/>
      <c r="GD201" s="412"/>
      <c r="GE201" s="412"/>
      <c r="GF201" s="412"/>
      <c r="GG201" s="412"/>
      <c r="GH201" s="412"/>
      <c r="GI201" s="412"/>
      <c r="GJ201" s="412"/>
      <c r="GK201" s="412"/>
      <c r="GL201" s="412"/>
      <c r="GM201" s="412"/>
      <c r="GN201" s="412"/>
      <c r="GO201" s="412"/>
      <c r="GP201" s="412"/>
      <c r="GQ201" s="412"/>
      <c r="GR201" s="412"/>
      <c r="GS201" s="412"/>
      <c r="GT201" s="412"/>
      <c r="GU201" s="412"/>
      <c r="GV201" s="412"/>
      <c r="GW201" s="412"/>
      <c r="GX201" s="412"/>
      <c r="GY201" s="412"/>
      <c r="GZ201" s="412"/>
      <c r="HA201" s="412"/>
      <c r="HB201" s="412"/>
      <c r="HC201" s="412"/>
      <c r="HD201" s="412"/>
      <c r="HE201" s="412"/>
      <c r="HF201" s="412"/>
      <c r="HG201" s="412"/>
      <c r="HH201" s="412"/>
      <c r="HI201" s="412"/>
      <c r="HJ201" s="412"/>
      <c r="HK201" s="412"/>
      <c r="HL201" s="412"/>
      <c r="HM201" s="412"/>
      <c r="HN201" s="412"/>
      <c r="HO201" s="412"/>
      <c r="HP201" s="412"/>
      <c r="HQ201" s="412"/>
      <c r="HR201" s="412"/>
      <c r="HS201" s="412"/>
      <c r="HT201" s="412"/>
      <c r="HU201" s="412"/>
      <c r="HV201" s="412"/>
      <c r="HW201" s="412"/>
      <c r="HX201" s="412"/>
      <c r="HY201" s="412"/>
      <c r="HZ201" s="412"/>
      <c r="IA201" s="412"/>
      <c r="IB201" s="412"/>
      <c r="IC201" s="412"/>
      <c r="ID201" s="412"/>
      <c r="IE201" s="412"/>
      <c r="IF201" s="412"/>
      <c r="IG201" s="412"/>
      <c r="IH201" s="412"/>
      <c r="II201" s="412"/>
      <c r="IJ201" s="412"/>
      <c r="IK201" s="412"/>
      <c r="IL201" s="412"/>
      <c r="IM201" s="412"/>
      <c r="IN201" s="412"/>
      <c r="IO201" s="412"/>
      <c r="IP201" s="412"/>
      <c r="IQ201" s="412"/>
      <c r="IR201" s="412"/>
      <c r="IS201" s="412"/>
      <c r="IT201" s="412"/>
      <c r="IU201" s="412"/>
      <c r="IV201" s="412"/>
      <c r="IW201" s="412"/>
      <c r="IX201" s="412"/>
      <c r="IY201" s="412"/>
      <c r="IZ201" s="412"/>
      <c r="JA201" s="412"/>
      <c r="JB201" s="412"/>
      <c r="JC201" s="412"/>
      <c r="JD201" s="412"/>
      <c r="JE201" s="412"/>
      <c r="JF201" s="412"/>
      <c r="JG201" s="412"/>
      <c r="JH201" s="412"/>
      <c r="JI201" s="412"/>
      <c r="JJ201" s="412"/>
      <c r="JK201" s="412"/>
      <c r="JL201" s="412"/>
      <c r="JM201" s="412"/>
      <c r="JN201" s="412"/>
      <c r="JO201" s="412"/>
      <c r="JP201" s="412"/>
      <c r="JQ201" s="412"/>
      <c r="JR201" s="412"/>
      <c r="JS201" s="412"/>
      <c r="JT201" s="412"/>
      <c r="JU201" s="412"/>
      <c r="JV201" s="412"/>
      <c r="JW201" s="412"/>
      <c r="JX201" s="412"/>
      <c r="JY201" s="412"/>
      <c r="JZ201" s="412"/>
      <c r="KA201" s="412"/>
      <c r="KB201" s="412"/>
      <c r="KC201" s="412"/>
      <c r="KD201" s="412"/>
      <c r="KE201" s="412"/>
      <c r="KF201" s="412"/>
      <c r="KG201" s="412"/>
      <c r="KH201" s="412"/>
      <c r="KI201" s="412"/>
      <c r="KJ201" s="412"/>
      <c r="KK201" s="412"/>
      <c r="KL201" s="412"/>
      <c r="KM201" s="412"/>
      <c r="KN201" s="412"/>
      <c r="KO201" s="412"/>
      <c r="KP201" s="412"/>
      <c r="KQ201" s="412"/>
      <c r="KR201" s="412"/>
      <c r="KS201" s="412"/>
      <c r="KT201" s="412"/>
      <c r="KU201" s="412"/>
      <c r="KV201" s="412"/>
      <c r="KW201" s="412"/>
      <c r="KX201" s="412"/>
      <c r="KY201" s="412"/>
      <c r="KZ201" s="412"/>
      <c r="LA201" s="412"/>
      <c r="LB201" s="412"/>
      <c r="LC201" s="412"/>
      <c r="LD201" s="412"/>
      <c r="LE201" s="412"/>
      <c r="LF201" s="412"/>
      <c r="LG201" s="412"/>
      <c r="LH201" s="412"/>
      <c r="LI201" s="412"/>
      <c r="LJ201" s="412"/>
      <c r="LK201" s="412"/>
      <c r="LL201" s="412"/>
      <c r="LM201" s="412"/>
      <c r="LN201" s="412"/>
      <c r="LO201" s="412"/>
      <c r="LP201" s="412"/>
      <c r="LQ201" s="412"/>
      <c r="LR201" s="412"/>
      <c r="LS201" s="412"/>
      <c r="LT201" s="412"/>
      <c r="LU201" s="412"/>
      <c r="LV201" s="412"/>
      <c r="LW201" s="412"/>
      <c r="LX201" s="412"/>
      <c r="LY201" s="412"/>
      <c r="LZ201" s="412"/>
      <c r="MA201" s="412"/>
      <c r="MB201" s="412"/>
      <c r="MC201" s="412"/>
      <c r="MD201" s="412"/>
      <c r="ME201" s="412"/>
      <c r="MF201" s="412"/>
      <c r="MG201" s="412"/>
      <c r="MH201" s="412"/>
      <c r="MI201" s="412"/>
      <c r="MJ201" s="412"/>
      <c r="MK201" s="412"/>
      <c r="ML201" s="412"/>
      <c r="MM201" s="412"/>
      <c r="MN201" s="412"/>
      <c r="MO201" s="412"/>
      <c r="MP201" s="412"/>
      <c r="MQ201" s="412"/>
      <c r="MR201" s="412"/>
      <c r="MS201" s="412"/>
      <c r="MT201" s="412"/>
      <c r="MU201" s="412"/>
      <c r="MV201" s="412"/>
      <c r="MW201" s="412"/>
      <c r="MX201" s="412"/>
      <c r="MY201" s="412"/>
      <c r="MZ201" s="412"/>
      <c r="NA201" s="412"/>
      <c r="NB201" s="412"/>
      <c r="NC201" s="412"/>
      <c r="ND201" s="412"/>
      <c r="NE201" s="412"/>
      <c r="NF201" s="412"/>
      <c r="NG201" s="412"/>
      <c r="NH201" s="412"/>
      <c r="NI201" s="412"/>
      <c r="NJ201" s="412"/>
      <c r="NK201" s="412"/>
      <c r="NL201" s="412"/>
      <c r="NM201" s="412"/>
      <c r="NN201" s="412"/>
      <c r="NO201" s="412"/>
      <c r="NP201" s="412"/>
      <c r="NQ201" s="412"/>
      <c r="NR201" s="412"/>
      <c r="NS201" s="412"/>
      <c r="NT201" s="412"/>
      <c r="NU201" s="412"/>
      <c r="NV201" s="412"/>
      <c r="NW201" s="412"/>
      <c r="NX201" s="412"/>
      <c r="NY201" s="412"/>
      <c r="NZ201" s="412"/>
      <c r="OA201" s="412"/>
      <c r="OB201" s="412"/>
      <c r="OC201" s="412"/>
      <c r="OD201" s="412"/>
      <c r="OE201" s="412"/>
      <c r="OF201" s="412"/>
      <c r="OG201" s="412"/>
      <c r="OH201" s="412"/>
      <c r="OI201" s="412"/>
      <c r="OJ201" s="412"/>
      <c r="OK201" s="412"/>
      <c r="OL201" s="412"/>
      <c r="OM201" s="412"/>
      <c r="ON201" s="412"/>
      <c r="OO201" s="412"/>
      <c r="OP201" s="412"/>
      <c r="OQ201" s="412"/>
      <c r="OR201" s="412"/>
      <c r="OS201" s="412"/>
      <c r="OT201" s="412"/>
      <c r="OU201" s="412"/>
      <c r="OV201" s="412"/>
      <c r="OW201" s="412"/>
      <c r="OX201" s="412"/>
      <c r="OY201" s="412"/>
      <c r="OZ201" s="412"/>
      <c r="PA201" s="412"/>
      <c r="PB201" s="412"/>
      <c r="PC201" s="412"/>
      <c r="PD201" s="412"/>
      <c r="PE201" s="412"/>
      <c r="PF201" s="412"/>
      <c r="PG201" s="412"/>
      <c r="PH201" s="412"/>
      <c r="PI201" s="412"/>
      <c r="PJ201" s="412"/>
      <c r="PK201" s="412"/>
      <c r="PL201" s="412"/>
      <c r="PM201" s="412"/>
      <c r="PN201" s="412"/>
      <c r="PO201" s="412"/>
      <c r="PP201" s="412"/>
      <c r="PQ201" s="412"/>
      <c r="PR201" s="412"/>
      <c r="PS201" s="412"/>
      <c r="PT201" s="412"/>
      <c r="PU201" s="412"/>
      <c r="PV201" s="412"/>
      <c r="PW201" s="412"/>
      <c r="PX201" s="412"/>
      <c r="PY201" s="412"/>
      <c r="PZ201" s="412"/>
      <c r="QA201" s="412"/>
      <c r="QB201" s="412"/>
      <c r="QC201" s="412"/>
      <c r="QD201" s="412"/>
      <c r="QE201" s="412"/>
      <c r="QF201" s="412"/>
      <c r="QG201" s="412"/>
      <c r="QH201" s="412"/>
      <c r="QI201" s="412"/>
      <c r="QJ201" s="412"/>
      <c r="QK201" s="412"/>
      <c r="QL201" s="412"/>
      <c r="QM201" s="412"/>
      <c r="QN201" s="412"/>
      <c r="QO201" s="412"/>
      <c r="QP201" s="412"/>
      <c r="QQ201" s="412"/>
      <c r="QR201" s="412"/>
      <c r="QS201" s="412"/>
      <c r="QT201" s="412"/>
      <c r="QU201" s="412"/>
      <c r="QV201" s="412"/>
      <c r="QW201" s="412"/>
      <c r="QX201" s="412"/>
      <c r="QY201" s="412"/>
      <c r="QZ201" s="412"/>
      <c r="RA201" s="412"/>
      <c r="RB201" s="412"/>
      <c r="RC201" s="412"/>
      <c r="RD201" s="412"/>
      <c r="RE201" s="412"/>
      <c r="RF201" s="412"/>
      <c r="RG201" s="412"/>
      <c r="RH201" s="412"/>
      <c r="RI201" s="412"/>
      <c r="RJ201" s="412"/>
      <c r="RK201" s="412"/>
      <c r="RL201" s="412"/>
      <c r="RM201" s="412"/>
      <c r="RN201" s="412"/>
      <c r="RO201" s="412"/>
      <c r="RP201" s="412"/>
      <c r="RQ201" s="412"/>
      <c r="RR201" s="412"/>
      <c r="RS201" s="412"/>
      <c r="RT201" s="412"/>
      <c r="RU201" s="412"/>
      <c r="RV201" s="412"/>
      <c r="RW201" s="412"/>
      <c r="RX201" s="412"/>
      <c r="RY201" s="412"/>
      <c r="RZ201" s="412"/>
      <c r="SA201" s="412"/>
      <c r="SB201" s="412"/>
      <c r="SC201" s="412"/>
      <c r="SD201" s="412"/>
      <c r="SE201" s="412"/>
      <c r="SF201" s="412"/>
      <c r="SG201" s="412"/>
      <c r="SH201" s="412"/>
      <c r="SI201" s="412"/>
      <c r="SJ201" s="412"/>
      <c r="SK201" s="412"/>
      <c r="SL201" s="412"/>
      <c r="SM201" s="412"/>
      <c r="SN201" s="412"/>
      <c r="SO201" s="412"/>
      <c r="SP201" s="412"/>
      <c r="SQ201" s="412"/>
      <c r="SR201" s="412"/>
      <c r="SS201" s="412"/>
      <c r="ST201" s="412"/>
      <c r="SU201" s="412"/>
      <c r="SV201" s="412"/>
      <c r="SW201" s="412"/>
      <c r="SX201" s="412"/>
      <c r="SY201" s="412"/>
      <c r="SZ201" s="412"/>
      <c r="TA201" s="412"/>
      <c r="TB201" s="412"/>
      <c r="TC201" s="412"/>
      <c r="TD201" s="412"/>
      <c r="TE201" s="412"/>
      <c r="TF201" s="412"/>
      <c r="TG201" s="412"/>
      <c r="TH201" s="412"/>
      <c r="TI201" s="412"/>
      <c r="TJ201" s="412"/>
      <c r="TK201" s="412"/>
      <c r="TL201" s="412"/>
      <c r="TM201" s="412"/>
      <c r="TN201" s="412"/>
      <c r="TO201" s="412"/>
      <c r="TP201" s="412"/>
      <c r="TQ201" s="412"/>
      <c r="TR201" s="412"/>
      <c r="TS201" s="412"/>
      <c r="TT201" s="412"/>
      <c r="TU201" s="412"/>
      <c r="TV201" s="412"/>
      <c r="TW201" s="412"/>
      <c r="TX201" s="412"/>
      <c r="TY201" s="412"/>
      <c r="TZ201" s="412"/>
      <c r="UA201" s="412"/>
      <c r="UB201" s="412"/>
      <c r="UC201" s="412"/>
      <c r="UD201" s="412"/>
      <c r="UE201" s="412"/>
      <c r="UF201" s="412"/>
      <c r="UG201" s="412"/>
      <c r="UH201" s="412"/>
      <c r="UI201" s="412"/>
      <c r="UJ201" s="412"/>
      <c r="UK201" s="412"/>
      <c r="UL201" s="412"/>
      <c r="UM201" s="412"/>
      <c r="UN201" s="412"/>
      <c r="UO201" s="412"/>
      <c r="UP201" s="412"/>
      <c r="UQ201" s="412"/>
      <c r="UR201" s="412"/>
      <c r="US201" s="412"/>
      <c r="UT201" s="412"/>
      <c r="UU201" s="412"/>
      <c r="UV201" s="412"/>
      <c r="UW201" s="412"/>
      <c r="UX201" s="412"/>
      <c r="UY201" s="412"/>
      <c r="UZ201" s="412"/>
      <c r="VA201" s="412"/>
      <c r="VB201" s="412"/>
      <c r="VC201" s="412"/>
      <c r="VD201" s="412"/>
      <c r="VE201" s="412"/>
      <c r="VF201" s="412"/>
      <c r="VG201" s="412"/>
      <c r="VH201" s="412"/>
      <c r="VI201" s="412"/>
      <c r="VJ201" s="412"/>
      <c r="VK201" s="412"/>
      <c r="VL201" s="412"/>
      <c r="VM201" s="412"/>
      <c r="VN201" s="412"/>
      <c r="VO201" s="412"/>
      <c r="VP201" s="412"/>
      <c r="VQ201" s="412"/>
      <c r="VR201" s="412"/>
      <c r="VS201" s="412"/>
      <c r="VT201" s="412"/>
      <c r="VU201" s="412"/>
      <c r="VV201" s="412"/>
      <c r="VW201" s="412"/>
      <c r="VX201" s="412"/>
      <c r="VY201" s="412"/>
      <c r="VZ201" s="412"/>
      <c r="WA201" s="412"/>
      <c r="WB201" s="412"/>
      <c r="WC201" s="412"/>
      <c r="WD201" s="412"/>
      <c r="WE201" s="412"/>
      <c r="WF201" s="412"/>
      <c r="WG201" s="412"/>
      <c r="WH201" s="412"/>
      <c r="WI201" s="412"/>
      <c r="WJ201" s="412"/>
      <c r="WK201" s="412"/>
      <c r="WL201" s="412"/>
      <c r="WM201" s="412"/>
      <c r="WN201" s="412"/>
      <c r="WO201" s="412"/>
      <c r="WP201" s="412"/>
      <c r="WQ201" s="412"/>
      <c r="WR201" s="412"/>
      <c r="WS201" s="412"/>
      <c r="WT201" s="412"/>
      <c r="WU201" s="412"/>
      <c r="WV201" s="412"/>
      <c r="WW201" s="412"/>
      <c r="WX201" s="412"/>
      <c r="WY201" s="412"/>
      <c r="WZ201" s="412"/>
      <c r="XA201" s="412"/>
      <c r="XB201" s="412"/>
      <c r="XC201" s="412"/>
      <c r="XD201" s="412"/>
      <c r="XE201" s="412"/>
      <c r="XF201" s="412"/>
      <c r="XG201" s="412"/>
      <c r="XH201" s="412"/>
      <c r="XI201" s="412"/>
      <c r="XJ201" s="412"/>
      <c r="XK201" s="412"/>
      <c r="XL201" s="412"/>
      <c r="XM201" s="412"/>
      <c r="XN201" s="412"/>
      <c r="XO201" s="412"/>
      <c r="XP201" s="412"/>
      <c r="XQ201" s="412"/>
      <c r="XR201" s="412"/>
      <c r="XS201" s="412"/>
      <c r="XT201" s="412"/>
      <c r="XU201" s="412"/>
      <c r="XV201" s="412"/>
      <c r="XW201" s="412"/>
      <c r="XX201" s="412"/>
      <c r="XY201" s="412"/>
      <c r="XZ201" s="412"/>
      <c r="YA201" s="412"/>
      <c r="YB201" s="412"/>
      <c r="YC201" s="412"/>
      <c r="YD201" s="412"/>
      <c r="YE201" s="412"/>
      <c r="YF201" s="412"/>
      <c r="YG201" s="412"/>
      <c r="YH201" s="412"/>
      <c r="YI201" s="412"/>
      <c r="YJ201" s="412"/>
      <c r="YK201" s="412"/>
      <c r="YL201" s="412"/>
      <c r="YM201" s="412"/>
      <c r="YN201" s="412"/>
      <c r="YO201" s="412"/>
      <c r="YP201" s="412"/>
      <c r="YQ201" s="412"/>
      <c r="YR201" s="412"/>
      <c r="YS201" s="412"/>
      <c r="YT201" s="412"/>
      <c r="YU201" s="412"/>
      <c r="YV201" s="412"/>
      <c r="YW201" s="412"/>
      <c r="YX201" s="412"/>
      <c r="YY201" s="412"/>
      <c r="YZ201" s="412"/>
      <c r="ZA201" s="412"/>
      <c r="ZB201" s="412"/>
      <c r="ZC201" s="412"/>
      <c r="ZD201" s="412"/>
      <c r="ZE201" s="412"/>
      <c r="ZF201" s="412"/>
      <c r="ZG201" s="412"/>
      <c r="ZH201" s="412"/>
      <c r="ZI201" s="412"/>
      <c r="ZJ201" s="412"/>
      <c r="ZK201" s="412"/>
      <c r="ZL201" s="412"/>
      <c r="ZM201" s="412"/>
      <c r="ZN201" s="412"/>
      <c r="ZO201" s="412"/>
      <c r="ZP201" s="412"/>
      <c r="ZQ201" s="412"/>
      <c r="ZR201" s="412"/>
      <c r="ZS201" s="412"/>
      <c r="ZT201" s="412"/>
      <c r="ZU201" s="412"/>
      <c r="ZV201" s="412"/>
      <c r="ZW201" s="412"/>
      <c r="ZX201" s="412"/>
      <c r="ZY201" s="412"/>
      <c r="ZZ201" s="412"/>
      <c r="AAA201" s="412"/>
      <c r="AAB201" s="412"/>
      <c r="AAC201" s="412"/>
      <c r="AAD201" s="412"/>
      <c r="AAE201" s="412"/>
      <c r="AAF201" s="412"/>
      <c r="AAG201" s="412"/>
      <c r="AAH201" s="412"/>
      <c r="AAI201" s="412"/>
      <c r="AAJ201" s="412"/>
      <c r="AAK201" s="412"/>
      <c r="AAL201" s="412"/>
      <c r="AAM201" s="412"/>
      <c r="AAN201" s="412"/>
      <c r="AAO201" s="412"/>
      <c r="AAP201" s="412"/>
      <c r="AAQ201" s="412"/>
      <c r="AAR201" s="412"/>
      <c r="AAS201" s="412"/>
      <c r="AAT201" s="412"/>
      <c r="AAU201" s="412"/>
      <c r="AAV201" s="412"/>
      <c r="AAW201" s="412"/>
      <c r="AAX201" s="412"/>
      <c r="AAY201" s="412"/>
      <c r="AAZ201" s="412"/>
      <c r="ABA201" s="412"/>
      <c r="ABB201" s="412"/>
      <c r="ABC201" s="412"/>
      <c r="ABD201" s="412"/>
      <c r="ABE201" s="412"/>
      <c r="ABF201" s="412"/>
      <c r="ABG201" s="412"/>
      <c r="ABH201" s="412"/>
      <c r="ABI201" s="412"/>
      <c r="ABJ201" s="412"/>
      <c r="ABK201" s="412"/>
      <c r="ABL201" s="412"/>
      <c r="ABM201" s="412"/>
      <c r="ABN201" s="412"/>
      <c r="ABO201" s="412"/>
      <c r="ABP201" s="412"/>
      <c r="ABQ201" s="412"/>
      <c r="ABR201" s="412"/>
      <c r="ABS201" s="412"/>
      <c r="ABT201" s="412"/>
      <c r="ABU201" s="412"/>
      <c r="ABV201" s="412"/>
      <c r="ABW201" s="412"/>
      <c r="ABX201" s="412"/>
      <c r="ABY201" s="412"/>
      <c r="ABZ201" s="412"/>
      <c r="ACA201" s="412"/>
      <c r="ACB201" s="412"/>
      <c r="ACC201" s="412"/>
      <c r="ACD201" s="412"/>
      <c r="ACE201" s="412"/>
      <c r="ACF201" s="412"/>
      <c r="ACG201" s="412"/>
      <c r="ACH201" s="412"/>
      <c r="ACI201" s="412"/>
      <c r="ACJ201" s="412"/>
      <c r="ACK201" s="412"/>
      <c r="ACL201" s="412"/>
      <c r="ACM201" s="412"/>
      <c r="ACN201" s="412"/>
      <c r="ACO201" s="412"/>
      <c r="ACP201" s="412"/>
      <c r="ACQ201" s="412"/>
      <c r="ACR201" s="412"/>
      <c r="ACS201" s="412"/>
      <c r="ACT201" s="412"/>
      <c r="ACU201" s="412"/>
      <c r="ACV201" s="412"/>
      <c r="ACW201" s="412"/>
      <c r="ACX201" s="412"/>
      <c r="ACY201" s="412"/>
      <c r="ACZ201" s="412"/>
      <c r="ADA201" s="412"/>
      <c r="ADB201" s="412"/>
      <c r="ADC201" s="412"/>
      <c r="ADD201" s="412"/>
      <c r="ADE201" s="412"/>
      <c r="ADF201" s="412"/>
      <c r="ADG201" s="412"/>
      <c r="ADH201" s="412"/>
      <c r="ADI201" s="412"/>
      <c r="ADJ201" s="412"/>
      <c r="ADK201" s="412"/>
      <c r="ADL201" s="412"/>
      <c r="ADM201" s="412"/>
      <c r="ADN201" s="412"/>
      <c r="ADO201" s="412"/>
      <c r="ADP201" s="412"/>
      <c r="ADQ201" s="412"/>
      <c r="ADR201" s="412"/>
      <c r="ADS201" s="412"/>
      <c r="ADT201" s="412"/>
      <c r="ADU201" s="412"/>
      <c r="ADV201" s="412"/>
      <c r="ADW201" s="412"/>
      <c r="ADX201" s="412"/>
      <c r="ADY201" s="412"/>
      <c r="ADZ201" s="412"/>
      <c r="AEA201" s="412"/>
      <c r="AEB201" s="412"/>
      <c r="AEC201" s="412"/>
      <c r="AED201" s="412"/>
      <c r="AEE201" s="412"/>
      <c r="AEF201" s="412"/>
      <c r="AEG201" s="412"/>
      <c r="AEH201" s="412"/>
      <c r="AEI201" s="412"/>
      <c r="AEJ201" s="412"/>
      <c r="AEK201" s="412"/>
      <c r="AEL201" s="412"/>
      <c r="AEM201" s="412"/>
      <c r="AEN201" s="412"/>
      <c r="AEO201" s="412"/>
      <c r="AEP201" s="412"/>
      <c r="AEQ201" s="412"/>
      <c r="AER201" s="412"/>
      <c r="AES201" s="412"/>
      <c r="AET201" s="412"/>
      <c r="AEU201" s="412"/>
      <c r="AEV201" s="412"/>
      <c r="AEW201" s="412"/>
      <c r="AEX201" s="412"/>
      <c r="AEY201" s="412"/>
      <c r="AEZ201" s="412"/>
      <c r="AFA201" s="412"/>
      <c r="AFB201" s="412"/>
      <c r="AFC201" s="412"/>
      <c r="AFD201" s="412"/>
      <c r="AFE201" s="412"/>
      <c r="AFF201" s="412"/>
      <c r="AFG201" s="412"/>
      <c r="AFH201" s="412"/>
      <c r="AFI201" s="412"/>
      <c r="AFJ201" s="412"/>
      <c r="AFK201" s="412"/>
      <c r="AFL201" s="412"/>
      <c r="AFM201" s="412"/>
      <c r="AFN201" s="412"/>
      <c r="AFO201" s="412"/>
      <c r="AFP201" s="412"/>
      <c r="AFQ201" s="412"/>
      <c r="AFR201" s="412"/>
      <c r="AFS201" s="412"/>
      <c r="AFT201" s="412"/>
      <c r="AFU201" s="412"/>
      <c r="AFV201" s="412"/>
      <c r="AFW201" s="412"/>
      <c r="AFX201" s="412"/>
      <c r="AFY201" s="412"/>
      <c r="AFZ201" s="412"/>
      <c r="AGA201" s="412"/>
      <c r="AGB201" s="412"/>
      <c r="AGC201" s="412"/>
      <c r="AGD201" s="412"/>
      <c r="AGE201" s="412"/>
      <c r="AGF201" s="412"/>
      <c r="AGG201" s="412"/>
      <c r="AGH201" s="412"/>
      <c r="AGI201" s="412"/>
      <c r="AGJ201" s="412"/>
      <c r="AGK201" s="412"/>
      <c r="AGL201" s="412"/>
      <c r="AGM201" s="412"/>
      <c r="AGN201" s="412"/>
      <c r="AGO201" s="412"/>
      <c r="AGP201" s="412"/>
      <c r="AGQ201" s="412"/>
      <c r="AGR201" s="412"/>
      <c r="AGS201" s="412"/>
      <c r="AGT201" s="412"/>
      <c r="AGU201" s="412"/>
      <c r="AGV201" s="412"/>
      <c r="AGW201" s="412"/>
      <c r="AGX201" s="412"/>
      <c r="AGY201" s="412"/>
      <c r="AGZ201" s="412"/>
      <c r="AHA201" s="412"/>
      <c r="AHB201" s="412"/>
      <c r="AHC201" s="412"/>
      <c r="AHD201" s="412"/>
      <c r="AHE201" s="412"/>
      <c r="AHF201" s="412"/>
      <c r="AHG201" s="412"/>
      <c r="AHH201" s="412"/>
      <c r="AHI201" s="412"/>
      <c r="AHJ201" s="412"/>
      <c r="AHK201" s="412"/>
      <c r="AHL201" s="412"/>
      <c r="AHM201" s="412"/>
      <c r="AHN201" s="412"/>
      <c r="AHO201" s="412"/>
      <c r="AHP201" s="412"/>
      <c r="AHQ201" s="412"/>
      <c r="AHR201" s="412"/>
      <c r="AHS201" s="412"/>
      <c r="AHT201" s="412"/>
      <c r="AHU201" s="412"/>
      <c r="AHV201" s="412"/>
      <c r="AHW201" s="412"/>
      <c r="AHX201" s="412"/>
      <c r="AHY201" s="412"/>
      <c r="AHZ201" s="412"/>
      <c r="AIA201" s="412"/>
      <c r="AIB201" s="412"/>
      <c r="AIC201" s="412"/>
      <c r="AID201" s="412"/>
      <c r="AIE201" s="412"/>
      <c r="AIF201" s="412"/>
      <c r="AIG201" s="412"/>
      <c r="AIH201" s="412"/>
      <c r="AII201" s="412"/>
      <c r="AIJ201" s="412"/>
      <c r="AIK201" s="412"/>
      <c r="AIL201" s="412"/>
      <c r="AIM201" s="412"/>
      <c r="AIN201" s="412"/>
      <c r="AIO201" s="412"/>
      <c r="AIP201" s="412"/>
      <c r="AIQ201" s="412"/>
      <c r="AIR201" s="412"/>
      <c r="AIS201" s="412"/>
      <c r="AIT201" s="412"/>
      <c r="AIU201" s="412"/>
      <c r="AIV201" s="412"/>
      <c r="AIW201" s="412"/>
      <c r="AIX201" s="412"/>
      <c r="AIY201" s="412"/>
      <c r="AIZ201" s="412"/>
      <c r="AJA201" s="412"/>
      <c r="AJB201" s="412"/>
      <c r="AJC201" s="412"/>
      <c r="AJD201" s="412"/>
      <c r="AJE201" s="412"/>
      <c r="AJF201" s="412"/>
      <c r="AJG201" s="412"/>
      <c r="AJH201" s="412"/>
      <c r="AJI201" s="412"/>
      <c r="AJJ201" s="412"/>
      <c r="AJK201" s="412"/>
      <c r="AJL201" s="412"/>
      <c r="AJM201" s="412"/>
      <c r="AJN201" s="412"/>
      <c r="AJO201" s="412"/>
      <c r="AJP201" s="412"/>
      <c r="AJQ201" s="412"/>
      <c r="AJR201" s="412"/>
      <c r="AJS201" s="412"/>
      <c r="AJT201" s="412"/>
      <c r="AJU201" s="412"/>
      <c r="AJV201" s="412"/>
      <c r="AJW201" s="412"/>
      <c r="AJX201" s="412"/>
      <c r="AJY201" s="412"/>
      <c r="AJZ201" s="412"/>
      <c r="AKA201" s="412"/>
      <c r="AKB201" s="412"/>
      <c r="AKC201" s="412"/>
      <c r="AKD201" s="412"/>
      <c r="AKE201" s="412"/>
      <c r="AKF201" s="412"/>
      <c r="AKG201" s="412"/>
      <c r="AKH201" s="412"/>
      <c r="AKI201" s="412"/>
      <c r="AKJ201" s="412"/>
      <c r="AKK201" s="412"/>
      <c r="AKL201" s="412"/>
      <c r="AKM201" s="412"/>
      <c r="AKN201" s="412"/>
      <c r="AKO201" s="412"/>
      <c r="AKP201" s="412"/>
      <c r="AKQ201" s="412"/>
      <c r="AKR201" s="412"/>
      <c r="AKS201" s="412"/>
      <c r="AKT201" s="412"/>
      <c r="AKU201" s="412"/>
      <c r="AKV201" s="412"/>
      <c r="AKW201" s="412"/>
      <c r="AKX201" s="412"/>
      <c r="AKY201" s="412"/>
      <c r="AKZ201" s="412"/>
      <c r="ALA201" s="412"/>
      <c r="ALB201" s="412"/>
      <c r="ALC201" s="412"/>
      <c r="ALD201" s="412"/>
      <c r="ALE201" s="412"/>
      <c r="ALF201" s="412"/>
      <c r="ALG201" s="412"/>
      <c r="ALH201" s="412"/>
      <c r="ALI201" s="412"/>
      <c r="ALJ201" s="412"/>
      <c r="ALK201" s="412"/>
      <c r="ALL201" s="412"/>
      <c r="ALM201" s="412"/>
      <c r="ALN201" s="412"/>
      <c r="ALO201" s="412"/>
      <c r="ALP201" s="412"/>
      <c r="ALQ201" s="412"/>
      <c r="ALR201" s="412"/>
      <c r="ALS201" s="412"/>
      <c r="ALT201" s="412"/>
      <c r="ALU201" s="412"/>
      <c r="ALV201" s="412"/>
      <c r="ALW201" s="412"/>
      <c r="ALX201" s="412"/>
      <c r="ALY201" s="412"/>
      <c r="ALZ201" s="412"/>
      <c r="AMA201" s="412"/>
      <c r="AMB201" s="412"/>
      <c r="AMC201" s="412"/>
      <c r="AMD201" s="412"/>
      <c r="AME201" s="412"/>
      <c r="AMF201" s="412"/>
      <c r="AMG201" s="412"/>
      <c r="AMH201" s="412"/>
      <c r="AMI201" s="412"/>
      <c r="AMJ201" s="412"/>
      <c r="AMK201" s="412"/>
      <c r="AML201" s="412"/>
      <c r="AMM201" s="412"/>
      <c r="AMN201" s="412"/>
      <c r="AMO201" s="412"/>
      <c r="AMP201" s="412"/>
      <c r="AMQ201" s="412"/>
      <c r="AMR201" s="412"/>
      <c r="AMS201" s="412"/>
      <c r="AMT201" s="412"/>
      <c r="AMU201" s="412"/>
      <c r="AMV201" s="412"/>
      <c r="AMW201" s="412"/>
      <c r="AMX201" s="412"/>
      <c r="AMY201" s="412"/>
      <c r="AMZ201" s="412"/>
      <c r="ANA201" s="412"/>
      <c r="ANB201" s="412"/>
      <c r="ANC201" s="412"/>
      <c r="AND201" s="412"/>
      <c r="ANE201" s="412"/>
      <c r="ANF201" s="412"/>
      <c r="ANG201" s="412"/>
      <c r="ANH201" s="412"/>
      <c r="ANI201" s="412"/>
      <c r="ANJ201" s="412"/>
      <c r="ANK201" s="412"/>
      <c r="ANL201" s="412"/>
      <c r="ANM201" s="412"/>
      <c r="ANN201" s="412"/>
      <c r="ANO201" s="412"/>
      <c r="ANP201" s="412"/>
      <c r="ANQ201" s="412"/>
      <c r="ANR201" s="412"/>
      <c r="ANS201" s="412"/>
      <c r="ANT201" s="412"/>
      <c r="ANU201" s="412"/>
      <c r="ANV201" s="412"/>
      <c r="ANW201" s="412"/>
      <c r="ANX201" s="412"/>
      <c r="ANY201" s="412"/>
      <c r="ANZ201" s="412"/>
      <c r="AOA201" s="412"/>
      <c r="AOB201" s="412"/>
      <c r="AOC201" s="412"/>
      <c r="AOD201" s="412"/>
      <c r="AOE201" s="412"/>
      <c r="AOF201" s="412"/>
      <c r="AOG201" s="412"/>
      <c r="AOH201" s="412"/>
      <c r="AOI201" s="412"/>
      <c r="AOJ201" s="412"/>
      <c r="AOK201" s="412"/>
      <c r="AOL201" s="412"/>
      <c r="AOM201" s="412"/>
      <c r="AON201" s="412"/>
      <c r="AOO201" s="412"/>
      <c r="AOP201" s="412"/>
      <c r="AOQ201" s="412"/>
      <c r="AOR201" s="412"/>
      <c r="AOS201" s="412"/>
      <c r="AOT201" s="412"/>
      <c r="AOU201" s="412"/>
      <c r="AOV201" s="412"/>
      <c r="AOW201" s="412"/>
      <c r="AOX201" s="412"/>
      <c r="AOY201" s="412"/>
      <c r="AOZ201" s="412"/>
      <c r="APA201" s="412"/>
      <c r="APB201" s="412"/>
      <c r="APC201" s="412"/>
      <c r="APD201" s="412"/>
      <c r="APE201" s="412"/>
      <c r="APF201" s="412"/>
      <c r="APG201" s="412"/>
      <c r="APH201" s="412"/>
      <c r="API201" s="412"/>
      <c r="APJ201" s="412"/>
      <c r="APK201" s="412"/>
      <c r="APL201" s="412"/>
      <c r="APM201" s="412"/>
      <c r="APN201" s="412"/>
      <c r="APO201" s="412"/>
      <c r="APP201" s="412"/>
      <c r="APQ201" s="412"/>
      <c r="APR201" s="412"/>
      <c r="APS201" s="412"/>
      <c r="APT201" s="412"/>
      <c r="APU201" s="412"/>
      <c r="APV201" s="412"/>
      <c r="APW201" s="412"/>
      <c r="APX201" s="412"/>
      <c r="APY201" s="412"/>
      <c r="APZ201" s="412"/>
      <c r="AQA201" s="412"/>
      <c r="AQB201" s="412"/>
      <c r="AQC201" s="412"/>
      <c r="AQD201" s="412"/>
      <c r="AQE201" s="412"/>
      <c r="AQF201" s="412"/>
      <c r="AQG201" s="412"/>
      <c r="AQH201" s="412"/>
      <c r="AQI201" s="412"/>
      <c r="AQJ201" s="412"/>
      <c r="AQK201" s="412"/>
      <c r="AQL201" s="412"/>
      <c r="AQM201" s="412"/>
      <c r="AQN201" s="412"/>
      <c r="AQO201" s="412"/>
      <c r="AQP201" s="412"/>
      <c r="AQQ201" s="412"/>
      <c r="AQR201" s="412"/>
      <c r="AQS201" s="412"/>
      <c r="AQT201" s="412"/>
      <c r="AQU201" s="412"/>
      <c r="AQV201" s="412"/>
      <c r="AQW201" s="412"/>
      <c r="AQX201" s="412"/>
      <c r="AQY201" s="412"/>
      <c r="AQZ201" s="412"/>
      <c r="ARA201" s="412"/>
      <c r="ARB201" s="412"/>
      <c r="ARC201" s="412"/>
      <c r="ARD201" s="412"/>
      <c r="ARE201" s="412"/>
      <c r="ARF201" s="412"/>
      <c r="ARG201" s="412"/>
      <c r="ARH201" s="412"/>
      <c r="ARI201" s="412"/>
      <c r="ARJ201" s="412"/>
      <c r="ARK201" s="412"/>
      <c r="ARL201" s="412"/>
      <c r="ARM201" s="412"/>
      <c r="ARN201" s="412"/>
      <c r="ARO201" s="412"/>
      <c r="ARP201" s="412"/>
      <c r="ARQ201" s="412"/>
      <c r="ARR201" s="412"/>
      <c r="ARS201" s="412"/>
      <c r="ART201" s="412"/>
      <c r="ARU201" s="412"/>
      <c r="ARV201" s="412"/>
      <c r="ARW201" s="412"/>
      <c r="ARX201" s="412"/>
      <c r="ARY201" s="412"/>
      <c r="ARZ201" s="412"/>
      <c r="ASA201" s="412"/>
      <c r="ASB201" s="412"/>
      <c r="ASC201" s="412"/>
      <c r="ASD201" s="412"/>
      <c r="ASE201" s="412"/>
      <c r="ASF201" s="412"/>
      <c r="ASG201" s="412"/>
      <c r="ASH201" s="412"/>
      <c r="ASI201" s="412"/>
      <c r="ASJ201" s="412"/>
      <c r="ASK201" s="412"/>
      <c r="ASL201" s="412"/>
      <c r="ASM201" s="412"/>
      <c r="ASN201" s="412"/>
      <c r="ASO201" s="412"/>
      <c r="ASP201" s="412"/>
      <c r="ASQ201" s="412"/>
      <c r="ASR201" s="412"/>
      <c r="ASS201" s="412"/>
      <c r="AST201" s="412"/>
      <c r="ASU201" s="412"/>
      <c r="ASV201" s="412"/>
      <c r="ASW201" s="412"/>
      <c r="ASX201" s="412"/>
      <c r="ASY201" s="412"/>
      <c r="ASZ201" s="412"/>
      <c r="ATA201" s="412"/>
      <c r="ATB201" s="412"/>
      <c r="ATC201" s="412"/>
      <c r="ATD201" s="412"/>
      <c r="ATE201" s="412"/>
      <c r="ATF201" s="412"/>
      <c r="ATG201" s="412"/>
      <c r="ATH201" s="412"/>
      <c r="ATI201" s="412"/>
      <c r="ATJ201" s="412"/>
      <c r="ATK201" s="412"/>
      <c r="ATL201" s="412"/>
      <c r="ATM201" s="412"/>
      <c r="ATN201" s="412"/>
      <c r="ATO201" s="412"/>
      <c r="ATP201" s="412"/>
      <c r="ATQ201" s="412"/>
      <c r="ATR201" s="412"/>
      <c r="ATS201" s="412"/>
      <c r="ATT201" s="412"/>
      <c r="ATU201" s="412"/>
      <c r="ATV201" s="412"/>
      <c r="ATW201" s="412"/>
      <c r="ATX201" s="412"/>
      <c r="ATY201" s="412"/>
      <c r="ATZ201" s="412"/>
      <c r="AUA201" s="412"/>
      <c r="AUB201" s="412"/>
      <c r="AUC201" s="412"/>
      <c r="AUD201" s="412"/>
      <c r="AUE201" s="412"/>
      <c r="AUF201" s="412"/>
      <c r="AUG201" s="412"/>
      <c r="AUH201" s="412"/>
      <c r="AUI201" s="412"/>
      <c r="AUJ201" s="412"/>
      <c r="AUK201" s="412"/>
      <c r="AUL201" s="412"/>
      <c r="AUM201" s="412"/>
      <c r="AUN201" s="412"/>
      <c r="AUO201" s="412"/>
      <c r="AUP201" s="412"/>
      <c r="AUQ201" s="412"/>
      <c r="AUR201" s="412"/>
      <c r="AUS201" s="412"/>
      <c r="AUT201" s="412"/>
      <c r="AUU201" s="412"/>
      <c r="AUV201" s="412"/>
      <c r="AUW201" s="412"/>
      <c r="AUX201" s="412"/>
      <c r="AUY201" s="412"/>
      <c r="AUZ201" s="412"/>
      <c r="AVA201" s="412"/>
      <c r="AVB201" s="412"/>
      <c r="AVC201" s="412"/>
      <c r="AVD201" s="412"/>
      <c r="AVE201" s="412"/>
      <c r="AVF201" s="412"/>
      <c r="AVG201" s="412"/>
      <c r="AVH201" s="412"/>
      <c r="AVI201" s="412"/>
      <c r="AVJ201" s="412"/>
      <c r="AVK201" s="412"/>
      <c r="AVL201" s="412"/>
      <c r="AVM201" s="412"/>
      <c r="AVN201" s="412"/>
      <c r="AVO201" s="412"/>
      <c r="AVP201" s="412"/>
      <c r="AVQ201" s="412"/>
      <c r="AVR201" s="412"/>
      <c r="AVS201" s="412"/>
      <c r="AVT201" s="412"/>
      <c r="AVU201" s="412"/>
      <c r="AVV201" s="412"/>
      <c r="AVW201" s="412"/>
      <c r="AVX201" s="412"/>
      <c r="AVY201" s="412"/>
      <c r="AVZ201" s="412"/>
      <c r="AWA201" s="412"/>
      <c r="AWB201" s="412"/>
      <c r="AWC201" s="412"/>
      <c r="AWD201" s="412"/>
      <c r="AWE201" s="412"/>
      <c r="AWF201" s="412"/>
      <c r="AWG201" s="412"/>
      <c r="AWH201" s="412"/>
      <c r="AWI201" s="412"/>
      <c r="AWJ201" s="412"/>
      <c r="AWK201" s="412"/>
      <c r="AWL201" s="412"/>
      <c r="AWM201" s="412"/>
      <c r="AWN201" s="412"/>
      <c r="AWO201" s="412"/>
      <c r="AWP201" s="412"/>
      <c r="AWQ201" s="412"/>
      <c r="AWR201" s="412"/>
      <c r="AWS201" s="412"/>
      <c r="AWT201" s="412"/>
      <c r="AWU201" s="412"/>
      <c r="AWV201" s="412"/>
      <c r="AWW201" s="412"/>
      <c r="AWX201" s="412"/>
      <c r="AWY201" s="412"/>
      <c r="AWZ201" s="412"/>
      <c r="AXA201" s="412"/>
      <c r="AXB201" s="412"/>
      <c r="AXC201" s="412"/>
      <c r="AXD201" s="412"/>
      <c r="AXE201" s="412"/>
      <c r="AXF201" s="412"/>
      <c r="AXG201" s="412"/>
      <c r="AXH201" s="412"/>
      <c r="AXI201" s="412"/>
      <c r="AXJ201" s="412"/>
      <c r="AXK201" s="412"/>
      <c r="AXL201" s="412"/>
      <c r="AXM201" s="412"/>
      <c r="AXN201" s="412"/>
      <c r="AXO201" s="412"/>
      <c r="AXP201" s="412"/>
      <c r="AXQ201" s="412"/>
      <c r="AXR201" s="412"/>
      <c r="AXS201" s="412"/>
      <c r="AXT201" s="412"/>
      <c r="AXU201" s="412"/>
      <c r="AXV201" s="412"/>
      <c r="AXW201" s="412"/>
      <c r="AXX201" s="412"/>
      <c r="AXY201" s="412"/>
      <c r="AXZ201" s="412"/>
      <c r="AYA201" s="412"/>
      <c r="AYB201" s="412"/>
      <c r="AYC201" s="412"/>
      <c r="AYD201" s="412"/>
      <c r="AYE201" s="412"/>
      <c r="AYF201" s="412"/>
      <c r="AYG201" s="412"/>
      <c r="AYH201" s="412"/>
      <c r="AYI201" s="412"/>
      <c r="AYJ201" s="412"/>
      <c r="AYK201" s="412"/>
      <c r="AYL201" s="412"/>
      <c r="AYM201" s="412"/>
      <c r="AYN201" s="412"/>
      <c r="AYO201" s="412"/>
      <c r="AYP201" s="412"/>
      <c r="AYQ201" s="412"/>
      <c r="AYR201" s="412"/>
      <c r="AYS201" s="412"/>
      <c r="AYT201" s="412"/>
      <c r="AYU201" s="412"/>
      <c r="AYV201" s="412"/>
      <c r="AYW201" s="412"/>
      <c r="AYX201" s="412"/>
      <c r="AYY201" s="412"/>
      <c r="AYZ201" s="412"/>
      <c r="AZA201" s="412"/>
      <c r="AZB201" s="412"/>
      <c r="AZC201" s="412"/>
      <c r="AZD201" s="412"/>
      <c r="AZE201" s="412"/>
      <c r="AZF201" s="412"/>
      <c r="AZG201" s="412"/>
      <c r="AZH201" s="412"/>
      <c r="AZI201" s="412"/>
      <c r="AZJ201" s="412"/>
      <c r="AZK201" s="412"/>
      <c r="AZL201" s="412"/>
      <c r="AZM201" s="412"/>
      <c r="AZN201" s="412"/>
      <c r="AZO201" s="412"/>
      <c r="AZP201" s="412"/>
      <c r="AZQ201" s="412"/>
      <c r="AZR201" s="412"/>
      <c r="AZS201" s="412"/>
      <c r="AZT201" s="412"/>
      <c r="AZU201" s="412"/>
      <c r="AZV201" s="412"/>
      <c r="AZW201" s="412"/>
      <c r="AZX201" s="412"/>
      <c r="AZY201" s="412"/>
      <c r="AZZ201" s="412"/>
      <c r="BAA201" s="412"/>
      <c r="BAB201" s="412"/>
      <c r="BAC201" s="412"/>
      <c r="BAD201" s="412"/>
      <c r="BAE201" s="412"/>
      <c r="BAF201" s="412"/>
      <c r="BAG201" s="412"/>
      <c r="BAH201" s="412"/>
      <c r="BAI201" s="412"/>
      <c r="BAJ201" s="412"/>
      <c r="BAK201" s="412"/>
      <c r="BAL201" s="412"/>
      <c r="BAM201" s="412"/>
      <c r="BAN201" s="412"/>
      <c r="BAO201" s="412"/>
      <c r="BAP201" s="412"/>
      <c r="BAQ201" s="412"/>
      <c r="BAR201" s="412"/>
      <c r="BAS201" s="412"/>
      <c r="BAT201" s="412"/>
      <c r="BAU201" s="412"/>
      <c r="BAV201" s="412"/>
      <c r="BAW201" s="412"/>
      <c r="BAX201" s="412"/>
      <c r="BAY201" s="412"/>
      <c r="BAZ201" s="412"/>
      <c r="BBA201" s="412"/>
      <c r="BBB201" s="412"/>
      <c r="BBC201" s="412"/>
      <c r="BBD201" s="412"/>
      <c r="BBE201" s="412"/>
      <c r="BBF201" s="412"/>
      <c r="BBG201" s="412"/>
      <c r="BBH201" s="412"/>
      <c r="BBI201" s="412"/>
      <c r="BBJ201" s="412"/>
      <c r="BBK201" s="412"/>
      <c r="BBL201" s="412"/>
      <c r="BBM201" s="412"/>
      <c r="BBN201" s="412"/>
      <c r="BBO201" s="412"/>
      <c r="BBP201" s="412"/>
      <c r="BBQ201" s="412"/>
      <c r="BBR201" s="412"/>
      <c r="BBS201" s="412"/>
      <c r="BBT201" s="412"/>
      <c r="BBU201" s="412"/>
      <c r="BBV201" s="412"/>
      <c r="BBW201" s="412"/>
      <c r="BBX201" s="412"/>
      <c r="BBY201" s="412"/>
      <c r="BBZ201" s="412"/>
      <c r="BCA201" s="412"/>
      <c r="BCB201" s="412"/>
      <c r="BCC201" s="412"/>
      <c r="BCD201" s="412"/>
      <c r="BCE201" s="412"/>
      <c r="BCF201" s="412"/>
      <c r="BCG201" s="412"/>
      <c r="BCH201" s="412"/>
      <c r="BCI201" s="412"/>
      <c r="BCJ201" s="412"/>
      <c r="BCK201" s="412"/>
      <c r="BCL201" s="412"/>
      <c r="BCM201" s="412"/>
      <c r="BCN201" s="412"/>
      <c r="BCO201" s="412"/>
      <c r="BCP201" s="412"/>
      <c r="BCQ201" s="412"/>
      <c r="BCR201" s="412"/>
      <c r="BCS201" s="412"/>
      <c r="BCT201" s="412"/>
      <c r="BCU201" s="412"/>
      <c r="BCV201" s="412"/>
      <c r="BCW201" s="412"/>
      <c r="BCX201" s="412"/>
      <c r="BCY201" s="412"/>
      <c r="BCZ201" s="412"/>
      <c r="BDA201" s="412"/>
      <c r="BDB201" s="412"/>
      <c r="BDC201" s="412"/>
      <c r="BDD201" s="412"/>
      <c r="BDE201" s="412"/>
      <c r="BDF201" s="412"/>
      <c r="BDG201" s="412"/>
      <c r="BDH201" s="412"/>
      <c r="BDI201" s="412"/>
      <c r="BDJ201" s="412"/>
      <c r="BDK201" s="412"/>
      <c r="BDL201" s="412"/>
      <c r="BDM201" s="412"/>
      <c r="BDN201" s="412"/>
      <c r="BDO201" s="412"/>
      <c r="BDP201" s="412"/>
      <c r="BDQ201" s="412"/>
      <c r="BDR201" s="412"/>
      <c r="BDS201" s="412"/>
      <c r="BDT201" s="412"/>
      <c r="BDU201" s="412"/>
      <c r="BDV201" s="412"/>
      <c r="BDW201" s="412"/>
      <c r="BDX201" s="412"/>
      <c r="BDY201" s="412"/>
      <c r="BDZ201" s="412"/>
      <c r="BEA201" s="412"/>
      <c r="BEB201" s="412"/>
      <c r="BEC201" s="412"/>
      <c r="BED201" s="412"/>
      <c r="BEE201" s="412"/>
      <c r="BEF201" s="412"/>
      <c r="BEG201" s="412"/>
      <c r="BEH201" s="412"/>
      <c r="BEI201" s="412"/>
      <c r="BEJ201" s="412"/>
      <c r="BEK201" s="412"/>
      <c r="BEL201" s="412"/>
      <c r="BEM201" s="412"/>
      <c r="BEN201" s="412"/>
      <c r="BEO201" s="412"/>
      <c r="BEP201" s="412"/>
      <c r="BEQ201" s="412"/>
      <c r="BER201" s="412"/>
      <c r="BES201" s="412"/>
      <c r="BET201" s="412"/>
      <c r="BEU201" s="412"/>
      <c r="BEV201" s="412"/>
      <c r="BEW201" s="412"/>
      <c r="BEX201" s="412"/>
      <c r="BEY201" s="412"/>
      <c r="BEZ201" s="412"/>
      <c r="BFA201" s="412"/>
      <c r="BFB201" s="412"/>
      <c r="BFC201" s="412"/>
      <c r="BFD201" s="412"/>
      <c r="BFE201" s="412"/>
      <c r="BFF201" s="412"/>
      <c r="BFG201" s="412"/>
      <c r="BFH201" s="412"/>
      <c r="BFI201" s="412"/>
      <c r="BFJ201" s="412"/>
      <c r="BFK201" s="412"/>
      <c r="BFL201" s="412"/>
      <c r="BFM201" s="412"/>
      <c r="BFN201" s="412"/>
      <c r="BFO201" s="412"/>
      <c r="BFP201" s="412"/>
      <c r="BFQ201" s="412"/>
      <c r="BFR201" s="412"/>
      <c r="BFS201" s="412"/>
      <c r="BFT201" s="412"/>
      <c r="BFU201" s="412"/>
      <c r="BFV201" s="412"/>
      <c r="BFW201" s="412"/>
      <c r="BFX201" s="412"/>
      <c r="BFY201" s="412"/>
      <c r="BFZ201" s="412"/>
      <c r="BGA201" s="412"/>
      <c r="BGB201" s="412"/>
      <c r="BGC201" s="412"/>
      <c r="BGD201" s="412"/>
      <c r="BGE201" s="412"/>
      <c r="BGF201" s="412"/>
      <c r="BGG201" s="412"/>
      <c r="BGH201" s="412"/>
      <c r="BGI201" s="412"/>
      <c r="BGJ201" s="412"/>
      <c r="BGK201" s="412"/>
      <c r="BGL201" s="412"/>
      <c r="BGM201" s="412"/>
      <c r="BGN201" s="412"/>
      <c r="BGO201" s="412"/>
      <c r="BGP201" s="412"/>
      <c r="BGQ201" s="412"/>
      <c r="BGR201" s="412"/>
      <c r="BGS201" s="412"/>
      <c r="BGT201" s="412"/>
      <c r="BGU201" s="412"/>
      <c r="BGV201" s="412"/>
      <c r="BGW201" s="412"/>
      <c r="BGX201" s="412"/>
      <c r="BGY201" s="412"/>
      <c r="BGZ201" s="412"/>
      <c r="BHA201" s="412"/>
      <c r="BHB201" s="412"/>
      <c r="BHC201" s="412"/>
      <c r="BHD201" s="412"/>
      <c r="BHE201" s="412"/>
      <c r="BHF201" s="412"/>
      <c r="BHG201" s="412"/>
      <c r="BHH201" s="412"/>
      <c r="BHI201" s="412"/>
      <c r="BHJ201" s="412"/>
      <c r="BHK201" s="412"/>
      <c r="BHL201" s="412"/>
      <c r="BHM201" s="412"/>
      <c r="BHN201" s="412"/>
      <c r="BHO201" s="412"/>
      <c r="BHP201" s="412"/>
      <c r="BHQ201" s="412"/>
      <c r="BHR201" s="412"/>
      <c r="BHS201" s="412"/>
      <c r="BHT201" s="412"/>
      <c r="BHU201" s="412"/>
      <c r="BHV201" s="412"/>
      <c r="BHW201" s="412"/>
      <c r="BHX201" s="412"/>
      <c r="BHY201" s="412"/>
      <c r="BHZ201" s="412"/>
      <c r="BIA201" s="412"/>
      <c r="BIB201" s="412"/>
      <c r="BIC201" s="412"/>
      <c r="BID201" s="412"/>
      <c r="BIE201" s="412"/>
      <c r="BIF201" s="412"/>
      <c r="BIG201" s="412"/>
      <c r="BIH201" s="412"/>
      <c r="BII201" s="412"/>
      <c r="BIJ201" s="412"/>
      <c r="BIK201" s="412"/>
      <c r="BIL201" s="412"/>
      <c r="BIM201" s="412"/>
      <c r="BIN201" s="412"/>
      <c r="BIO201" s="412"/>
      <c r="BIP201" s="412"/>
      <c r="BIQ201" s="412"/>
      <c r="BIR201" s="412"/>
      <c r="BIS201" s="412"/>
      <c r="BIT201" s="412"/>
      <c r="BIU201" s="412"/>
      <c r="BIV201" s="412"/>
      <c r="BIW201" s="412"/>
      <c r="BIX201" s="412"/>
      <c r="BIY201" s="412"/>
      <c r="BIZ201" s="412"/>
      <c r="BJA201" s="412"/>
      <c r="BJB201" s="412"/>
      <c r="BJC201" s="412"/>
      <c r="BJD201" s="412"/>
      <c r="BJE201" s="412"/>
      <c r="BJF201" s="412"/>
      <c r="BJG201" s="412"/>
      <c r="BJH201" s="412"/>
      <c r="BJI201" s="412"/>
      <c r="BJJ201" s="412"/>
      <c r="BJK201" s="412"/>
      <c r="BJL201" s="412"/>
      <c r="BJM201" s="412"/>
      <c r="BJN201" s="412"/>
      <c r="BJO201" s="412"/>
      <c r="BJP201" s="412"/>
      <c r="BJQ201" s="412"/>
      <c r="BJR201" s="412"/>
      <c r="BJS201" s="412"/>
      <c r="BJT201" s="412"/>
      <c r="BJU201" s="412"/>
      <c r="BJV201" s="412"/>
      <c r="BJW201" s="412"/>
      <c r="BJX201" s="412"/>
      <c r="BJY201" s="412"/>
      <c r="BJZ201" s="412"/>
      <c r="BKA201" s="412"/>
      <c r="BKB201" s="412"/>
      <c r="BKC201" s="412"/>
      <c r="BKD201" s="412"/>
      <c r="BKE201" s="412"/>
      <c r="BKF201" s="412"/>
      <c r="BKG201" s="412"/>
      <c r="BKH201" s="412"/>
      <c r="BKI201" s="412"/>
      <c r="BKJ201" s="412"/>
      <c r="BKK201" s="412"/>
      <c r="BKL201" s="412"/>
      <c r="BKM201" s="412"/>
      <c r="BKN201" s="412"/>
      <c r="BKO201" s="412"/>
      <c r="BKP201" s="412"/>
      <c r="BKQ201" s="412"/>
      <c r="BKR201" s="412"/>
      <c r="BKS201" s="412"/>
      <c r="BKT201" s="412"/>
      <c r="BKU201" s="412"/>
      <c r="BKV201" s="412"/>
      <c r="BKW201" s="412"/>
      <c r="BKX201" s="412"/>
      <c r="BKY201" s="412"/>
      <c r="BKZ201" s="412"/>
      <c r="BLA201" s="412"/>
      <c r="BLB201" s="412"/>
      <c r="BLC201" s="412"/>
      <c r="BLD201" s="412"/>
      <c r="BLE201" s="412"/>
      <c r="BLF201" s="412"/>
      <c r="BLG201" s="412"/>
      <c r="BLH201" s="412"/>
      <c r="BLI201" s="412"/>
      <c r="BLJ201" s="412"/>
      <c r="BLK201" s="412"/>
      <c r="BLL201" s="412"/>
      <c r="BLM201" s="412"/>
      <c r="BLN201" s="412"/>
      <c r="BLO201" s="412"/>
      <c r="BLP201" s="412"/>
      <c r="BLQ201" s="412"/>
      <c r="BLR201" s="412"/>
      <c r="BLS201" s="412"/>
      <c r="BLT201" s="412"/>
      <c r="BLU201" s="412"/>
      <c r="BLV201" s="412"/>
      <c r="BLW201" s="412"/>
      <c r="BLX201" s="412"/>
      <c r="BLY201" s="412"/>
      <c r="BLZ201" s="412"/>
      <c r="BMA201" s="412"/>
      <c r="BMB201" s="412"/>
      <c r="BMC201" s="412"/>
      <c r="BMD201" s="412"/>
      <c r="BME201" s="412"/>
      <c r="BMF201" s="412"/>
      <c r="BMG201" s="412"/>
      <c r="BMH201" s="412"/>
      <c r="BMI201" s="412"/>
      <c r="BMJ201" s="412"/>
      <c r="BMK201" s="412"/>
      <c r="BML201" s="412"/>
      <c r="BMM201" s="412"/>
      <c r="BMN201" s="412"/>
      <c r="BMO201" s="412"/>
      <c r="BMP201" s="412"/>
      <c r="BMQ201" s="412"/>
      <c r="BMR201" s="412"/>
      <c r="BMS201" s="412"/>
      <c r="BMT201" s="412"/>
      <c r="BMU201" s="412"/>
      <c r="BMV201" s="412"/>
      <c r="BMW201" s="412"/>
      <c r="BMX201" s="412"/>
      <c r="BMY201" s="412"/>
      <c r="BMZ201" s="412"/>
      <c r="BNA201" s="412"/>
      <c r="BNB201" s="412"/>
      <c r="BNC201" s="412"/>
      <c r="BND201" s="412"/>
      <c r="BNE201" s="412"/>
      <c r="BNF201" s="412"/>
      <c r="BNG201" s="412"/>
      <c r="BNH201" s="412"/>
      <c r="BNI201" s="412"/>
      <c r="BNJ201" s="412"/>
      <c r="BNK201" s="412"/>
      <c r="BNL201" s="412"/>
      <c r="BNM201" s="412"/>
      <c r="BNN201" s="412"/>
      <c r="BNO201" s="412"/>
      <c r="BNP201" s="412"/>
      <c r="BNQ201" s="412"/>
      <c r="BNR201" s="412"/>
      <c r="BNS201" s="412"/>
      <c r="BNT201" s="412"/>
      <c r="BNU201" s="412"/>
      <c r="BNV201" s="412"/>
      <c r="BNW201" s="412"/>
      <c r="BNX201" s="412"/>
      <c r="BNY201" s="412"/>
      <c r="BNZ201" s="412"/>
      <c r="BOA201" s="412"/>
      <c r="BOB201" s="412"/>
      <c r="BOC201" s="412"/>
      <c r="BOD201" s="412"/>
      <c r="BOE201" s="412"/>
      <c r="BOF201" s="412"/>
      <c r="BOG201" s="412"/>
      <c r="BOH201" s="412"/>
      <c r="BOI201" s="412"/>
      <c r="BOJ201" s="412"/>
      <c r="BOK201" s="412"/>
      <c r="BOL201" s="412"/>
      <c r="BOM201" s="412"/>
      <c r="BON201" s="412"/>
      <c r="BOO201" s="412"/>
      <c r="BOP201" s="412"/>
      <c r="BOQ201" s="412"/>
      <c r="BOR201" s="412"/>
      <c r="BOS201" s="412"/>
      <c r="BOT201" s="412"/>
      <c r="BOU201" s="412"/>
      <c r="BOV201" s="412"/>
      <c r="BOW201" s="412"/>
      <c r="BOX201" s="412"/>
      <c r="BOY201" s="412"/>
      <c r="BOZ201" s="412"/>
      <c r="BPA201" s="412"/>
      <c r="BPB201" s="412"/>
      <c r="BPC201" s="412"/>
      <c r="BPD201" s="412"/>
      <c r="BPE201" s="412"/>
      <c r="BPF201" s="412"/>
      <c r="BPG201" s="412"/>
      <c r="BPH201" s="412"/>
      <c r="BPI201" s="412"/>
      <c r="BPJ201" s="412"/>
      <c r="BPK201" s="412"/>
      <c r="BPL201" s="412"/>
      <c r="BPM201" s="412"/>
      <c r="BPN201" s="412"/>
      <c r="BPO201" s="412"/>
      <c r="BPP201" s="412"/>
      <c r="BPQ201" s="412"/>
      <c r="BPR201" s="412"/>
      <c r="BPS201" s="412"/>
      <c r="BPT201" s="412"/>
      <c r="BPU201" s="412"/>
      <c r="BPV201" s="412"/>
      <c r="BPW201" s="412"/>
      <c r="BPX201" s="412"/>
      <c r="BPY201" s="412"/>
      <c r="BPZ201" s="412"/>
      <c r="BQA201" s="412"/>
      <c r="BQB201" s="412"/>
      <c r="BQC201" s="412"/>
      <c r="BQD201" s="412"/>
      <c r="BQE201" s="412"/>
      <c r="BQF201" s="412"/>
      <c r="BQG201" s="412"/>
      <c r="BQH201" s="412"/>
      <c r="BQI201" s="412"/>
      <c r="BQJ201" s="412"/>
      <c r="BQK201" s="412"/>
      <c r="BQL201" s="412"/>
      <c r="BQM201" s="412"/>
      <c r="BQN201" s="412"/>
      <c r="BQO201" s="412"/>
      <c r="BQP201" s="412"/>
      <c r="BQQ201" s="412"/>
      <c r="BQR201" s="412"/>
      <c r="BQS201" s="412"/>
      <c r="BQT201" s="412"/>
      <c r="BQU201" s="412"/>
      <c r="BQV201" s="412"/>
      <c r="BQW201" s="412"/>
      <c r="BQX201" s="412"/>
      <c r="BQY201" s="412"/>
      <c r="BQZ201" s="412"/>
      <c r="BRA201" s="412"/>
      <c r="BRB201" s="412"/>
      <c r="BRC201" s="412"/>
      <c r="BRD201" s="412"/>
      <c r="BRE201" s="412"/>
      <c r="BRF201" s="412"/>
      <c r="BRG201" s="412"/>
      <c r="BRH201" s="412"/>
      <c r="BRI201" s="412"/>
      <c r="BRJ201" s="412"/>
      <c r="BRK201" s="412"/>
      <c r="BRL201" s="412"/>
      <c r="BRM201" s="412"/>
      <c r="BRN201" s="412"/>
      <c r="BRO201" s="412"/>
      <c r="BRP201" s="412"/>
      <c r="BRQ201" s="412"/>
      <c r="BRR201" s="412"/>
      <c r="BRS201" s="412"/>
      <c r="BRT201" s="412"/>
      <c r="BRU201" s="412"/>
      <c r="BRV201" s="412"/>
      <c r="BRW201" s="412"/>
      <c r="BRX201" s="412"/>
      <c r="BRY201" s="412"/>
      <c r="BRZ201" s="412"/>
      <c r="BSA201" s="412"/>
      <c r="BSB201" s="412"/>
      <c r="BSC201" s="412"/>
      <c r="BSD201" s="412"/>
      <c r="BSE201" s="412"/>
      <c r="BSF201" s="412"/>
      <c r="BSG201" s="412"/>
      <c r="BSH201" s="412"/>
      <c r="BSI201" s="412"/>
      <c r="BSJ201" s="412"/>
      <c r="BSK201" s="412"/>
      <c r="BSL201" s="412"/>
      <c r="BSM201" s="412"/>
      <c r="BSN201" s="412"/>
      <c r="BSO201" s="412"/>
      <c r="BSP201" s="412"/>
      <c r="BSQ201" s="412"/>
      <c r="BSR201" s="412"/>
      <c r="BSS201" s="412"/>
      <c r="BST201" s="412"/>
      <c r="BSU201" s="412"/>
      <c r="BSV201" s="412"/>
      <c r="BSW201" s="412"/>
      <c r="BSX201" s="412"/>
      <c r="BSY201" s="412"/>
      <c r="BSZ201" s="412"/>
      <c r="BTA201" s="412"/>
      <c r="BTB201" s="412"/>
      <c r="BTC201" s="412"/>
      <c r="BTD201" s="412"/>
      <c r="BTE201" s="412"/>
      <c r="BTF201" s="412"/>
      <c r="BTG201" s="412"/>
      <c r="BTH201" s="412"/>
      <c r="BTI201" s="412"/>
    </row>
    <row r="202" spans="1:1881" s="63" customFormat="1" ht="60.75" customHeight="1" x14ac:dyDescent="0.25">
      <c r="A202" s="189">
        <v>343</v>
      </c>
      <c r="B202" s="64" t="s">
        <v>63</v>
      </c>
      <c r="C202" s="160" t="s">
        <v>779</v>
      </c>
      <c r="D202" s="176" t="s">
        <v>215</v>
      </c>
      <c r="E202" s="32" t="e">
        <f>HLOOKUP($D$2,'2019 Data(H)'!$C$1:$CG$300,109,FALSE)</f>
        <v>#N/A</v>
      </c>
      <c r="F202" s="609"/>
      <c r="G202" s="601">
        <f>IF(F202&lt;0,"Error: Enter as positive.",)</f>
        <v>0</v>
      </c>
      <c r="H202" s="13"/>
      <c r="I202" s="31"/>
      <c r="J202" s="412"/>
      <c r="K202" s="412"/>
      <c r="M202" s="364"/>
      <c r="N202"/>
    </row>
    <row r="203" spans="1:1881" ht="237.75" customHeight="1" x14ac:dyDescent="0.25">
      <c r="A203" s="189">
        <v>82</v>
      </c>
      <c r="B203" s="64" t="s">
        <v>68</v>
      </c>
      <c r="C203" s="160" t="s">
        <v>593</v>
      </c>
      <c r="D203" s="166" t="s">
        <v>1225</v>
      </c>
      <c r="E203" s="32" t="e">
        <f>HLOOKUP($D$2,'2019 Data(H)'!$C$1:$CG$300,46,FALSE)</f>
        <v>#N/A</v>
      </c>
      <c r="F203" s="609"/>
      <c r="G203" s="601">
        <f>IF(F203&lt;0,"Error: Enter as positive.",)</f>
        <v>0</v>
      </c>
      <c r="H203" s="13"/>
      <c r="I203" s="15"/>
    </row>
    <row r="204" spans="1:1881" s="320" customFormat="1" ht="240.75" customHeight="1" x14ac:dyDescent="0.25">
      <c r="A204" s="189">
        <v>359</v>
      </c>
      <c r="B204" s="64" t="s">
        <v>63</v>
      </c>
      <c r="C204" s="160" t="s">
        <v>594</v>
      </c>
      <c r="D204" s="166" t="s">
        <v>1225</v>
      </c>
      <c r="E204" s="32" t="e">
        <f>HLOOKUP($D$2,'2019 Data(H)'!$C$1:$CG$300,120,FALSE)</f>
        <v>#N/A</v>
      </c>
      <c r="F204" s="609"/>
      <c r="G204" s="601">
        <f>IF(F204&lt;0,"Error: Enter as positive.",)</f>
        <v>0</v>
      </c>
      <c r="H204" s="13"/>
      <c r="I204" s="15"/>
      <c r="J204" s="368"/>
      <c r="K204" s="412"/>
      <c r="L204" s="362" t="str">
        <f>IF(ISBLANK(K202),"",IF(ISBLANK(K203),"",IF(K204=M204,"","Please review percentage")))</f>
        <v/>
      </c>
      <c r="M204" s="412"/>
      <c r="N204"/>
      <c r="O204" s="412"/>
      <c r="P204" s="412"/>
      <c r="Q204" s="412"/>
      <c r="R204" s="412"/>
      <c r="S204" s="412"/>
      <c r="T204" s="412"/>
      <c r="U204" s="412"/>
      <c r="V204" s="412"/>
      <c r="W204" s="412"/>
      <c r="X204" s="412"/>
      <c r="Y204" s="412"/>
      <c r="Z204" s="412"/>
      <c r="AA204" s="412"/>
      <c r="AB204" s="412"/>
      <c r="AC204" s="412"/>
      <c r="AD204" s="412"/>
      <c r="AE204" s="412"/>
      <c r="AF204" s="412"/>
      <c r="AG204" s="412"/>
      <c r="AH204" s="412"/>
      <c r="AI204" s="412"/>
      <c r="AJ204" s="412"/>
      <c r="AK204" s="412"/>
      <c r="AL204" s="412"/>
      <c r="AM204" s="412"/>
      <c r="AN204" s="412"/>
      <c r="AO204" s="412"/>
      <c r="AP204" s="412"/>
      <c r="AQ204" s="412"/>
      <c r="AR204" s="412"/>
      <c r="AS204" s="412"/>
      <c r="AT204" s="412"/>
      <c r="AU204" s="412"/>
      <c r="AV204" s="412"/>
      <c r="AW204" s="412"/>
      <c r="AX204" s="412"/>
      <c r="AY204" s="412"/>
      <c r="AZ204" s="412"/>
      <c r="BA204" s="412"/>
      <c r="BB204" s="412"/>
      <c r="BC204" s="412"/>
      <c r="BD204" s="412"/>
      <c r="BE204" s="412"/>
      <c r="BF204" s="412"/>
      <c r="BG204" s="412"/>
      <c r="BH204" s="412"/>
      <c r="BI204" s="412"/>
      <c r="BJ204" s="412"/>
      <c r="BK204" s="412"/>
      <c r="BL204" s="412"/>
      <c r="BM204" s="412"/>
      <c r="BN204" s="412"/>
      <c r="BO204" s="412"/>
      <c r="BP204" s="412"/>
      <c r="BQ204" s="412"/>
      <c r="BR204" s="412"/>
      <c r="BS204" s="412"/>
      <c r="BT204" s="412"/>
      <c r="BU204" s="412"/>
      <c r="BV204" s="412"/>
      <c r="BW204" s="412"/>
      <c r="BX204" s="412"/>
      <c r="BY204" s="412"/>
      <c r="BZ204" s="412"/>
      <c r="CA204" s="412"/>
      <c r="CB204" s="412"/>
      <c r="CC204" s="412"/>
      <c r="CD204" s="412"/>
      <c r="CE204" s="412"/>
      <c r="CF204" s="412"/>
      <c r="CG204" s="412"/>
      <c r="CH204" s="412"/>
      <c r="CI204" s="412"/>
      <c r="CJ204" s="412"/>
      <c r="CK204" s="412"/>
      <c r="CL204" s="412"/>
      <c r="CM204" s="412"/>
      <c r="CN204" s="412"/>
      <c r="CO204" s="412"/>
      <c r="CP204" s="412"/>
      <c r="CQ204" s="412"/>
      <c r="CR204" s="412"/>
      <c r="CS204" s="412"/>
      <c r="CT204" s="412"/>
      <c r="CU204" s="412"/>
      <c r="CV204" s="412"/>
      <c r="CW204" s="412"/>
      <c r="CX204" s="412"/>
      <c r="CY204" s="412"/>
      <c r="CZ204" s="412"/>
      <c r="DA204" s="412"/>
      <c r="DB204" s="412"/>
      <c r="DC204" s="412"/>
      <c r="DD204" s="412"/>
      <c r="DE204" s="412"/>
      <c r="DF204" s="412"/>
      <c r="DG204" s="412"/>
      <c r="DH204" s="412"/>
      <c r="DI204" s="412"/>
      <c r="DJ204" s="412"/>
      <c r="DK204" s="412"/>
      <c r="DL204" s="412"/>
      <c r="DM204" s="412"/>
      <c r="DN204" s="412"/>
      <c r="DO204" s="412"/>
      <c r="DP204" s="412"/>
      <c r="DQ204" s="412"/>
      <c r="DR204" s="412"/>
      <c r="DS204" s="412"/>
      <c r="DT204" s="412"/>
      <c r="DU204" s="412"/>
      <c r="DV204" s="412"/>
      <c r="DW204" s="412"/>
      <c r="DX204" s="412"/>
      <c r="DY204" s="412"/>
      <c r="DZ204" s="412"/>
      <c r="EA204" s="412"/>
      <c r="EB204" s="412"/>
      <c r="EC204" s="412"/>
      <c r="ED204" s="412"/>
      <c r="EE204" s="412"/>
      <c r="EF204" s="412"/>
      <c r="EG204" s="412"/>
      <c r="EH204" s="412"/>
      <c r="EI204" s="412"/>
      <c r="EJ204" s="412"/>
      <c r="EK204" s="412"/>
      <c r="EL204" s="412"/>
      <c r="EM204" s="412"/>
      <c r="EN204" s="412"/>
      <c r="EO204" s="412"/>
      <c r="EP204" s="412"/>
      <c r="EQ204" s="412"/>
      <c r="ER204" s="412"/>
      <c r="ES204" s="412"/>
      <c r="ET204" s="412"/>
      <c r="EU204" s="412"/>
      <c r="EV204" s="412"/>
      <c r="EW204" s="412"/>
      <c r="EX204" s="412"/>
      <c r="EY204" s="412"/>
      <c r="EZ204" s="412"/>
      <c r="FA204" s="412"/>
      <c r="FB204" s="412"/>
      <c r="FC204" s="412"/>
      <c r="FD204" s="412"/>
      <c r="FE204" s="412"/>
      <c r="FF204" s="412"/>
      <c r="FG204" s="412"/>
      <c r="FH204" s="412"/>
      <c r="FI204" s="412"/>
      <c r="FJ204" s="412"/>
      <c r="FK204" s="412"/>
      <c r="FL204" s="412"/>
      <c r="FM204" s="412"/>
      <c r="FN204" s="412"/>
      <c r="FO204" s="412"/>
      <c r="FP204" s="412"/>
      <c r="FQ204" s="412"/>
      <c r="FR204" s="412"/>
      <c r="FS204" s="412"/>
      <c r="FT204" s="412"/>
      <c r="FU204" s="412"/>
      <c r="FV204" s="412"/>
      <c r="FW204" s="412"/>
      <c r="FX204" s="412"/>
      <c r="FY204" s="412"/>
      <c r="FZ204" s="412"/>
      <c r="GA204" s="412"/>
      <c r="GB204" s="412"/>
      <c r="GC204" s="412"/>
      <c r="GD204" s="412"/>
      <c r="GE204" s="412"/>
      <c r="GF204" s="412"/>
      <c r="GG204" s="412"/>
      <c r="GH204" s="412"/>
      <c r="GI204" s="412"/>
      <c r="GJ204" s="412"/>
      <c r="GK204" s="412"/>
      <c r="GL204" s="412"/>
      <c r="GM204" s="412"/>
      <c r="GN204" s="412"/>
      <c r="GO204" s="412"/>
      <c r="GP204" s="412"/>
      <c r="GQ204" s="412"/>
      <c r="GR204" s="412"/>
      <c r="GS204" s="412"/>
      <c r="GT204" s="412"/>
      <c r="GU204" s="412"/>
      <c r="GV204" s="412"/>
      <c r="GW204" s="412"/>
      <c r="GX204" s="412"/>
      <c r="GY204" s="412"/>
      <c r="GZ204" s="412"/>
      <c r="HA204" s="412"/>
      <c r="HB204" s="412"/>
      <c r="HC204" s="412"/>
      <c r="HD204" s="412"/>
      <c r="HE204" s="412"/>
      <c r="HF204" s="412"/>
      <c r="HG204" s="412"/>
      <c r="HH204" s="412"/>
      <c r="HI204" s="412"/>
      <c r="HJ204" s="412"/>
      <c r="HK204" s="412"/>
      <c r="HL204" s="412"/>
      <c r="HM204" s="412"/>
      <c r="HN204" s="412"/>
      <c r="HO204" s="412"/>
      <c r="HP204" s="412"/>
      <c r="HQ204" s="412"/>
      <c r="HR204" s="412"/>
      <c r="HS204" s="412"/>
      <c r="HT204" s="412"/>
      <c r="HU204" s="412"/>
      <c r="HV204" s="412"/>
      <c r="HW204" s="412"/>
      <c r="HX204" s="412"/>
      <c r="HY204" s="412"/>
      <c r="HZ204" s="412"/>
      <c r="IA204" s="412"/>
      <c r="IB204" s="412"/>
      <c r="IC204" s="412"/>
      <c r="ID204" s="412"/>
      <c r="IE204" s="412"/>
      <c r="IF204" s="412"/>
      <c r="IG204" s="412"/>
      <c r="IH204" s="412"/>
      <c r="II204" s="412"/>
      <c r="IJ204" s="412"/>
      <c r="IK204" s="412"/>
      <c r="IL204" s="412"/>
      <c r="IM204" s="412"/>
      <c r="IN204" s="412"/>
      <c r="IO204" s="412"/>
      <c r="IP204" s="412"/>
      <c r="IQ204" s="412"/>
      <c r="IR204" s="412"/>
      <c r="IS204" s="412"/>
      <c r="IT204" s="412"/>
      <c r="IU204" s="412"/>
      <c r="IV204" s="412"/>
      <c r="IW204" s="412"/>
      <c r="IX204" s="412"/>
      <c r="IY204" s="412"/>
      <c r="IZ204" s="412"/>
      <c r="JA204" s="412"/>
      <c r="JB204" s="412"/>
      <c r="JC204" s="412"/>
      <c r="JD204" s="412"/>
      <c r="JE204" s="412"/>
      <c r="JF204" s="412"/>
      <c r="JG204" s="412"/>
      <c r="JH204" s="412"/>
      <c r="JI204" s="412"/>
      <c r="JJ204" s="412"/>
      <c r="JK204" s="412"/>
      <c r="JL204" s="412"/>
      <c r="JM204" s="412"/>
      <c r="JN204" s="412"/>
      <c r="JO204" s="412"/>
      <c r="JP204" s="412"/>
      <c r="JQ204" s="412"/>
      <c r="JR204" s="412"/>
      <c r="JS204" s="412"/>
      <c r="JT204" s="412"/>
      <c r="JU204" s="412"/>
      <c r="JV204" s="412"/>
      <c r="JW204" s="412"/>
      <c r="JX204" s="412"/>
      <c r="JY204" s="412"/>
      <c r="JZ204" s="412"/>
      <c r="KA204" s="412"/>
      <c r="KB204" s="412"/>
      <c r="KC204" s="412"/>
      <c r="KD204" s="412"/>
      <c r="KE204" s="412"/>
      <c r="KF204" s="412"/>
      <c r="KG204" s="412"/>
      <c r="KH204" s="412"/>
      <c r="KI204" s="412"/>
      <c r="KJ204" s="412"/>
      <c r="KK204" s="412"/>
      <c r="KL204" s="412"/>
      <c r="KM204" s="412"/>
      <c r="KN204" s="412"/>
      <c r="KO204" s="412"/>
      <c r="KP204" s="412"/>
      <c r="KQ204" s="412"/>
      <c r="KR204" s="412"/>
      <c r="KS204" s="412"/>
      <c r="KT204" s="412"/>
      <c r="KU204" s="412"/>
      <c r="KV204" s="412"/>
      <c r="KW204" s="412"/>
      <c r="KX204" s="412"/>
      <c r="KY204" s="412"/>
      <c r="KZ204" s="412"/>
      <c r="LA204" s="412"/>
      <c r="LB204" s="412"/>
      <c r="LC204" s="412"/>
      <c r="LD204" s="412"/>
      <c r="LE204" s="412"/>
      <c r="LF204" s="412"/>
      <c r="LG204" s="412"/>
      <c r="LH204" s="412"/>
      <c r="LI204" s="412"/>
      <c r="LJ204" s="412"/>
      <c r="LK204" s="412"/>
      <c r="LL204" s="412"/>
      <c r="LM204" s="412"/>
      <c r="LN204" s="412"/>
      <c r="LO204" s="412"/>
      <c r="LP204" s="412"/>
      <c r="LQ204" s="412"/>
      <c r="LR204" s="412"/>
      <c r="LS204" s="412"/>
      <c r="LT204" s="412"/>
      <c r="LU204" s="412"/>
      <c r="LV204" s="412"/>
      <c r="LW204" s="412"/>
      <c r="LX204" s="412"/>
      <c r="LY204" s="412"/>
      <c r="LZ204" s="412"/>
      <c r="MA204" s="412"/>
      <c r="MB204" s="412"/>
      <c r="MC204" s="412"/>
      <c r="MD204" s="412"/>
      <c r="ME204" s="412"/>
      <c r="MF204" s="412"/>
      <c r="MG204" s="412"/>
      <c r="MH204" s="412"/>
      <c r="MI204" s="412"/>
      <c r="MJ204" s="412"/>
      <c r="MK204" s="412"/>
      <c r="ML204" s="412"/>
      <c r="MM204" s="412"/>
      <c r="MN204" s="412"/>
      <c r="MO204" s="412"/>
      <c r="MP204" s="412"/>
      <c r="MQ204" s="412"/>
      <c r="MR204" s="412"/>
      <c r="MS204" s="412"/>
      <c r="MT204" s="412"/>
      <c r="MU204" s="412"/>
      <c r="MV204" s="412"/>
      <c r="MW204" s="412"/>
      <c r="MX204" s="412"/>
      <c r="MY204" s="412"/>
      <c r="MZ204" s="412"/>
      <c r="NA204" s="412"/>
      <c r="NB204" s="412"/>
      <c r="NC204" s="412"/>
      <c r="ND204" s="412"/>
      <c r="NE204" s="412"/>
      <c r="NF204" s="412"/>
      <c r="NG204" s="412"/>
      <c r="NH204" s="412"/>
      <c r="NI204" s="412"/>
      <c r="NJ204" s="412"/>
      <c r="NK204" s="412"/>
      <c r="NL204" s="412"/>
      <c r="NM204" s="412"/>
      <c r="NN204" s="412"/>
      <c r="NO204" s="412"/>
      <c r="NP204" s="412"/>
      <c r="NQ204" s="412"/>
      <c r="NR204" s="412"/>
      <c r="NS204" s="412"/>
      <c r="NT204" s="412"/>
      <c r="NU204" s="412"/>
      <c r="NV204" s="412"/>
      <c r="NW204" s="412"/>
      <c r="NX204" s="412"/>
      <c r="NY204" s="412"/>
      <c r="NZ204" s="412"/>
      <c r="OA204" s="412"/>
      <c r="OB204" s="412"/>
      <c r="OC204" s="412"/>
      <c r="OD204" s="412"/>
      <c r="OE204" s="412"/>
      <c r="OF204" s="412"/>
      <c r="OG204" s="412"/>
      <c r="OH204" s="412"/>
      <c r="OI204" s="412"/>
      <c r="OJ204" s="412"/>
      <c r="OK204" s="412"/>
      <c r="OL204" s="412"/>
      <c r="OM204" s="412"/>
      <c r="ON204" s="412"/>
      <c r="OO204" s="412"/>
      <c r="OP204" s="412"/>
      <c r="OQ204" s="412"/>
      <c r="OR204" s="412"/>
      <c r="OS204" s="412"/>
      <c r="OT204" s="412"/>
      <c r="OU204" s="412"/>
      <c r="OV204" s="412"/>
      <c r="OW204" s="412"/>
      <c r="OX204" s="412"/>
      <c r="OY204" s="412"/>
      <c r="OZ204" s="412"/>
      <c r="PA204" s="412"/>
      <c r="PB204" s="412"/>
      <c r="PC204" s="412"/>
      <c r="PD204" s="412"/>
      <c r="PE204" s="412"/>
      <c r="PF204" s="412"/>
      <c r="PG204" s="412"/>
      <c r="PH204" s="412"/>
      <c r="PI204" s="412"/>
      <c r="PJ204" s="412"/>
      <c r="PK204" s="412"/>
      <c r="PL204" s="412"/>
      <c r="PM204" s="412"/>
      <c r="PN204" s="412"/>
      <c r="PO204" s="412"/>
      <c r="PP204" s="412"/>
      <c r="PQ204" s="412"/>
      <c r="PR204" s="412"/>
      <c r="PS204" s="412"/>
      <c r="PT204" s="412"/>
      <c r="PU204" s="412"/>
      <c r="PV204" s="412"/>
      <c r="PW204" s="412"/>
      <c r="PX204" s="412"/>
      <c r="PY204" s="412"/>
      <c r="PZ204" s="412"/>
      <c r="QA204" s="412"/>
      <c r="QB204" s="412"/>
      <c r="QC204" s="412"/>
      <c r="QD204" s="412"/>
      <c r="QE204" s="412"/>
      <c r="QF204" s="412"/>
      <c r="QG204" s="412"/>
      <c r="QH204" s="412"/>
      <c r="QI204" s="412"/>
      <c r="QJ204" s="412"/>
      <c r="QK204" s="412"/>
      <c r="QL204" s="412"/>
      <c r="QM204" s="412"/>
      <c r="QN204" s="412"/>
      <c r="QO204" s="412"/>
      <c r="QP204" s="412"/>
      <c r="QQ204" s="412"/>
      <c r="QR204" s="412"/>
      <c r="QS204" s="412"/>
      <c r="QT204" s="412"/>
      <c r="QU204" s="412"/>
      <c r="QV204" s="412"/>
      <c r="QW204" s="412"/>
      <c r="QX204" s="412"/>
      <c r="QY204" s="412"/>
      <c r="QZ204" s="412"/>
      <c r="RA204" s="412"/>
      <c r="RB204" s="412"/>
      <c r="RC204" s="412"/>
      <c r="RD204" s="412"/>
      <c r="RE204" s="412"/>
      <c r="RF204" s="412"/>
      <c r="RG204" s="412"/>
      <c r="RH204" s="412"/>
      <c r="RI204" s="412"/>
      <c r="RJ204" s="412"/>
      <c r="RK204" s="412"/>
      <c r="RL204" s="412"/>
      <c r="RM204" s="412"/>
      <c r="RN204" s="412"/>
      <c r="RO204" s="412"/>
      <c r="RP204" s="412"/>
      <c r="RQ204" s="412"/>
      <c r="RR204" s="412"/>
      <c r="RS204" s="412"/>
      <c r="RT204" s="412"/>
      <c r="RU204" s="412"/>
      <c r="RV204" s="412"/>
      <c r="RW204" s="412"/>
      <c r="RX204" s="412"/>
      <c r="RY204" s="412"/>
      <c r="RZ204" s="412"/>
      <c r="SA204" s="412"/>
      <c r="SB204" s="412"/>
      <c r="SC204" s="412"/>
      <c r="SD204" s="412"/>
      <c r="SE204" s="412"/>
      <c r="SF204" s="412"/>
      <c r="SG204" s="412"/>
      <c r="SH204" s="412"/>
      <c r="SI204" s="412"/>
      <c r="SJ204" s="412"/>
      <c r="SK204" s="412"/>
      <c r="SL204" s="412"/>
      <c r="SM204" s="412"/>
      <c r="SN204" s="412"/>
      <c r="SO204" s="412"/>
      <c r="SP204" s="412"/>
      <c r="SQ204" s="412"/>
      <c r="SR204" s="412"/>
      <c r="SS204" s="412"/>
      <c r="ST204" s="412"/>
      <c r="SU204" s="412"/>
      <c r="SV204" s="412"/>
      <c r="SW204" s="412"/>
      <c r="SX204" s="412"/>
      <c r="SY204" s="412"/>
      <c r="SZ204" s="412"/>
      <c r="TA204" s="412"/>
      <c r="TB204" s="412"/>
      <c r="TC204" s="412"/>
      <c r="TD204" s="412"/>
      <c r="TE204" s="412"/>
      <c r="TF204" s="412"/>
      <c r="TG204" s="412"/>
      <c r="TH204" s="412"/>
      <c r="TI204" s="412"/>
      <c r="TJ204" s="412"/>
      <c r="TK204" s="412"/>
      <c r="TL204" s="412"/>
      <c r="TM204" s="412"/>
      <c r="TN204" s="412"/>
      <c r="TO204" s="412"/>
      <c r="TP204" s="412"/>
      <c r="TQ204" s="412"/>
      <c r="TR204" s="412"/>
      <c r="TS204" s="412"/>
      <c r="TT204" s="412"/>
      <c r="TU204" s="412"/>
      <c r="TV204" s="412"/>
      <c r="TW204" s="412"/>
      <c r="TX204" s="412"/>
      <c r="TY204" s="412"/>
      <c r="TZ204" s="412"/>
      <c r="UA204" s="412"/>
      <c r="UB204" s="412"/>
      <c r="UC204" s="412"/>
      <c r="UD204" s="412"/>
      <c r="UE204" s="412"/>
      <c r="UF204" s="412"/>
      <c r="UG204" s="412"/>
      <c r="UH204" s="412"/>
      <c r="UI204" s="412"/>
      <c r="UJ204" s="412"/>
      <c r="UK204" s="412"/>
      <c r="UL204" s="412"/>
      <c r="UM204" s="412"/>
      <c r="UN204" s="412"/>
      <c r="UO204" s="412"/>
      <c r="UP204" s="412"/>
      <c r="UQ204" s="412"/>
      <c r="UR204" s="412"/>
      <c r="US204" s="412"/>
      <c r="UT204" s="412"/>
      <c r="UU204" s="412"/>
      <c r="UV204" s="412"/>
      <c r="UW204" s="412"/>
      <c r="UX204" s="412"/>
      <c r="UY204" s="412"/>
      <c r="UZ204" s="412"/>
      <c r="VA204" s="412"/>
      <c r="VB204" s="412"/>
      <c r="VC204" s="412"/>
      <c r="VD204" s="412"/>
      <c r="VE204" s="412"/>
      <c r="VF204" s="412"/>
      <c r="VG204" s="412"/>
      <c r="VH204" s="412"/>
      <c r="VI204" s="412"/>
      <c r="VJ204" s="412"/>
      <c r="VK204" s="412"/>
      <c r="VL204" s="412"/>
      <c r="VM204" s="412"/>
      <c r="VN204" s="412"/>
      <c r="VO204" s="412"/>
      <c r="VP204" s="412"/>
      <c r="VQ204" s="412"/>
      <c r="VR204" s="412"/>
      <c r="VS204" s="412"/>
      <c r="VT204" s="412"/>
      <c r="VU204" s="412"/>
      <c r="VV204" s="412"/>
      <c r="VW204" s="412"/>
      <c r="VX204" s="412"/>
      <c r="VY204" s="412"/>
      <c r="VZ204" s="412"/>
      <c r="WA204" s="412"/>
      <c r="WB204" s="412"/>
      <c r="WC204" s="412"/>
      <c r="WD204" s="412"/>
      <c r="WE204" s="412"/>
      <c r="WF204" s="412"/>
      <c r="WG204" s="412"/>
      <c r="WH204" s="412"/>
      <c r="WI204" s="412"/>
      <c r="WJ204" s="412"/>
      <c r="WK204" s="412"/>
      <c r="WL204" s="412"/>
      <c r="WM204" s="412"/>
      <c r="WN204" s="412"/>
      <c r="WO204" s="412"/>
      <c r="WP204" s="412"/>
      <c r="WQ204" s="412"/>
      <c r="WR204" s="412"/>
      <c r="WS204" s="412"/>
      <c r="WT204" s="412"/>
      <c r="WU204" s="412"/>
      <c r="WV204" s="412"/>
      <c r="WW204" s="412"/>
      <c r="WX204" s="412"/>
      <c r="WY204" s="412"/>
      <c r="WZ204" s="412"/>
      <c r="XA204" s="412"/>
      <c r="XB204" s="412"/>
      <c r="XC204" s="412"/>
      <c r="XD204" s="412"/>
      <c r="XE204" s="412"/>
      <c r="XF204" s="412"/>
      <c r="XG204" s="412"/>
      <c r="XH204" s="412"/>
      <c r="XI204" s="412"/>
      <c r="XJ204" s="412"/>
      <c r="XK204" s="412"/>
      <c r="XL204" s="412"/>
      <c r="XM204" s="412"/>
      <c r="XN204" s="412"/>
      <c r="XO204" s="412"/>
      <c r="XP204" s="412"/>
      <c r="XQ204" s="412"/>
      <c r="XR204" s="412"/>
      <c r="XS204" s="412"/>
      <c r="XT204" s="412"/>
      <c r="XU204" s="412"/>
      <c r="XV204" s="412"/>
      <c r="XW204" s="412"/>
      <c r="XX204" s="412"/>
      <c r="XY204" s="412"/>
      <c r="XZ204" s="412"/>
      <c r="YA204" s="412"/>
      <c r="YB204" s="412"/>
      <c r="YC204" s="412"/>
      <c r="YD204" s="412"/>
      <c r="YE204" s="412"/>
      <c r="YF204" s="412"/>
      <c r="YG204" s="412"/>
      <c r="YH204" s="412"/>
      <c r="YI204" s="412"/>
      <c r="YJ204" s="412"/>
      <c r="YK204" s="412"/>
      <c r="YL204" s="412"/>
      <c r="YM204" s="412"/>
      <c r="YN204" s="412"/>
      <c r="YO204" s="412"/>
      <c r="YP204" s="412"/>
      <c r="YQ204" s="412"/>
      <c r="YR204" s="412"/>
      <c r="YS204" s="412"/>
      <c r="YT204" s="412"/>
      <c r="YU204" s="412"/>
      <c r="YV204" s="412"/>
      <c r="YW204" s="412"/>
      <c r="YX204" s="412"/>
      <c r="YY204" s="412"/>
      <c r="YZ204" s="412"/>
      <c r="ZA204" s="412"/>
      <c r="ZB204" s="412"/>
      <c r="ZC204" s="412"/>
      <c r="ZD204" s="412"/>
      <c r="ZE204" s="412"/>
      <c r="ZF204" s="412"/>
      <c r="ZG204" s="412"/>
      <c r="ZH204" s="412"/>
      <c r="ZI204" s="412"/>
      <c r="ZJ204" s="412"/>
      <c r="ZK204" s="412"/>
      <c r="ZL204" s="412"/>
      <c r="ZM204" s="412"/>
      <c r="ZN204" s="412"/>
      <c r="ZO204" s="412"/>
      <c r="ZP204" s="412"/>
      <c r="ZQ204" s="412"/>
      <c r="ZR204" s="412"/>
      <c r="ZS204" s="412"/>
      <c r="ZT204" s="412"/>
      <c r="ZU204" s="412"/>
      <c r="ZV204" s="412"/>
      <c r="ZW204" s="412"/>
      <c r="ZX204" s="412"/>
      <c r="ZY204" s="412"/>
      <c r="ZZ204" s="412"/>
      <c r="AAA204" s="412"/>
      <c r="AAB204" s="412"/>
      <c r="AAC204" s="412"/>
      <c r="AAD204" s="412"/>
      <c r="AAE204" s="412"/>
      <c r="AAF204" s="412"/>
      <c r="AAG204" s="412"/>
      <c r="AAH204" s="412"/>
      <c r="AAI204" s="412"/>
      <c r="AAJ204" s="412"/>
      <c r="AAK204" s="412"/>
      <c r="AAL204" s="412"/>
      <c r="AAM204" s="412"/>
      <c r="AAN204" s="412"/>
      <c r="AAO204" s="412"/>
      <c r="AAP204" s="412"/>
      <c r="AAQ204" s="412"/>
      <c r="AAR204" s="412"/>
      <c r="AAS204" s="412"/>
      <c r="AAT204" s="412"/>
      <c r="AAU204" s="412"/>
      <c r="AAV204" s="412"/>
      <c r="AAW204" s="412"/>
      <c r="AAX204" s="412"/>
      <c r="AAY204" s="412"/>
      <c r="AAZ204" s="412"/>
      <c r="ABA204" s="412"/>
      <c r="ABB204" s="412"/>
      <c r="ABC204" s="412"/>
      <c r="ABD204" s="412"/>
      <c r="ABE204" s="412"/>
      <c r="ABF204" s="412"/>
      <c r="ABG204" s="412"/>
      <c r="ABH204" s="412"/>
      <c r="ABI204" s="412"/>
      <c r="ABJ204" s="412"/>
      <c r="ABK204" s="412"/>
      <c r="ABL204" s="412"/>
      <c r="ABM204" s="412"/>
      <c r="ABN204" s="412"/>
      <c r="ABO204" s="412"/>
      <c r="ABP204" s="412"/>
      <c r="ABQ204" s="412"/>
      <c r="ABR204" s="412"/>
      <c r="ABS204" s="412"/>
      <c r="ABT204" s="412"/>
      <c r="ABU204" s="412"/>
      <c r="ABV204" s="412"/>
      <c r="ABW204" s="412"/>
      <c r="ABX204" s="412"/>
      <c r="ABY204" s="412"/>
      <c r="ABZ204" s="412"/>
      <c r="ACA204" s="412"/>
      <c r="ACB204" s="412"/>
      <c r="ACC204" s="412"/>
      <c r="ACD204" s="412"/>
      <c r="ACE204" s="412"/>
      <c r="ACF204" s="412"/>
      <c r="ACG204" s="412"/>
      <c r="ACH204" s="412"/>
      <c r="ACI204" s="412"/>
      <c r="ACJ204" s="412"/>
      <c r="ACK204" s="412"/>
      <c r="ACL204" s="412"/>
      <c r="ACM204" s="412"/>
      <c r="ACN204" s="412"/>
      <c r="ACO204" s="412"/>
      <c r="ACP204" s="412"/>
      <c r="ACQ204" s="412"/>
      <c r="ACR204" s="412"/>
      <c r="ACS204" s="412"/>
      <c r="ACT204" s="412"/>
      <c r="ACU204" s="412"/>
      <c r="ACV204" s="412"/>
      <c r="ACW204" s="412"/>
      <c r="ACX204" s="412"/>
      <c r="ACY204" s="412"/>
      <c r="ACZ204" s="412"/>
      <c r="ADA204" s="412"/>
      <c r="ADB204" s="412"/>
      <c r="ADC204" s="412"/>
      <c r="ADD204" s="412"/>
      <c r="ADE204" s="412"/>
      <c r="ADF204" s="412"/>
      <c r="ADG204" s="412"/>
      <c r="ADH204" s="412"/>
      <c r="ADI204" s="412"/>
      <c r="ADJ204" s="412"/>
      <c r="ADK204" s="412"/>
      <c r="ADL204" s="412"/>
      <c r="ADM204" s="412"/>
      <c r="ADN204" s="412"/>
      <c r="ADO204" s="412"/>
      <c r="ADP204" s="412"/>
      <c r="ADQ204" s="412"/>
      <c r="ADR204" s="412"/>
      <c r="ADS204" s="412"/>
      <c r="ADT204" s="412"/>
      <c r="ADU204" s="412"/>
      <c r="ADV204" s="412"/>
      <c r="ADW204" s="412"/>
      <c r="ADX204" s="412"/>
      <c r="ADY204" s="412"/>
      <c r="ADZ204" s="412"/>
      <c r="AEA204" s="412"/>
      <c r="AEB204" s="412"/>
      <c r="AEC204" s="412"/>
      <c r="AED204" s="412"/>
      <c r="AEE204" s="412"/>
      <c r="AEF204" s="412"/>
      <c r="AEG204" s="412"/>
      <c r="AEH204" s="412"/>
      <c r="AEI204" s="412"/>
      <c r="AEJ204" s="412"/>
      <c r="AEK204" s="412"/>
      <c r="AEL204" s="412"/>
      <c r="AEM204" s="412"/>
      <c r="AEN204" s="412"/>
      <c r="AEO204" s="412"/>
      <c r="AEP204" s="412"/>
      <c r="AEQ204" s="412"/>
      <c r="AER204" s="412"/>
      <c r="AES204" s="412"/>
      <c r="AET204" s="412"/>
      <c r="AEU204" s="412"/>
      <c r="AEV204" s="412"/>
      <c r="AEW204" s="412"/>
      <c r="AEX204" s="412"/>
      <c r="AEY204" s="412"/>
      <c r="AEZ204" s="412"/>
      <c r="AFA204" s="412"/>
      <c r="AFB204" s="412"/>
      <c r="AFC204" s="412"/>
      <c r="AFD204" s="412"/>
      <c r="AFE204" s="412"/>
      <c r="AFF204" s="412"/>
      <c r="AFG204" s="412"/>
      <c r="AFH204" s="412"/>
      <c r="AFI204" s="412"/>
      <c r="AFJ204" s="412"/>
      <c r="AFK204" s="412"/>
      <c r="AFL204" s="412"/>
      <c r="AFM204" s="412"/>
      <c r="AFN204" s="412"/>
      <c r="AFO204" s="412"/>
      <c r="AFP204" s="412"/>
      <c r="AFQ204" s="412"/>
      <c r="AFR204" s="412"/>
      <c r="AFS204" s="412"/>
      <c r="AFT204" s="412"/>
      <c r="AFU204" s="412"/>
      <c r="AFV204" s="412"/>
      <c r="AFW204" s="412"/>
      <c r="AFX204" s="412"/>
      <c r="AFY204" s="412"/>
      <c r="AFZ204" s="412"/>
      <c r="AGA204" s="412"/>
      <c r="AGB204" s="412"/>
      <c r="AGC204" s="412"/>
      <c r="AGD204" s="412"/>
      <c r="AGE204" s="412"/>
      <c r="AGF204" s="412"/>
      <c r="AGG204" s="412"/>
      <c r="AGH204" s="412"/>
      <c r="AGI204" s="412"/>
      <c r="AGJ204" s="412"/>
      <c r="AGK204" s="412"/>
      <c r="AGL204" s="412"/>
      <c r="AGM204" s="412"/>
      <c r="AGN204" s="412"/>
      <c r="AGO204" s="412"/>
      <c r="AGP204" s="412"/>
      <c r="AGQ204" s="412"/>
      <c r="AGR204" s="412"/>
      <c r="AGS204" s="412"/>
      <c r="AGT204" s="412"/>
      <c r="AGU204" s="412"/>
      <c r="AGV204" s="412"/>
      <c r="AGW204" s="412"/>
      <c r="AGX204" s="412"/>
      <c r="AGY204" s="412"/>
      <c r="AGZ204" s="412"/>
      <c r="AHA204" s="412"/>
      <c r="AHB204" s="412"/>
      <c r="AHC204" s="412"/>
      <c r="AHD204" s="412"/>
      <c r="AHE204" s="412"/>
      <c r="AHF204" s="412"/>
      <c r="AHG204" s="412"/>
      <c r="AHH204" s="412"/>
      <c r="AHI204" s="412"/>
      <c r="AHJ204" s="412"/>
      <c r="AHK204" s="412"/>
      <c r="AHL204" s="412"/>
      <c r="AHM204" s="412"/>
      <c r="AHN204" s="412"/>
      <c r="AHO204" s="412"/>
      <c r="AHP204" s="412"/>
      <c r="AHQ204" s="412"/>
      <c r="AHR204" s="412"/>
      <c r="AHS204" s="412"/>
      <c r="AHT204" s="412"/>
      <c r="AHU204" s="412"/>
      <c r="AHV204" s="412"/>
      <c r="AHW204" s="412"/>
      <c r="AHX204" s="412"/>
      <c r="AHY204" s="412"/>
      <c r="AHZ204" s="412"/>
      <c r="AIA204" s="412"/>
      <c r="AIB204" s="412"/>
      <c r="AIC204" s="412"/>
      <c r="AID204" s="412"/>
      <c r="AIE204" s="412"/>
      <c r="AIF204" s="412"/>
      <c r="AIG204" s="412"/>
      <c r="AIH204" s="412"/>
      <c r="AII204" s="412"/>
      <c r="AIJ204" s="412"/>
      <c r="AIK204" s="412"/>
      <c r="AIL204" s="412"/>
      <c r="AIM204" s="412"/>
      <c r="AIN204" s="412"/>
      <c r="AIO204" s="412"/>
      <c r="AIP204" s="412"/>
      <c r="AIQ204" s="412"/>
      <c r="AIR204" s="412"/>
      <c r="AIS204" s="412"/>
      <c r="AIT204" s="412"/>
      <c r="AIU204" s="412"/>
      <c r="AIV204" s="412"/>
      <c r="AIW204" s="412"/>
      <c r="AIX204" s="412"/>
      <c r="AIY204" s="412"/>
      <c r="AIZ204" s="412"/>
      <c r="AJA204" s="412"/>
      <c r="AJB204" s="412"/>
      <c r="AJC204" s="412"/>
      <c r="AJD204" s="412"/>
      <c r="AJE204" s="412"/>
      <c r="AJF204" s="412"/>
      <c r="AJG204" s="412"/>
      <c r="AJH204" s="412"/>
      <c r="AJI204" s="412"/>
      <c r="AJJ204" s="412"/>
      <c r="AJK204" s="412"/>
      <c r="AJL204" s="412"/>
      <c r="AJM204" s="412"/>
      <c r="AJN204" s="412"/>
      <c r="AJO204" s="412"/>
      <c r="AJP204" s="412"/>
      <c r="AJQ204" s="412"/>
      <c r="AJR204" s="412"/>
      <c r="AJS204" s="412"/>
      <c r="AJT204" s="412"/>
      <c r="AJU204" s="412"/>
      <c r="AJV204" s="412"/>
      <c r="AJW204" s="412"/>
      <c r="AJX204" s="412"/>
      <c r="AJY204" s="412"/>
      <c r="AJZ204" s="412"/>
      <c r="AKA204" s="412"/>
      <c r="AKB204" s="412"/>
      <c r="AKC204" s="412"/>
      <c r="AKD204" s="412"/>
      <c r="AKE204" s="412"/>
      <c r="AKF204" s="412"/>
      <c r="AKG204" s="412"/>
      <c r="AKH204" s="412"/>
      <c r="AKI204" s="412"/>
      <c r="AKJ204" s="412"/>
      <c r="AKK204" s="412"/>
      <c r="AKL204" s="412"/>
      <c r="AKM204" s="412"/>
      <c r="AKN204" s="412"/>
      <c r="AKO204" s="412"/>
      <c r="AKP204" s="412"/>
      <c r="AKQ204" s="412"/>
      <c r="AKR204" s="412"/>
      <c r="AKS204" s="412"/>
      <c r="AKT204" s="412"/>
      <c r="AKU204" s="412"/>
      <c r="AKV204" s="412"/>
      <c r="AKW204" s="412"/>
      <c r="AKX204" s="412"/>
      <c r="AKY204" s="412"/>
      <c r="AKZ204" s="412"/>
      <c r="ALA204" s="412"/>
      <c r="ALB204" s="412"/>
      <c r="ALC204" s="412"/>
      <c r="ALD204" s="412"/>
      <c r="ALE204" s="412"/>
      <c r="ALF204" s="412"/>
      <c r="ALG204" s="412"/>
      <c r="ALH204" s="412"/>
      <c r="ALI204" s="412"/>
      <c r="ALJ204" s="412"/>
      <c r="ALK204" s="412"/>
      <c r="ALL204" s="412"/>
      <c r="ALM204" s="412"/>
      <c r="ALN204" s="412"/>
      <c r="ALO204" s="412"/>
      <c r="ALP204" s="412"/>
      <c r="ALQ204" s="412"/>
      <c r="ALR204" s="412"/>
      <c r="ALS204" s="412"/>
      <c r="ALT204" s="412"/>
      <c r="ALU204" s="412"/>
      <c r="ALV204" s="412"/>
      <c r="ALW204" s="412"/>
      <c r="ALX204" s="412"/>
      <c r="ALY204" s="412"/>
      <c r="ALZ204" s="412"/>
      <c r="AMA204" s="412"/>
      <c r="AMB204" s="412"/>
      <c r="AMC204" s="412"/>
      <c r="AMD204" s="412"/>
      <c r="AME204" s="412"/>
      <c r="AMF204" s="412"/>
      <c r="AMG204" s="412"/>
      <c r="AMH204" s="412"/>
      <c r="AMI204" s="412"/>
      <c r="AMJ204" s="412"/>
      <c r="AMK204" s="412"/>
      <c r="AML204" s="412"/>
      <c r="AMM204" s="412"/>
      <c r="AMN204" s="412"/>
      <c r="AMO204" s="412"/>
      <c r="AMP204" s="412"/>
      <c r="AMQ204" s="412"/>
      <c r="AMR204" s="412"/>
      <c r="AMS204" s="412"/>
      <c r="AMT204" s="412"/>
      <c r="AMU204" s="412"/>
      <c r="AMV204" s="412"/>
      <c r="AMW204" s="412"/>
      <c r="AMX204" s="412"/>
      <c r="AMY204" s="412"/>
      <c r="AMZ204" s="412"/>
      <c r="ANA204" s="412"/>
      <c r="ANB204" s="412"/>
      <c r="ANC204" s="412"/>
      <c r="AND204" s="412"/>
      <c r="ANE204" s="412"/>
      <c r="ANF204" s="412"/>
      <c r="ANG204" s="412"/>
      <c r="ANH204" s="412"/>
      <c r="ANI204" s="412"/>
      <c r="ANJ204" s="412"/>
      <c r="ANK204" s="412"/>
      <c r="ANL204" s="412"/>
      <c r="ANM204" s="412"/>
      <c r="ANN204" s="412"/>
      <c r="ANO204" s="412"/>
      <c r="ANP204" s="412"/>
      <c r="ANQ204" s="412"/>
      <c r="ANR204" s="412"/>
      <c r="ANS204" s="412"/>
      <c r="ANT204" s="412"/>
      <c r="ANU204" s="412"/>
      <c r="ANV204" s="412"/>
      <c r="ANW204" s="412"/>
      <c r="ANX204" s="412"/>
      <c r="ANY204" s="412"/>
      <c r="ANZ204" s="412"/>
      <c r="AOA204" s="412"/>
      <c r="AOB204" s="412"/>
      <c r="AOC204" s="412"/>
      <c r="AOD204" s="412"/>
      <c r="AOE204" s="412"/>
      <c r="AOF204" s="412"/>
      <c r="AOG204" s="412"/>
      <c r="AOH204" s="412"/>
      <c r="AOI204" s="412"/>
      <c r="AOJ204" s="412"/>
      <c r="AOK204" s="412"/>
      <c r="AOL204" s="412"/>
      <c r="AOM204" s="412"/>
      <c r="AON204" s="412"/>
      <c r="AOO204" s="412"/>
      <c r="AOP204" s="412"/>
      <c r="AOQ204" s="412"/>
      <c r="AOR204" s="412"/>
      <c r="AOS204" s="412"/>
      <c r="AOT204" s="412"/>
      <c r="AOU204" s="412"/>
      <c r="AOV204" s="412"/>
      <c r="AOW204" s="412"/>
      <c r="AOX204" s="412"/>
      <c r="AOY204" s="412"/>
      <c r="AOZ204" s="412"/>
      <c r="APA204" s="412"/>
      <c r="APB204" s="412"/>
      <c r="APC204" s="412"/>
      <c r="APD204" s="412"/>
      <c r="APE204" s="412"/>
      <c r="APF204" s="412"/>
      <c r="APG204" s="412"/>
      <c r="APH204" s="412"/>
      <c r="API204" s="412"/>
      <c r="APJ204" s="412"/>
      <c r="APK204" s="412"/>
      <c r="APL204" s="412"/>
      <c r="APM204" s="412"/>
      <c r="APN204" s="412"/>
      <c r="APO204" s="412"/>
      <c r="APP204" s="412"/>
      <c r="APQ204" s="412"/>
      <c r="APR204" s="412"/>
      <c r="APS204" s="412"/>
      <c r="APT204" s="412"/>
      <c r="APU204" s="412"/>
      <c r="APV204" s="412"/>
      <c r="APW204" s="412"/>
      <c r="APX204" s="412"/>
      <c r="APY204" s="412"/>
      <c r="APZ204" s="412"/>
      <c r="AQA204" s="412"/>
      <c r="AQB204" s="412"/>
      <c r="AQC204" s="412"/>
      <c r="AQD204" s="412"/>
      <c r="AQE204" s="412"/>
      <c r="AQF204" s="412"/>
      <c r="AQG204" s="412"/>
      <c r="AQH204" s="412"/>
      <c r="AQI204" s="412"/>
      <c r="AQJ204" s="412"/>
      <c r="AQK204" s="412"/>
      <c r="AQL204" s="412"/>
      <c r="AQM204" s="412"/>
      <c r="AQN204" s="412"/>
      <c r="AQO204" s="412"/>
      <c r="AQP204" s="412"/>
      <c r="AQQ204" s="412"/>
      <c r="AQR204" s="412"/>
      <c r="AQS204" s="412"/>
      <c r="AQT204" s="412"/>
      <c r="AQU204" s="412"/>
      <c r="AQV204" s="412"/>
      <c r="AQW204" s="412"/>
      <c r="AQX204" s="412"/>
      <c r="AQY204" s="412"/>
      <c r="AQZ204" s="412"/>
      <c r="ARA204" s="412"/>
      <c r="ARB204" s="412"/>
      <c r="ARC204" s="412"/>
      <c r="ARD204" s="412"/>
      <c r="ARE204" s="412"/>
      <c r="ARF204" s="412"/>
      <c r="ARG204" s="412"/>
      <c r="ARH204" s="412"/>
      <c r="ARI204" s="412"/>
      <c r="ARJ204" s="412"/>
      <c r="ARK204" s="412"/>
      <c r="ARL204" s="412"/>
      <c r="ARM204" s="412"/>
      <c r="ARN204" s="412"/>
      <c r="ARO204" s="412"/>
      <c r="ARP204" s="412"/>
      <c r="ARQ204" s="412"/>
      <c r="ARR204" s="412"/>
      <c r="ARS204" s="412"/>
      <c r="ART204" s="412"/>
      <c r="ARU204" s="412"/>
      <c r="ARV204" s="412"/>
      <c r="ARW204" s="412"/>
      <c r="ARX204" s="412"/>
      <c r="ARY204" s="412"/>
      <c r="ARZ204" s="412"/>
      <c r="ASA204" s="412"/>
      <c r="ASB204" s="412"/>
      <c r="ASC204" s="412"/>
      <c r="ASD204" s="412"/>
      <c r="ASE204" s="412"/>
      <c r="ASF204" s="412"/>
      <c r="ASG204" s="412"/>
      <c r="ASH204" s="412"/>
      <c r="ASI204" s="412"/>
      <c r="ASJ204" s="412"/>
      <c r="ASK204" s="412"/>
      <c r="ASL204" s="412"/>
      <c r="ASM204" s="412"/>
      <c r="ASN204" s="412"/>
      <c r="ASO204" s="412"/>
      <c r="ASP204" s="412"/>
      <c r="ASQ204" s="412"/>
      <c r="ASR204" s="412"/>
      <c r="ASS204" s="412"/>
      <c r="AST204" s="412"/>
      <c r="ASU204" s="412"/>
      <c r="ASV204" s="412"/>
      <c r="ASW204" s="412"/>
      <c r="ASX204" s="412"/>
      <c r="ASY204" s="412"/>
      <c r="ASZ204" s="412"/>
      <c r="ATA204" s="412"/>
      <c r="ATB204" s="412"/>
      <c r="ATC204" s="412"/>
      <c r="ATD204" s="412"/>
      <c r="ATE204" s="412"/>
      <c r="ATF204" s="412"/>
      <c r="ATG204" s="412"/>
      <c r="ATH204" s="412"/>
      <c r="ATI204" s="412"/>
      <c r="ATJ204" s="412"/>
      <c r="ATK204" s="412"/>
      <c r="ATL204" s="412"/>
      <c r="ATM204" s="412"/>
      <c r="ATN204" s="412"/>
      <c r="ATO204" s="412"/>
      <c r="ATP204" s="412"/>
      <c r="ATQ204" s="412"/>
      <c r="ATR204" s="412"/>
      <c r="ATS204" s="412"/>
      <c r="ATT204" s="412"/>
      <c r="ATU204" s="412"/>
      <c r="ATV204" s="412"/>
      <c r="ATW204" s="412"/>
      <c r="ATX204" s="412"/>
      <c r="ATY204" s="412"/>
      <c r="ATZ204" s="412"/>
      <c r="AUA204" s="412"/>
      <c r="AUB204" s="412"/>
      <c r="AUC204" s="412"/>
      <c r="AUD204" s="412"/>
      <c r="AUE204" s="412"/>
      <c r="AUF204" s="412"/>
      <c r="AUG204" s="412"/>
      <c r="AUH204" s="412"/>
      <c r="AUI204" s="412"/>
      <c r="AUJ204" s="412"/>
      <c r="AUK204" s="412"/>
      <c r="AUL204" s="412"/>
      <c r="AUM204" s="412"/>
      <c r="AUN204" s="412"/>
      <c r="AUO204" s="412"/>
      <c r="AUP204" s="412"/>
      <c r="AUQ204" s="412"/>
      <c r="AUR204" s="412"/>
      <c r="AUS204" s="412"/>
      <c r="AUT204" s="412"/>
      <c r="AUU204" s="412"/>
      <c r="AUV204" s="412"/>
      <c r="AUW204" s="412"/>
      <c r="AUX204" s="412"/>
      <c r="AUY204" s="412"/>
      <c r="AUZ204" s="412"/>
      <c r="AVA204" s="412"/>
      <c r="AVB204" s="412"/>
      <c r="AVC204" s="412"/>
      <c r="AVD204" s="412"/>
      <c r="AVE204" s="412"/>
      <c r="AVF204" s="412"/>
      <c r="AVG204" s="412"/>
      <c r="AVH204" s="412"/>
      <c r="AVI204" s="412"/>
      <c r="AVJ204" s="412"/>
      <c r="AVK204" s="412"/>
      <c r="AVL204" s="412"/>
      <c r="AVM204" s="412"/>
      <c r="AVN204" s="412"/>
      <c r="AVO204" s="412"/>
      <c r="AVP204" s="412"/>
      <c r="AVQ204" s="412"/>
      <c r="AVR204" s="412"/>
      <c r="AVS204" s="412"/>
      <c r="AVT204" s="412"/>
      <c r="AVU204" s="412"/>
      <c r="AVV204" s="412"/>
      <c r="AVW204" s="412"/>
      <c r="AVX204" s="412"/>
      <c r="AVY204" s="412"/>
      <c r="AVZ204" s="412"/>
      <c r="AWA204" s="412"/>
      <c r="AWB204" s="412"/>
      <c r="AWC204" s="412"/>
      <c r="AWD204" s="412"/>
      <c r="AWE204" s="412"/>
      <c r="AWF204" s="412"/>
      <c r="AWG204" s="412"/>
      <c r="AWH204" s="412"/>
      <c r="AWI204" s="412"/>
      <c r="AWJ204" s="412"/>
      <c r="AWK204" s="412"/>
      <c r="AWL204" s="412"/>
      <c r="AWM204" s="412"/>
      <c r="AWN204" s="412"/>
      <c r="AWO204" s="412"/>
      <c r="AWP204" s="412"/>
      <c r="AWQ204" s="412"/>
      <c r="AWR204" s="412"/>
      <c r="AWS204" s="412"/>
      <c r="AWT204" s="412"/>
      <c r="AWU204" s="412"/>
      <c r="AWV204" s="412"/>
      <c r="AWW204" s="412"/>
      <c r="AWX204" s="412"/>
      <c r="AWY204" s="412"/>
      <c r="AWZ204" s="412"/>
      <c r="AXA204" s="412"/>
      <c r="AXB204" s="412"/>
      <c r="AXC204" s="412"/>
      <c r="AXD204" s="412"/>
      <c r="AXE204" s="412"/>
      <c r="AXF204" s="412"/>
      <c r="AXG204" s="412"/>
      <c r="AXH204" s="412"/>
      <c r="AXI204" s="412"/>
      <c r="AXJ204" s="412"/>
      <c r="AXK204" s="412"/>
      <c r="AXL204" s="412"/>
      <c r="AXM204" s="412"/>
      <c r="AXN204" s="412"/>
      <c r="AXO204" s="412"/>
      <c r="AXP204" s="412"/>
      <c r="AXQ204" s="412"/>
      <c r="AXR204" s="412"/>
      <c r="AXS204" s="412"/>
      <c r="AXT204" s="412"/>
      <c r="AXU204" s="412"/>
      <c r="AXV204" s="412"/>
      <c r="AXW204" s="412"/>
      <c r="AXX204" s="412"/>
      <c r="AXY204" s="412"/>
      <c r="AXZ204" s="412"/>
      <c r="AYA204" s="412"/>
      <c r="AYB204" s="412"/>
      <c r="AYC204" s="412"/>
      <c r="AYD204" s="412"/>
      <c r="AYE204" s="412"/>
      <c r="AYF204" s="412"/>
      <c r="AYG204" s="412"/>
      <c r="AYH204" s="412"/>
      <c r="AYI204" s="412"/>
      <c r="AYJ204" s="412"/>
      <c r="AYK204" s="412"/>
      <c r="AYL204" s="412"/>
      <c r="AYM204" s="412"/>
      <c r="AYN204" s="412"/>
      <c r="AYO204" s="412"/>
      <c r="AYP204" s="412"/>
      <c r="AYQ204" s="412"/>
      <c r="AYR204" s="412"/>
      <c r="AYS204" s="412"/>
      <c r="AYT204" s="412"/>
      <c r="AYU204" s="412"/>
      <c r="AYV204" s="412"/>
      <c r="AYW204" s="412"/>
      <c r="AYX204" s="412"/>
      <c r="AYY204" s="412"/>
      <c r="AYZ204" s="412"/>
      <c r="AZA204" s="412"/>
      <c r="AZB204" s="412"/>
      <c r="AZC204" s="412"/>
      <c r="AZD204" s="412"/>
      <c r="AZE204" s="412"/>
      <c r="AZF204" s="412"/>
      <c r="AZG204" s="412"/>
      <c r="AZH204" s="412"/>
      <c r="AZI204" s="412"/>
      <c r="AZJ204" s="412"/>
      <c r="AZK204" s="412"/>
      <c r="AZL204" s="412"/>
      <c r="AZM204" s="412"/>
      <c r="AZN204" s="412"/>
      <c r="AZO204" s="412"/>
      <c r="AZP204" s="412"/>
      <c r="AZQ204" s="412"/>
      <c r="AZR204" s="412"/>
      <c r="AZS204" s="412"/>
      <c r="AZT204" s="412"/>
      <c r="AZU204" s="412"/>
      <c r="AZV204" s="412"/>
      <c r="AZW204" s="412"/>
      <c r="AZX204" s="412"/>
      <c r="AZY204" s="412"/>
      <c r="AZZ204" s="412"/>
      <c r="BAA204" s="412"/>
      <c r="BAB204" s="412"/>
      <c r="BAC204" s="412"/>
      <c r="BAD204" s="412"/>
      <c r="BAE204" s="412"/>
      <c r="BAF204" s="412"/>
      <c r="BAG204" s="412"/>
      <c r="BAH204" s="412"/>
      <c r="BAI204" s="412"/>
      <c r="BAJ204" s="412"/>
      <c r="BAK204" s="412"/>
      <c r="BAL204" s="412"/>
      <c r="BAM204" s="412"/>
      <c r="BAN204" s="412"/>
      <c r="BAO204" s="412"/>
      <c r="BAP204" s="412"/>
      <c r="BAQ204" s="412"/>
      <c r="BAR204" s="412"/>
      <c r="BAS204" s="412"/>
      <c r="BAT204" s="412"/>
      <c r="BAU204" s="412"/>
      <c r="BAV204" s="412"/>
      <c r="BAW204" s="412"/>
      <c r="BAX204" s="412"/>
      <c r="BAY204" s="412"/>
      <c r="BAZ204" s="412"/>
      <c r="BBA204" s="412"/>
      <c r="BBB204" s="412"/>
      <c r="BBC204" s="412"/>
      <c r="BBD204" s="412"/>
      <c r="BBE204" s="412"/>
      <c r="BBF204" s="412"/>
      <c r="BBG204" s="412"/>
      <c r="BBH204" s="412"/>
      <c r="BBI204" s="412"/>
      <c r="BBJ204" s="412"/>
      <c r="BBK204" s="412"/>
      <c r="BBL204" s="412"/>
      <c r="BBM204" s="412"/>
      <c r="BBN204" s="412"/>
      <c r="BBO204" s="412"/>
      <c r="BBP204" s="412"/>
      <c r="BBQ204" s="412"/>
      <c r="BBR204" s="412"/>
      <c r="BBS204" s="412"/>
      <c r="BBT204" s="412"/>
      <c r="BBU204" s="412"/>
      <c r="BBV204" s="412"/>
      <c r="BBW204" s="412"/>
      <c r="BBX204" s="412"/>
      <c r="BBY204" s="412"/>
      <c r="BBZ204" s="412"/>
      <c r="BCA204" s="412"/>
      <c r="BCB204" s="412"/>
      <c r="BCC204" s="412"/>
      <c r="BCD204" s="412"/>
      <c r="BCE204" s="412"/>
      <c r="BCF204" s="412"/>
      <c r="BCG204" s="412"/>
      <c r="BCH204" s="412"/>
      <c r="BCI204" s="412"/>
      <c r="BCJ204" s="412"/>
      <c r="BCK204" s="412"/>
      <c r="BCL204" s="412"/>
      <c r="BCM204" s="412"/>
      <c r="BCN204" s="412"/>
      <c r="BCO204" s="412"/>
      <c r="BCP204" s="412"/>
      <c r="BCQ204" s="412"/>
      <c r="BCR204" s="412"/>
      <c r="BCS204" s="412"/>
      <c r="BCT204" s="412"/>
      <c r="BCU204" s="412"/>
      <c r="BCV204" s="412"/>
      <c r="BCW204" s="412"/>
      <c r="BCX204" s="412"/>
      <c r="BCY204" s="412"/>
      <c r="BCZ204" s="412"/>
      <c r="BDA204" s="412"/>
      <c r="BDB204" s="412"/>
      <c r="BDC204" s="412"/>
      <c r="BDD204" s="412"/>
      <c r="BDE204" s="412"/>
      <c r="BDF204" s="412"/>
      <c r="BDG204" s="412"/>
      <c r="BDH204" s="412"/>
      <c r="BDI204" s="412"/>
      <c r="BDJ204" s="412"/>
      <c r="BDK204" s="412"/>
      <c r="BDL204" s="412"/>
      <c r="BDM204" s="412"/>
      <c r="BDN204" s="412"/>
      <c r="BDO204" s="412"/>
      <c r="BDP204" s="412"/>
      <c r="BDQ204" s="412"/>
      <c r="BDR204" s="412"/>
      <c r="BDS204" s="412"/>
      <c r="BDT204" s="412"/>
      <c r="BDU204" s="412"/>
      <c r="BDV204" s="412"/>
      <c r="BDW204" s="412"/>
      <c r="BDX204" s="412"/>
      <c r="BDY204" s="412"/>
      <c r="BDZ204" s="412"/>
      <c r="BEA204" s="412"/>
      <c r="BEB204" s="412"/>
      <c r="BEC204" s="412"/>
      <c r="BED204" s="412"/>
      <c r="BEE204" s="412"/>
      <c r="BEF204" s="412"/>
      <c r="BEG204" s="412"/>
      <c r="BEH204" s="412"/>
      <c r="BEI204" s="412"/>
      <c r="BEJ204" s="412"/>
      <c r="BEK204" s="412"/>
      <c r="BEL204" s="412"/>
      <c r="BEM204" s="412"/>
      <c r="BEN204" s="412"/>
      <c r="BEO204" s="412"/>
      <c r="BEP204" s="412"/>
      <c r="BEQ204" s="412"/>
      <c r="BER204" s="412"/>
      <c r="BES204" s="412"/>
      <c r="BET204" s="412"/>
      <c r="BEU204" s="412"/>
      <c r="BEV204" s="412"/>
      <c r="BEW204" s="412"/>
      <c r="BEX204" s="412"/>
      <c r="BEY204" s="412"/>
      <c r="BEZ204" s="412"/>
      <c r="BFA204" s="412"/>
      <c r="BFB204" s="412"/>
      <c r="BFC204" s="412"/>
      <c r="BFD204" s="412"/>
      <c r="BFE204" s="412"/>
      <c r="BFF204" s="412"/>
      <c r="BFG204" s="412"/>
      <c r="BFH204" s="412"/>
      <c r="BFI204" s="412"/>
      <c r="BFJ204" s="412"/>
      <c r="BFK204" s="412"/>
      <c r="BFL204" s="412"/>
      <c r="BFM204" s="412"/>
      <c r="BFN204" s="412"/>
      <c r="BFO204" s="412"/>
      <c r="BFP204" s="412"/>
      <c r="BFQ204" s="412"/>
      <c r="BFR204" s="412"/>
      <c r="BFS204" s="412"/>
      <c r="BFT204" s="412"/>
      <c r="BFU204" s="412"/>
      <c r="BFV204" s="412"/>
      <c r="BFW204" s="412"/>
      <c r="BFX204" s="412"/>
      <c r="BFY204" s="412"/>
      <c r="BFZ204" s="412"/>
      <c r="BGA204" s="412"/>
      <c r="BGB204" s="412"/>
      <c r="BGC204" s="412"/>
      <c r="BGD204" s="412"/>
      <c r="BGE204" s="412"/>
      <c r="BGF204" s="412"/>
      <c r="BGG204" s="412"/>
      <c r="BGH204" s="412"/>
      <c r="BGI204" s="412"/>
      <c r="BGJ204" s="412"/>
      <c r="BGK204" s="412"/>
      <c r="BGL204" s="412"/>
      <c r="BGM204" s="412"/>
      <c r="BGN204" s="412"/>
      <c r="BGO204" s="412"/>
      <c r="BGP204" s="412"/>
      <c r="BGQ204" s="412"/>
      <c r="BGR204" s="412"/>
      <c r="BGS204" s="412"/>
      <c r="BGT204" s="412"/>
      <c r="BGU204" s="412"/>
      <c r="BGV204" s="412"/>
      <c r="BGW204" s="412"/>
      <c r="BGX204" s="412"/>
      <c r="BGY204" s="412"/>
      <c r="BGZ204" s="412"/>
      <c r="BHA204" s="412"/>
      <c r="BHB204" s="412"/>
      <c r="BHC204" s="412"/>
      <c r="BHD204" s="412"/>
      <c r="BHE204" s="412"/>
      <c r="BHF204" s="412"/>
      <c r="BHG204" s="412"/>
      <c r="BHH204" s="412"/>
      <c r="BHI204" s="412"/>
      <c r="BHJ204" s="412"/>
      <c r="BHK204" s="412"/>
      <c r="BHL204" s="412"/>
      <c r="BHM204" s="412"/>
      <c r="BHN204" s="412"/>
      <c r="BHO204" s="412"/>
      <c r="BHP204" s="412"/>
      <c r="BHQ204" s="412"/>
      <c r="BHR204" s="412"/>
      <c r="BHS204" s="412"/>
      <c r="BHT204" s="412"/>
      <c r="BHU204" s="412"/>
      <c r="BHV204" s="412"/>
      <c r="BHW204" s="412"/>
      <c r="BHX204" s="412"/>
      <c r="BHY204" s="412"/>
      <c r="BHZ204" s="412"/>
      <c r="BIA204" s="412"/>
      <c r="BIB204" s="412"/>
      <c r="BIC204" s="412"/>
      <c r="BID204" s="412"/>
      <c r="BIE204" s="412"/>
      <c r="BIF204" s="412"/>
      <c r="BIG204" s="412"/>
      <c r="BIH204" s="412"/>
      <c r="BII204" s="412"/>
      <c r="BIJ204" s="412"/>
      <c r="BIK204" s="412"/>
      <c r="BIL204" s="412"/>
      <c r="BIM204" s="412"/>
      <c r="BIN204" s="412"/>
      <c r="BIO204" s="412"/>
      <c r="BIP204" s="412"/>
      <c r="BIQ204" s="412"/>
      <c r="BIR204" s="412"/>
      <c r="BIS204" s="412"/>
      <c r="BIT204" s="412"/>
      <c r="BIU204" s="412"/>
      <c r="BIV204" s="412"/>
      <c r="BIW204" s="412"/>
      <c r="BIX204" s="412"/>
      <c r="BIY204" s="412"/>
      <c r="BIZ204" s="412"/>
      <c r="BJA204" s="412"/>
      <c r="BJB204" s="412"/>
      <c r="BJC204" s="412"/>
      <c r="BJD204" s="412"/>
      <c r="BJE204" s="412"/>
      <c r="BJF204" s="412"/>
      <c r="BJG204" s="412"/>
      <c r="BJH204" s="412"/>
      <c r="BJI204" s="412"/>
      <c r="BJJ204" s="412"/>
      <c r="BJK204" s="412"/>
      <c r="BJL204" s="412"/>
      <c r="BJM204" s="412"/>
      <c r="BJN204" s="412"/>
      <c r="BJO204" s="412"/>
      <c r="BJP204" s="412"/>
      <c r="BJQ204" s="412"/>
      <c r="BJR204" s="412"/>
      <c r="BJS204" s="412"/>
      <c r="BJT204" s="412"/>
      <c r="BJU204" s="412"/>
      <c r="BJV204" s="412"/>
      <c r="BJW204" s="412"/>
      <c r="BJX204" s="412"/>
      <c r="BJY204" s="412"/>
      <c r="BJZ204" s="412"/>
      <c r="BKA204" s="412"/>
      <c r="BKB204" s="412"/>
      <c r="BKC204" s="412"/>
      <c r="BKD204" s="412"/>
      <c r="BKE204" s="412"/>
      <c r="BKF204" s="412"/>
      <c r="BKG204" s="412"/>
      <c r="BKH204" s="412"/>
      <c r="BKI204" s="412"/>
      <c r="BKJ204" s="412"/>
      <c r="BKK204" s="412"/>
      <c r="BKL204" s="412"/>
      <c r="BKM204" s="412"/>
      <c r="BKN204" s="412"/>
      <c r="BKO204" s="412"/>
      <c r="BKP204" s="412"/>
      <c r="BKQ204" s="412"/>
      <c r="BKR204" s="412"/>
      <c r="BKS204" s="412"/>
      <c r="BKT204" s="412"/>
      <c r="BKU204" s="412"/>
      <c r="BKV204" s="412"/>
      <c r="BKW204" s="412"/>
      <c r="BKX204" s="412"/>
      <c r="BKY204" s="412"/>
      <c r="BKZ204" s="412"/>
      <c r="BLA204" s="412"/>
      <c r="BLB204" s="412"/>
      <c r="BLC204" s="412"/>
      <c r="BLD204" s="412"/>
      <c r="BLE204" s="412"/>
      <c r="BLF204" s="412"/>
      <c r="BLG204" s="412"/>
      <c r="BLH204" s="412"/>
      <c r="BLI204" s="412"/>
      <c r="BLJ204" s="412"/>
      <c r="BLK204" s="412"/>
      <c r="BLL204" s="412"/>
      <c r="BLM204" s="412"/>
      <c r="BLN204" s="412"/>
      <c r="BLO204" s="412"/>
      <c r="BLP204" s="412"/>
      <c r="BLQ204" s="412"/>
      <c r="BLR204" s="412"/>
      <c r="BLS204" s="412"/>
      <c r="BLT204" s="412"/>
      <c r="BLU204" s="412"/>
      <c r="BLV204" s="412"/>
      <c r="BLW204" s="412"/>
      <c r="BLX204" s="412"/>
      <c r="BLY204" s="412"/>
      <c r="BLZ204" s="412"/>
      <c r="BMA204" s="412"/>
      <c r="BMB204" s="412"/>
      <c r="BMC204" s="412"/>
      <c r="BMD204" s="412"/>
      <c r="BME204" s="412"/>
      <c r="BMF204" s="412"/>
      <c r="BMG204" s="412"/>
      <c r="BMH204" s="412"/>
      <c r="BMI204" s="412"/>
      <c r="BMJ204" s="412"/>
      <c r="BMK204" s="412"/>
      <c r="BML204" s="412"/>
      <c r="BMM204" s="412"/>
      <c r="BMN204" s="412"/>
      <c r="BMO204" s="412"/>
      <c r="BMP204" s="412"/>
      <c r="BMQ204" s="412"/>
      <c r="BMR204" s="412"/>
      <c r="BMS204" s="412"/>
      <c r="BMT204" s="412"/>
      <c r="BMU204" s="412"/>
      <c r="BMV204" s="412"/>
      <c r="BMW204" s="412"/>
      <c r="BMX204" s="412"/>
      <c r="BMY204" s="412"/>
      <c r="BMZ204" s="412"/>
      <c r="BNA204" s="412"/>
      <c r="BNB204" s="412"/>
      <c r="BNC204" s="412"/>
      <c r="BND204" s="412"/>
      <c r="BNE204" s="412"/>
      <c r="BNF204" s="412"/>
      <c r="BNG204" s="412"/>
      <c r="BNH204" s="412"/>
      <c r="BNI204" s="412"/>
      <c r="BNJ204" s="412"/>
      <c r="BNK204" s="412"/>
      <c r="BNL204" s="412"/>
      <c r="BNM204" s="412"/>
      <c r="BNN204" s="412"/>
      <c r="BNO204" s="412"/>
      <c r="BNP204" s="412"/>
      <c r="BNQ204" s="412"/>
      <c r="BNR204" s="412"/>
      <c r="BNS204" s="412"/>
      <c r="BNT204" s="412"/>
      <c r="BNU204" s="412"/>
      <c r="BNV204" s="412"/>
      <c r="BNW204" s="412"/>
      <c r="BNX204" s="412"/>
      <c r="BNY204" s="412"/>
      <c r="BNZ204" s="412"/>
      <c r="BOA204" s="412"/>
      <c r="BOB204" s="412"/>
      <c r="BOC204" s="412"/>
      <c r="BOD204" s="412"/>
      <c r="BOE204" s="412"/>
      <c r="BOF204" s="412"/>
      <c r="BOG204" s="412"/>
      <c r="BOH204" s="412"/>
      <c r="BOI204" s="412"/>
      <c r="BOJ204" s="412"/>
      <c r="BOK204" s="412"/>
      <c r="BOL204" s="412"/>
      <c r="BOM204" s="412"/>
      <c r="BON204" s="412"/>
      <c r="BOO204" s="412"/>
      <c r="BOP204" s="412"/>
      <c r="BOQ204" s="412"/>
      <c r="BOR204" s="412"/>
      <c r="BOS204" s="412"/>
      <c r="BOT204" s="412"/>
      <c r="BOU204" s="412"/>
      <c r="BOV204" s="412"/>
      <c r="BOW204" s="412"/>
      <c r="BOX204" s="412"/>
      <c r="BOY204" s="412"/>
      <c r="BOZ204" s="412"/>
      <c r="BPA204" s="412"/>
      <c r="BPB204" s="412"/>
      <c r="BPC204" s="412"/>
      <c r="BPD204" s="412"/>
      <c r="BPE204" s="412"/>
      <c r="BPF204" s="412"/>
      <c r="BPG204" s="412"/>
      <c r="BPH204" s="412"/>
      <c r="BPI204" s="412"/>
      <c r="BPJ204" s="412"/>
      <c r="BPK204" s="412"/>
      <c r="BPL204" s="412"/>
      <c r="BPM204" s="412"/>
      <c r="BPN204" s="412"/>
      <c r="BPO204" s="412"/>
      <c r="BPP204" s="412"/>
      <c r="BPQ204" s="412"/>
      <c r="BPR204" s="412"/>
      <c r="BPS204" s="412"/>
      <c r="BPT204" s="412"/>
      <c r="BPU204" s="412"/>
      <c r="BPV204" s="412"/>
      <c r="BPW204" s="412"/>
      <c r="BPX204" s="412"/>
      <c r="BPY204" s="412"/>
      <c r="BPZ204" s="412"/>
      <c r="BQA204" s="412"/>
      <c r="BQB204" s="412"/>
      <c r="BQC204" s="412"/>
      <c r="BQD204" s="412"/>
      <c r="BQE204" s="412"/>
      <c r="BQF204" s="412"/>
      <c r="BQG204" s="412"/>
      <c r="BQH204" s="412"/>
      <c r="BQI204" s="412"/>
      <c r="BQJ204" s="412"/>
      <c r="BQK204" s="412"/>
      <c r="BQL204" s="412"/>
      <c r="BQM204" s="412"/>
      <c r="BQN204" s="412"/>
      <c r="BQO204" s="412"/>
      <c r="BQP204" s="412"/>
      <c r="BQQ204" s="412"/>
      <c r="BQR204" s="412"/>
      <c r="BQS204" s="412"/>
      <c r="BQT204" s="412"/>
      <c r="BQU204" s="412"/>
      <c r="BQV204" s="412"/>
      <c r="BQW204" s="412"/>
      <c r="BQX204" s="412"/>
      <c r="BQY204" s="412"/>
      <c r="BQZ204" s="412"/>
      <c r="BRA204" s="412"/>
      <c r="BRB204" s="412"/>
      <c r="BRC204" s="412"/>
      <c r="BRD204" s="412"/>
      <c r="BRE204" s="412"/>
      <c r="BRF204" s="412"/>
      <c r="BRG204" s="412"/>
      <c r="BRH204" s="412"/>
      <c r="BRI204" s="412"/>
      <c r="BRJ204" s="412"/>
      <c r="BRK204" s="412"/>
      <c r="BRL204" s="412"/>
      <c r="BRM204" s="412"/>
      <c r="BRN204" s="412"/>
      <c r="BRO204" s="412"/>
      <c r="BRP204" s="412"/>
      <c r="BRQ204" s="412"/>
      <c r="BRR204" s="412"/>
      <c r="BRS204" s="412"/>
      <c r="BRT204" s="412"/>
      <c r="BRU204" s="412"/>
      <c r="BRV204" s="412"/>
      <c r="BRW204" s="412"/>
      <c r="BRX204" s="412"/>
      <c r="BRY204" s="412"/>
      <c r="BRZ204" s="412"/>
      <c r="BSA204" s="412"/>
      <c r="BSB204" s="412"/>
      <c r="BSC204" s="412"/>
      <c r="BSD204" s="412"/>
      <c r="BSE204" s="412"/>
      <c r="BSF204" s="412"/>
      <c r="BSG204" s="412"/>
      <c r="BSH204" s="412"/>
      <c r="BSI204" s="412"/>
      <c r="BSJ204" s="412"/>
      <c r="BSK204" s="412"/>
      <c r="BSL204" s="412"/>
      <c r="BSM204" s="412"/>
      <c r="BSN204" s="412"/>
      <c r="BSO204" s="412"/>
      <c r="BSP204" s="412"/>
      <c r="BSQ204" s="412"/>
      <c r="BSR204" s="412"/>
      <c r="BSS204" s="412"/>
      <c r="BST204" s="412"/>
      <c r="BSU204" s="412"/>
      <c r="BSV204" s="412"/>
      <c r="BSW204" s="412"/>
      <c r="BSX204" s="412"/>
      <c r="BSY204" s="412"/>
      <c r="BSZ204" s="412"/>
      <c r="BTA204" s="412"/>
      <c r="BTB204" s="412"/>
      <c r="BTC204" s="412"/>
      <c r="BTD204" s="412"/>
      <c r="BTE204" s="412"/>
      <c r="BTF204" s="412"/>
      <c r="BTG204" s="412"/>
      <c r="BTH204" s="412"/>
      <c r="BTI204" s="412"/>
    </row>
    <row r="205" spans="1:1881" s="408" customFormat="1" ht="33" customHeight="1" x14ac:dyDescent="0.25">
      <c r="A205" s="189"/>
      <c r="B205" s="162" t="s">
        <v>822</v>
      </c>
      <c r="C205" s="161"/>
      <c r="D205" s="155"/>
      <c r="E205" s="149"/>
      <c r="F205" s="753"/>
      <c r="G205" s="571"/>
      <c r="H205" s="67"/>
      <c r="I205" s="15"/>
      <c r="J205" s="412"/>
      <c r="K205" s="412"/>
      <c r="L205" s="412"/>
      <c r="M205" s="412"/>
      <c r="N205"/>
      <c r="O205" s="412"/>
      <c r="P205" s="412"/>
      <c r="Q205" s="412"/>
      <c r="R205" s="412"/>
      <c r="S205" s="412"/>
      <c r="T205" s="412"/>
      <c r="U205" s="412"/>
      <c r="V205" s="412"/>
      <c r="W205" s="412"/>
      <c r="X205" s="412"/>
      <c r="Y205" s="412"/>
      <c r="Z205" s="412"/>
      <c r="AA205" s="412"/>
      <c r="AB205" s="412"/>
      <c r="AC205" s="412"/>
      <c r="AD205" s="412"/>
      <c r="AE205" s="412"/>
      <c r="AF205" s="412"/>
      <c r="AG205" s="412"/>
      <c r="AH205" s="412"/>
      <c r="AI205" s="412"/>
      <c r="AJ205" s="412"/>
      <c r="AK205" s="412"/>
      <c r="AL205" s="412"/>
      <c r="AM205" s="412"/>
      <c r="AN205" s="412"/>
      <c r="AO205" s="412"/>
      <c r="AP205" s="412"/>
      <c r="AQ205" s="412"/>
      <c r="AR205" s="412"/>
      <c r="AS205" s="412"/>
      <c r="AT205" s="412"/>
      <c r="AU205" s="412"/>
      <c r="AV205" s="412"/>
      <c r="AW205" s="412"/>
      <c r="AX205" s="412"/>
      <c r="AY205" s="412"/>
      <c r="AZ205" s="412"/>
      <c r="BA205" s="412"/>
      <c r="BB205" s="412"/>
      <c r="BC205" s="412"/>
      <c r="BD205" s="412"/>
      <c r="BE205" s="412"/>
      <c r="BF205" s="412"/>
      <c r="BG205" s="412"/>
      <c r="BH205" s="412"/>
      <c r="BI205" s="412"/>
      <c r="BJ205" s="412"/>
      <c r="BK205" s="412"/>
      <c r="BL205" s="412"/>
      <c r="BM205" s="412"/>
      <c r="BN205" s="412"/>
      <c r="BO205" s="412"/>
      <c r="BP205" s="412"/>
      <c r="BQ205" s="412"/>
      <c r="BR205" s="412"/>
      <c r="BS205" s="412"/>
      <c r="BT205" s="412"/>
      <c r="BU205" s="412"/>
      <c r="BV205" s="412"/>
      <c r="BW205" s="412"/>
      <c r="BX205" s="412"/>
      <c r="BY205" s="412"/>
      <c r="BZ205" s="412"/>
      <c r="CA205" s="412"/>
      <c r="CB205" s="412"/>
      <c r="CC205" s="412"/>
      <c r="CD205" s="412"/>
      <c r="CE205" s="412"/>
      <c r="CF205" s="412"/>
      <c r="CG205" s="412"/>
      <c r="CH205" s="412"/>
      <c r="CI205" s="412"/>
      <c r="CJ205" s="412"/>
      <c r="CK205" s="412"/>
      <c r="CL205" s="412"/>
      <c r="CM205" s="412"/>
      <c r="CN205" s="412"/>
      <c r="CO205" s="412"/>
      <c r="CP205" s="412"/>
      <c r="CQ205" s="412"/>
      <c r="CR205" s="412"/>
      <c r="CS205" s="412"/>
      <c r="CT205" s="412"/>
      <c r="CU205" s="412"/>
      <c r="CV205" s="412"/>
      <c r="CW205" s="412"/>
      <c r="CX205" s="412"/>
      <c r="CY205" s="412"/>
      <c r="CZ205" s="412"/>
      <c r="DA205" s="412"/>
      <c r="DB205" s="412"/>
      <c r="DC205" s="412"/>
      <c r="DD205" s="412"/>
      <c r="DE205" s="412"/>
      <c r="DF205" s="412"/>
      <c r="DG205" s="412"/>
      <c r="DH205" s="412"/>
      <c r="DI205" s="412"/>
      <c r="DJ205" s="412"/>
      <c r="DK205" s="412"/>
      <c r="DL205" s="412"/>
      <c r="DM205" s="412"/>
      <c r="DN205" s="412"/>
      <c r="DO205" s="412"/>
      <c r="DP205" s="412"/>
      <c r="DQ205" s="412"/>
      <c r="DR205" s="412"/>
      <c r="DS205" s="412"/>
      <c r="DT205" s="412"/>
      <c r="DU205" s="412"/>
      <c r="DV205" s="412"/>
      <c r="DW205" s="412"/>
      <c r="DX205" s="412"/>
      <c r="DY205" s="412"/>
      <c r="DZ205" s="412"/>
      <c r="EA205" s="412"/>
      <c r="EB205" s="412"/>
      <c r="EC205" s="412"/>
      <c r="ED205" s="412"/>
      <c r="EE205" s="412"/>
      <c r="EF205" s="412"/>
      <c r="EG205" s="412"/>
      <c r="EH205" s="412"/>
      <c r="EI205" s="412"/>
      <c r="EJ205" s="412"/>
      <c r="EK205" s="412"/>
      <c r="EL205" s="412"/>
      <c r="EM205" s="412"/>
      <c r="EN205" s="412"/>
      <c r="EO205" s="412"/>
      <c r="EP205" s="412"/>
      <c r="EQ205" s="412"/>
      <c r="ER205" s="412"/>
      <c r="ES205" s="412"/>
      <c r="ET205" s="412"/>
      <c r="EU205" s="412"/>
      <c r="EV205" s="412"/>
      <c r="EW205" s="412"/>
      <c r="EX205" s="412"/>
      <c r="EY205" s="412"/>
      <c r="EZ205" s="412"/>
      <c r="FA205" s="412"/>
      <c r="FB205" s="412"/>
      <c r="FC205" s="412"/>
      <c r="FD205" s="412"/>
      <c r="FE205" s="412"/>
      <c r="FF205" s="412"/>
      <c r="FG205" s="412"/>
      <c r="FH205" s="412"/>
      <c r="FI205" s="412"/>
      <c r="FJ205" s="412"/>
      <c r="FK205" s="412"/>
      <c r="FL205" s="412"/>
      <c r="FM205" s="412"/>
      <c r="FN205" s="412"/>
      <c r="FO205" s="412"/>
      <c r="FP205" s="412"/>
      <c r="FQ205" s="412"/>
      <c r="FR205" s="412"/>
      <c r="FS205" s="412"/>
      <c r="FT205" s="412"/>
      <c r="FU205" s="412"/>
      <c r="FV205" s="412"/>
      <c r="FW205" s="412"/>
      <c r="FX205" s="412"/>
      <c r="FY205" s="412"/>
      <c r="FZ205" s="412"/>
      <c r="GA205" s="412"/>
      <c r="GB205" s="412"/>
      <c r="GC205" s="412"/>
      <c r="GD205" s="412"/>
      <c r="GE205" s="412"/>
      <c r="GF205" s="412"/>
      <c r="GG205" s="412"/>
      <c r="GH205" s="412"/>
      <c r="GI205" s="412"/>
      <c r="GJ205" s="412"/>
      <c r="GK205" s="412"/>
      <c r="GL205" s="412"/>
      <c r="GM205" s="412"/>
      <c r="GN205" s="412"/>
      <c r="GO205" s="412"/>
      <c r="GP205" s="412"/>
      <c r="GQ205" s="412"/>
      <c r="GR205" s="412"/>
      <c r="GS205" s="412"/>
      <c r="GT205" s="412"/>
      <c r="GU205" s="412"/>
      <c r="GV205" s="412"/>
      <c r="GW205" s="412"/>
      <c r="GX205" s="412"/>
      <c r="GY205" s="412"/>
      <c r="GZ205" s="412"/>
      <c r="HA205" s="412"/>
      <c r="HB205" s="412"/>
      <c r="HC205" s="412"/>
      <c r="HD205" s="412"/>
      <c r="HE205" s="412"/>
      <c r="HF205" s="412"/>
      <c r="HG205" s="412"/>
      <c r="HH205" s="412"/>
      <c r="HI205" s="412"/>
      <c r="HJ205" s="412"/>
      <c r="HK205" s="412"/>
      <c r="HL205" s="412"/>
      <c r="HM205" s="412"/>
      <c r="HN205" s="412"/>
      <c r="HO205" s="412"/>
      <c r="HP205" s="412"/>
      <c r="HQ205" s="412"/>
      <c r="HR205" s="412"/>
      <c r="HS205" s="412"/>
      <c r="HT205" s="412"/>
      <c r="HU205" s="412"/>
      <c r="HV205" s="412"/>
      <c r="HW205" s="412"/>
      <c r="HX205" s="412"/>
      <c r="HY205" s="412"/>
      <c r="HZ205" s="412"/>
      <c r="IA205" s="412"/>
      <c r="IB205" s="412"/>
      <c r="IC205" s="412"/>
      <c r="ID205" s="412"/>
      <c r="IE205" s="412"/>
      <c r="IF205" s="412"/>
      <c r="IG205" s="412"/>
      <c r="IH205" s="412"/>
      <c r="II205" s="412"/>
      <c r="IJ205" s="412"/>
      <c r="IK205" s="412"/>
      <c r="IL205" s="412"/>
      <c r="IM205" s="412"/>
      <c r="IN205" s="412"/>
      <c r="IO205" s="412"/>
      <c r="IP205" s="412"/>
      <c r="IQ205" s="412"/>
      <c r="IR205" s="412"/>
      <c r="IS205" s="412"/>
      <c r="IT205" s="412"/>
      <c r="IU205" s="412"/>
      <c r="IV205" s="412"/>
      <c r="IW205" s="412"/>
      <c r="IX205" s="412"/>
      <c r="IY205" s="412"/>
      <c r="IZ205" s="412"/>
      <c r="JA205" s="412"/>
      <c r="JB205" s="412"/>
      <c r="JC205" s="412"/>
      <c r="JD205" s="412"/>
      <c r="JE205" s="412"/>
      <c r="JF205" s="412"/>
      <c r="JG205" s="412"/>
      <c r="JH205" s="412"/>
      <c r="JI205" s="412"/>
      <c r="JJ205" s="412"/>
      <c r="JK205" s="412"/>
      <c r="JL205" s="412"/>
      <c r="JM205" s="412"/>
      <c r="JN205" s="412"/>
      <c r="JO205" s="412"/>
      <c r="JP205" s="412"/>
      <c r="JQ205" s="412"/>
      <c r="JR205" s="412"/>
      <c r="JS205" s="412"/>
      <c r="JT205" s="412"/>
      <c r="JU205" s="412"/>
      <c r="JV205" s="412"/>
      <c r="JW205" s="412"/>
      <c r="JX205" s="412"/>
      <c r="JY205" s="412"/>
      <c r="JZ205" s="412"/>
      <c r="KA205" s="412"/>
      <c r="KB205" s="412"/>
      <c r="KC205" s="412"/>
      <c r="KD205" s="412"/>
      <c r="KE205" s="412"/>
      <c r="KF205" s="412"/>
      <c r="KG205" s="412"/>
      <c r="KH205" s="412"/>
      <c r="KI205" s="412"/>
      <c r="KJ205" s="412"/>
      <c r="KK205" s="412"/>
      <c r="KL205" s="412"/>
      <c r="KM205" s="412"/>
      <c r="KN205" s="412"/>
      <c r="KO205" s="412"/>
      <c r="KP205" s="412"/>
      <c r="KQ205" s="412"/>
      <c r="KR205" s="412"/>
      <c r="KS205" s="412"/>
      <c r="KT205" s="412"/>
      <c r="KU205" s="412"/>
      <c r="KV205" s="412"/>
      <c r="KW205" s="412"/>
      <c r="KX205" s="412"/>
      <c r="KY205" s="412"/>
      <c r="KZ205" s="412"/>
      <c r="LA205" s="412"/>
      <c r="LB205" s="412"/>
      <c r="LC205" s="412"/>
      <c r="LD205" s="412"/>
      <c r="LE205" s="412"/>
      <c r="LF205" s="412"/>
      <c r="LG205" s="412"/>
      <c r="LH205" s="412"/>
      <c r="LI205" s="412"/>
      <c r="LJ205" s="412"/>
      <c r="LK205" s="412"/>
      <c r="LL205" s="412"/>
      <c r="LM205" s="412"/>
      <c r="LN205" s="412"/>
      <c r="LO205" s="412"/>
      <c r="LP205" s="412"/>
      <c r="LQ205" s="412"/>
      <c r="LR205" s="412"/>
      <c r="LS205" s="412"/>
      <c r="LT205" s="412"/>
      <c r="LU205" s="412"/>
      <c r="LV205" s="412"/>
      <c r="LW205" s="412"/>
      <c r="LX205" s="412"/>
      <c r="LY205" s="412"/>
      <c r="LZ205" s="412"/>
      <c r="MA205" s="412"/>
      <c r="MB205" s="412"/>
      <c r="MC205" s="412"/>
      <c r="MD205" s="412"/>
      <c r="ME205" s="412"/>
      <c r="MF205" s="412"/>
      <c r="MG205" s="412"/>
      <c r="MH205" s="412"/>
      <c r="MI205" s="412"/>
      <c r="MJ205" s="412"/>
      <c r="MK205" s="412"/>
      <c r="ML205" s="412"/>
      <c r="MM205" s="412"/>
      <c r="MN205" s="412"/>
      <c r="MO205" s="412"/>
      <c r="MP205" s="412"/>
      <c r="MQ205" s="412"/>
      <c r="MR205" s="412"/>
      <c r="MS205" s="412"/>
      <c r="MT205" s="412"/>
      <c r="MU205" s="412"/>
      <c r="MV205" s="412"/>
      <c r="MW205" s="412"/>
      <c r="MX205" s="412"/>
      <c r="MY205" s="412"/>
      <c r="MZ205" s="412"/>
      <c r="NA205" s="412"/>
      <c r="NB205" s="412"/>
      <c r="NC205" s="412"/>
      <c r="ND205" s="412"/>
      <c r="NE205" s="412"/>
      <c r="NF205" s="412"/>
      <c r="NG205" s="412"/>
      <c r="NH205" s="412"/>
      <c r="NI205" s="412"/>
      <c r="NJ205" s="412"/>
      <c r="NK205" s="412"/>
      <c r="NL205" s="412"/>
      <c r="NM205" s="412"/>
      <c r="NN205" s="412"/>
      <c r="NO205" s="412"/>
      <c r="NP205" s="412"/>
      <c r="NQ205" s="412"/>
      <c r="NR205" s="412"/>
      <c r="NS205" s="412"/>
      <c r="NT205" s="412"/>
      <c r="NU205" s="412"/>
      <c r="NV205" s="412"/>
      <c r="NW205" s="412"/>
      <c r="NX205" s="412"/>
      <c r="NY205" s="412"/>
      <c r="NZ205" s="412"/>
      <c r="OA205" s="412"/>
      <c r="OB205" s="412"/>
      <c r="OC205" s="412"/>
      <c r="OD205" s="412"/>
      <c r="OE205" s="412"/>
      <c r="OF205" s="412"/>
      <c r="OG205" s="412"/>
      <c r="OH205" s="412"/>
      <c r="OI205" s="412"/>
      <c r="OJ205" s="412"/>
      <c r="OK205" s="412"/>
      <c r="OL205" s="412"/>
      <c r="OM205" s="412"/>
      <c r="ON205" s="412"/>
      <c r="OO205" s="412"/>
      <c r="OP205" s="412"/>
      <c r="OQ205" s="412"/>
      <c r="OR205" s="412"/>
      <c r="OS205" s="412"/>
      <c r="OT205" s="412"/>
      <c r="OU205" s="412"/>
      <c r="OV205" s="412"/>
      <c r="OW205" s="412"/>
      <c r="OX205" s="412"/>
      <c r="OY205" s="412"/>
      <c r="OZ205" s="412"/>
      <c r="PA205" s="412"/>
      <c r="PB205" s="412"/>
      <c r="PC205" s="412"/>
      <c r="PD205" s="412"/>
      <c r="PE205" s="412"/>
      <c r="PF205" s="412"/>
      <c r="PG205" s="412"/>
      <c r="PH205" s="412"/>
      <c r="PI205" s="412"/>
      <c r="PJ205" s="412"/>
      <c r="PK205" s="412"/>
      <c r="PL205" s="412"/>
      <c r="PM205" s="412"/>
      <c r="PN205" s="412"/>
      <c r="PO205" s="412"/>
      <c r="PP205" s="412"/>
      <c r="PQ205" s="412"/>
      <c r="PR205" s="412"/>
      <c r="PS205" s="412"/>
      <c r="PT205" s="412"/>
      <c r="PU205" s="412"/>
      <c r="PV205" s="412"/>
      <c r="PW205" s="412"/>
      <c r="PX205" s="412"/>
      <c r="PY205" s="412"/>
      <c r="PZ205" s="412"/>
      <c r="QA205" s="412"/>
      <c r="QB205" s="412"/>
      <c r="QC205" s="412"/>
      <c r="QD205" s="412"/>
      <c r="QE205" s="412"/>
      <c r="QF205" s="412"/>
      <c r="QG205" s="412"/>
      <c r="QH205" s="412"/>
      <c r="QI205" s="412"/>
      <c r="QJ205" s="412"/>
      <c r="QK205" s="412"/>
      <c r="QL205" s="412"/>
      <c r="QM205" s="412"/>
      <c r="QN205" s="412"/>
      <c r="QO205" s="412"/>
      <c r="QP205" s="412"/>
      <c r="QQ205" s="412"/>
      <c r="QR205" s="412"/>
      <c r="QS205" s="412"/>
      <c r="QT205" s="412"/>
      <c r="QU205" s="412"/>
      <c r="QV205" s="412"/>
      <c r="QW205" s="412"/>
      <c r="QX205" s="412"/>
      <c r="QY205" s="412"/>
      <c r="QZ205" s="412"/>
      <c r="RA205" s="412"/>
      <c r="RB205" s="412"/>
      <c r="RC205" s="412"/>
      <c r="RD205" s="412"/>
      <c r="RE205" s="412"/>
      <c r="RF205" s="412"/>
      <c r="RG205" s="412"/>
      <c r="RH205" s="412"/>
      <c r="RI205" s="412"/>
      <c r="RJ205" s="412"/>
      <c r="RK205" s="412"/>
      <c r="RL205" s="412"/>
      <c r="RM205" s="412"/>
      <c r="RN205" s="412"/>
      <c r="RO205" s="412"/>
      <c r="RP205" s="412"/>
      <c r="RQ205" s="412"/>
      <c r="RR205" s="412"/>
      <c r="RS205" s="412"/>
      <c r="RT205" s="412"/>
      <c r="RU205" s="412"/>
      <c r="RV205" s="412"/>
      <c r="RW205" s="412"/>
      <c r="RX205" s="412"/>
      <c r="RY205" s="412"/>
      <c r="RZ205" s="412"/>
      <c r="SA205" s="412"/>
      <c r="SB205" s="412"/>
      <c r="SC205" s="412"/>
      <c r="SD205" s="412"/>
      <c r="SE205" s="412"/>
      <c r="SF205" s="412"/>
      <c r="SG205" s="412"/>
      <c r="SH205" s="412"/>
      <c r="SI205" s="412"/>
      <c r="SJ205" s="412"/>
      <c r="SK205" s="412"/>
      <c r="SL205" s="412"/>
      <c r="SM205" s="412"/>
      <c r="SN205" s="412"/>
      <c r="SO205" s="412"/>
      <c r="SP205" s="412"/>
      <c r="SQ205" s="412"/>
      <c r="SR205" s="412"/>
      <c r="SS205" s="412"/>
      <c r="ST205" s="412"/>
      <c r="SU205" s="412"/>
      <c r="SV205" s="412"/>
      <c r="SW205" s="412"/>
      <c r="SX205" s="412"/>
      <c r="SY205" s="412"/>
      <c r="SZ205" s="412"/>
      <c r="TA205" s="412"/>
      <c r="TB205" s="412"/>
      <c r="TC205" s="412"/>
      <c r="TD205" s="412"/>
      <c r="TE205" s="412"/>
      <c r="TF205" s="412"/>
      <c r="TG205" s="412"/>
      <c r="TH205" s="412"/>
      <c r="TI205" s="412"/>
      <c r="TJ205" s="412"/>
      <c r="TK205" s="412"/>
      <c r="TL205" s="412"/>
      <c r="TM205" s="412"/>
      <c r="TN205" s="412"/>
      <c r="TO205" s="412"/>
      <c r="TP205" s="412"/>
      <c r="TQ205" s="412"/>
      <c r="TR205" s="412"/>
      <c r="TS205" s="412"/>
      <c r="TT205" s="412"/>
      <c r="TU205" s="412"/>
      <c r="TV205" s="412"/>
      <c r="TW205" s="412"/>
      <c r="TX205" s="412"/>
      <c r="TY205" s="412"/>
      <c r="TZ205" s="412"/>
      <c r="UA205" s="412"/>
      <c r="UB205" s="412"/>
      <c r="UC205" s="412"/>
      <c r="UD205" s="412"/>
      <c r="UE205" s="412"/>
      <c r="UF205" s="412"/>
      <c r="UG205" s="412"/>
      <c r="UH205" s="412"/>
      <c r="UI205" s="412"/>
      <c r="UJ205" s="412"/>
      <c r="UK205" s="412"/>
      <c r="UL205" s="412"/>
      <c r="UM205" s="412"/>
      <c r="UN205" s="412"/>
      <c r="UO205" s="412"/>
      <c r="UP205" s="412"/>
      <c r="UQ205" s="412"/>
      <c r="UR205" s="412"/>
      <c r="US205" s="412"/>
      <c r="UT205" s="412"/>
      <c r="UU205" s="412"/>
      <c r="UV205" s="412"/>
      <c r="UW205" s="412"/>
      <c r="UX205" s="412"/>
      <c r="UY205" s="412"/>
      <c r="UZ205" s="412"/>
      <c r="VA205" s="412"/>
      <c r="VB205" s="412"/>
      <c r="VC205" s="412"/>
      <c r="VD205" s="412"/>
      <c r="VE205" s="412"/>
      <c r="VF205" s="412"/>
      <c r="VG205" s="412"/>
      <c r="VH205" s="412"/>
      <c r="VI205" s="412"/>
      <c r="VJ205" s="412"/>
      <c r="VK205" s="412"/>
      <c r="VL205" s="412"/>
      <c r="VM205" s="412"/>
      <c r="VN205" s="412"/>
      <c r="VO205" s="412"/>
      <c r="VP205" s="412"/>
      <c r="VQ205" s="412"/>
      <c r="VR205" s="412"/>
      <c r="VS205" s="412"/>
      <c r="VT205" s="412"/>
      <c r="VU205" s="412"/>
      <c r="VV205" s="412"/>
      <c r="VW205" s="412"/>
      <c r="VX205" s="412"/>
      <c r="VY205" s="412"/>
      <c r="VZ205" s="412"/>
      <c r="WA205" s="412"/>
      <c r="WB205" s="412"/>
      <c r="WC205" s="412"/>
      <c r="WD205" s="412"/>
      <c r="WE205" s="412"/>
      <c r="WF205" s="412"/>
      <c r="WG205" s="412"/>
      <c r="WH205" s="412"/>
      <c r="WI205" s="412"/>
      <c r="WJ205" s="412"/>
      <c r="WK205" s="412"/>
      <c r="WL205" s="412"/>
      <c r="WM205" s="412"/>
      <c r="WN205" s="412"/>
      <c r="WO205" s="412"/>
      <c r="WP205" s="412"/>
      <c r="WQ205" s="412"/>
      <c r="WR205" s="412"/>
      <c r="WS205" s="412"/>
      <c r="WT205" s="412"/>
      <c r="WU205" s="412"/>
      <c r="WV205" s="412"/>
      <c r="WW205" s="412"/>
      <c r="WX205" s="412"/>
      <c r="WY205" s="412"/>
      <c r="WZ205" s="412"/>
      <c r="XA205" s="412"/>
      <c r="XB205" s="412"/>
      <c r="XC205" s="412"/>
      <c r="XD205" s="412"/>
      <c r="XE205" s="412"/>
      <c r="XF205" s="412"/>
      <c r="XG205" s="412"/>
      <c r="XH205" s="412"/>
      <c r="XI205" s="412"/>
      <c r="XJ205" s="412"/>
      <c r="XK205" s="412"/>
      <c r="XL205" s="412"/>
      <c r="XM205" s="412"/>
      <c r="XN205" s="412"/>
      <c r="XO205" s="412"/>
      <c r="XP205" s="412"/>
      <c r="XQ205" s="412"/>
      <c r="XR205" s="412"/>
      <c r="XS205" s="412"/>
      <c r="XT205" s="412"/>
      <c r="XU205" s="412"/>
      <c r="XV205" s="412"/>
      <c r="XW205" s="412"/>
      <c r="XX205" s="412"/>
      <c r="XY205" s="412"/>
      <c r="XZ205" s="412"/>
      <c r="YA205" s="412"/>
      <c r="YB205" s="412"/>
      <c r="YC205" s="412"/>
      <c r="YD205" s="412"/>
      <c r="YE205" s="412"/>
      <c r="YF205" s="412"/>
      <c r="YG205" s="412"/>
      <c r="YH205" s="412"/>
      <c r="YI205" s="412"/>
      <c r="YJ205" s="412"/>
      <c r="YK205" s="412"/>
      <c r="YL205" s="412"/>
      <c r="YM205" s="412"/>
      <c r="YN205" s="412"/>
      <c r="YO205" s="412"/>
      <c r="YP205" s="412"/>
      <c r="YQ205" s="412"/>
      <c r="YR205" s="412"/>
      <c r="YS205" s="412"/>
      <c r="YT205" s="412"/>
      <c r="YU205" s="412"/>
      <c r="YV205" s="412"/>
      <c r="YW205" s="412"/>
      <c r="YX205" s="412"/>
      <c r="YY205" s="412"/>
      <c r="YZ205" s="412"/>
      <c r="ZA205" s="412"/>
      <c r="ZB205" s="412"/>
      <c r="ZC205" s="412"/>
      <c r="ZD205" s="412"/>
      <c r="ZE205" s="412"/>
      <c r="ZF205" s="412"/>
      <c r="ZG205" s="412"/>
      <c r="ZH205" s="412"/>
      <c r="ZI205" s="412"/>
      <c r="ZJ205" s="412"/>
      <c r="ZK205" s="412"/>
      <c r="ZL205" s="412"/>
      <c r="ZM205" s="412"/>
      <c r="ZN205" s="412"/>
      <c r="ZO205" s="412"/>
      <c r="ZP205" s="412"/>
      <c r="ZQ205" s="412"/>
      <c r="ZR205" s="412"/>
      <c r="ZS205" s="412"/>
      <c r="ZT205" s="412"/>
      <c r="ZU205" s="412"/>
      <c r="ZV205" s="412"/>
      <c r="ZW205" s="412"/>
      <c r="ZX205" s="412"/>
      <c r="ZY205" s="412"/>
      <c r="ZZ205" s="412"/>
      <c r="AAA205" s="412"/>
      <c r="AAB205" s="412"/>
      <c r="AAC205" s="412"/>
      <c r="AAD205" s="412"/>
      <c r="AAE205" s="412"/>
      <c r="AAF205" s="412"/>
      <c r="AAG205" s="412"/>
      <c r="AAH205" s="412"/>
      <c r="AAI205" s="412"/>
      <c r="AAJ205" s="412"/>
      <c r="AAK205" s="412"/>
      <c r="AAL205" s="412"/>
      <c r="AAM205" s="412"/>
      <c r="AAN205" s="412"/>
      <c r="AAO205" s="412"/>
      <c r="AAP205" s="412"/>
      <c r="AAQ205" s="412"/>
      <c r="AAR205" s="412"/>
      <c r="AAS205" s="412"/>
      <c r="AAT205" s="412"/>
      <c r="AAU205" s="412"/>
      <c r="AAV205" s="412"/>
      <c r="AAW205" s="412"/>
      <c r="AAX205" s="412"/>
      <c r="AAY205" s="412"/>
      <c r="AAZ205" s="412"/>
      <c r="ABA205" s="412"/>
      <c r="ABB205" s="412"/>
      <c r="ABC205" s="412"/>
      <c r="ABD205" s="412"/>
      <c r="ABE205" s="412"/>
      <c r="ABF205" s="412"/>
      <c r="ABG205" s="412"/>
      <c r="ABH205" s="412"/>
      <c r="ABI205" s="412"/>
      <c r="ABJ205" s="412"/>
      <c r="ABK205" s="412"/>
      <c r="ABL205" s="412"/>
      <c r="ABM205" s="412"/>
      <c r="ABN205" s="412"/>
      <c r="ABO205" s="412"/>
      <c r="ABP205" s="412"/>
      <c r="ABQ205" s="412"/>
      <c r="ABR205" s="412"/>
      <c r="ABS205" s="412"/>
      <c r="ABT205" s="412"/>
      <c r="ABU205" s="412"/>
      <c r="ABV205" s="412"/>
      <c r="ABW205" s="412"/>
      <c r="ABX205" s="412"/>
      <c r="ABY205" s="412"/>
      <c r="ABZ205" s="412"/>
      <c r="ACA205" s="412"/>
      <c r="ACB205" s="412"/>
      <c r="ACC205" s="412"/>
      <c r="ACD205" s="412"/>
      <c r="ACE205" s="412"/>
      <c r="ACF205" s="412"/>
      <c r="ACG205" s="412"/>
      <c r="ACH205" s="412"/>
      <c r="ACI205" s="412"/>
      <c r="ACJ205" s="412"/>
      <c r="ACK205" s="412"/>
      <c r="ACL205" s="412"/>
      <c r="ACM205" s="412"/>
      <c r="ACN205" s="412"/>
      <c r="ACO205" s="412"/>
      <c r="ACP205" s="412"/>
      <c r="ACQ205" s="412"/>
      <c r="ACR205" s="412"/>
      <c r="ACS205" s="412"/>
      <c r="ACT205" s="412"/>
      <c r="ACU205" s="412"/>
      <c r="ACV205" s="412"/>
      <c r="ACW205" s="412"/>
      <c r="ACX205" s="412"/>
      <c r="ACY205" s="412"/>
      <c r="ACZ205" s="412"/>
      <c r="ADA205" s="412"/>
      <c r="ADB205" s="412"/>
      <c r="ADC205" s="412"/>
      <c r="ADD205" s="412"/>
      <c r="ADE205" s="412"/>
      <c r="ADF205" s="412"/>
      <c r="ADG205" s="412"/>
      <c r="ADH205" s="412"/>
      <c r="ADI205" s="412"/>
      <c r="ADJ205" s="412"/>
      <c r="ADK205" s="412"/>
      <c r="ADL205" s="412"/>
      <c r="ADM205" s="412"/>
      <c r="ADN205" s="412"/>
      <c r="ADO205" s="412"/>
      <c r="ADP205" s="412"/>
      <c r="ADQ205" s="412"/>
      <c r="ADR205" s="412"/>
      <c r="ADS205" s="412"/>
      <c r="ADT205" s="412"/>
      <c r="ADU205" s="412"/>
      <c r="ADV205" s="412"/>
      <c r="ADW205" s="412"/>
      <c r="ADX205" s="412"/>
      <c r="ADY205" s="412"/>
      <c r="ADZ205" s="412"/>
      <c r="AEA205" s="412"/>
      <c r="AEB205" s="412"/>
      <c r="AEC205" s="412"/>
      <c r="AED205" s="412"/>
      <c r="AEE205" s="412"/>
      <c r="AEF205" s="412"/>
      <c r="AEG205" s="412"/>
      <c r="AEH205" s="412"/>
      <c r="AEI205" s="412"/>
      <c r="AEJ205" s="412"/>
      <c r="AEK205" s="412"/>
      <c r="AEL205" s="412"/>
      <c r="AEM205" s="412"/>
      <c r="AEN205" s="412"/>
      <c r="AEO205" s="412"/>
      <c r="AEP205" s="412"/>
      <c r="AEQ205" s="412"/>
      <c r="AER205" s="412"/>
      <c r="AES205" s="412"/>
      <c r="AET205" s="412"/>
      <c r="AEU205" s="412"/>
      <c r="AEV205" s="412"/>
      <c r="AEW205" s="412"/>
      <c r="AEX205" s="412"/>
      <c r="AEY205" s="412"/>
      <c r="AEZ205" s="412"/>
      <c r="AFA205" s="412"/>
      <c r="AFB205" s="412"/>
      <c r="AFC205" s="412"/>
      <c r="AFD205" s="412"/>
      <c r="AFE205" s="412"/>
      <c r="AFF205" s="412"/>
      <c r="AFG205" s="412"/>
      <c r="AFH205" s="412"/>
      <c r="AFI205" s="412"/>
      <c r="AFJ205" s="412"/>
      <c r="AFK205" s="412"/>
      <c r="AFL205" s="412"/>
      <c r="AFM205" s="412"/>
      <c r="AFN205" s="412"/>
      <c r="AFO205" s="412"/>
      <c r="AFP205" s="412"/>
      <c r="AFQ205" s="412"/>
      <c r="AFR205" s="412"/>
      <c r="AFS205" s="412"/>
      <c r="AFT205" s="412"/>
      <c r="AFU205" s="412"/>
      <c r="AFV205" s="412"/>
      <c r="AFW205" s="412"/>
      <c r="AFX205" s="412"/>
      <c r="AFY205" s="412"/>
      <c r="AFZ205" s="412"/>
      <c r="AGA205" s="412"/>
      <c r="AGB205" s="412"/>
      <c r="AGC205" s="412"/>
      <c r="AGD205" s="412"/>
      <c r="AGE205" s="412"/>
      <c r="AGF205" s="412"/>
      <c r="AGG205" s="412"/>
      <c r="AGH205" s="412"/>
      <c r="AGI205" s="412"/>
      <c r="AGJ205" s="412"/>
      <c r="AGK205" s="412"/>
      <c r="AGL205" s="412"/>
      <c r="AGM205" s="412"/>
      <c r="AGN205" s="412"/>
      <c r="AGO205" s="412"/>
      <c r="AGP205" s="412"/>
      <c r="AGQ205" s="412"/>
      <c r="AGR205" s="412"/>
      <c r="AGS205" s="412"/>
      <c r="AGT205" s="412"/>
      <c r="AGU205" s="412"/>
      <c r="AGV205" s="412"/>
      <c r="AGW205" s="412"/>
      <c r="AGX205" s="412"/>
      <c r="AGY205" s="412"/>
      <c r="AGZ205" s="412"/>
      <c r="AHA205" s="412"/>
      <c r="AHB205" s="412"/>
      <c r="AHC205" s="412"/>
      <c r="AHD205" s="412"/>
      <c r="AHE205" s="412"/>
      <c r="AHF205" s="412"/>
      <c r="AHG205" s="412"/>
      <c r="AHH205" s="412"/>
      <c r="AHI205" s="412"/>
      <c r="AHJ205" s="412"/>
      <c r="AHK205" s="412"/>
      <c r="AHL205" s="412"/>
      <c r="AHM205" s="412"/>
      <c r="AHN205" s="412"/>
      <c r="AHO205" s="412"/>
      <c r="AHP205" s="412"/>
      <c r="AHQ205" s="412"/>
      <c r="AHR205" s="412"/>
      <c r="AHS205" s="412"/>
      <c r="AHT205" s="412"/>
      <c r="AHU205" s="412"/>
      <c r="AHV205" s="412"/>
      <c r="AHW205" s="412"/>
      <c r="AHX205" s="412"/>
      <c r="AHY205" s="412"/>
      <c r="AHZ205" s="412"/>
      <c r="AIA205" s="412"/>
      <c r="AIB205" s="412"/>
      <c r="AIC205" s="412"/>
      <c r="AID205" s="412"/>
      <c r="AIE205" s="412"/>
      <c r="AIF205" s="412"/>
      <c r="AIG205" s="412"/>
      <c r="AIH205" s="412"/>
      <c r="AII205" s="412"/>
      <c r="AIJ205" s="412"/>
      <c r="AIK205" s="412"/>
      <c r="AIL205" s="412"/>
      <c r="AIM205" s="412"/>
      <c r="AIN205" s="412"/>
      <c r="AIO205" s="412"/>
      <c r="AIP205" s="412"/>
      <c r="AIQ205" s="412"/>
      <c r="AIR205" s="412"/>
      <c r="AIS205" s="412"/>
      <c r="AIT205" s="412"/>
      <c r="AIU205" s="412"/>
      <c r="AIV205" s="412"/>
      <c r="AIW205" s="412"/>
      <c r="AIX205" s="412"/>
      <c r="AIY205" s="412"/>
      <c r="AIZ205" s="412"/>
      <c r="AJA205" s="412"/>
      <c r="AJB205" s="412"/>
      <c r="AJC205" s="412"/>
      <c r="AJD205" s="412"/>
      <c r="AJE205" s="412"/>
      <c r="AJF205" s="412"/>
      <c r="AJG205" s="412"/>
      <c r="AJH205" s="412"/>
      <c r="AJI205" s="412"/>
      <c r="AJJ205" s="412"/>
      <c r="AJK205" s="412"/>
      <c r="AJL205" s="412"/>
      <c r="AJM205" s="412"/>
      <c r="AJN205" s="412"/>
      <c r="AJO205" s="412"/>
      <c r="AJP205" s="412"/>
      <c r="AJQ205" s="412"/>
      <c r="AJR205" s="412"/>
      <c r="AJS205" s="412"/>
      <c r="AJT205" s="412"/>
      <c r="AJU205" s="412"/>
      <c r="AJV205" s="412"/>
      <c r="AJW205" s="412"/>
      <c r="AJX205" s="412"/>
      <c r="AJY205" s="412"/>
      <c r="AJZ205" s="412"/>
      <c r="AKA205" s="412"/>
      <c r="AKB205" s="412"/>
      <c r="AKC205" s="412"/>
      <c r="AKD205" s="412"/>
      <c r="AKE205" s="412"/>
      <c r="AKF205" s="412"/>
      <c r="AKG205" s="412"/>
      <c r="AKH205" s="412"/>
      <c r="AKI205" s="412"/>
      <c r="AKJ205" s="412"/>
      <c r="AKK205" s="412"/>
      <c r="AKL205" s="412"/>
      <c r="AKM205" s="412"/>
      <c r="AKN205" s="412"/>
      <c r="AKO205" s="412"/>
      <c r="AKP205" s="412"/>
      <c r="AKQ205" s="412"/>
      <c r="AKR205" s="412"/>
      <c r="AKS205" s="412"/>
      <c r="AKT205" s="412"/>
      <c r="AKU205" s="412"/>
      <c r="AKV205" s="412"/>
      <c r="AKW205" s="412"/>
      <c r="AKX205" s="412"/>
      <c r="AKY205" s="412"/>
      <c r="AKZ205" s="412"/>
      <c r="ALA205" s="412"/>
      <c r="ALB205" s="412"/>
      <c r="ALC205" s="412"/>
      <c r="ALD205" s="412"/>
      <c r="ALE205" s="412"/>
      <c r="ALF205" s="412"/>
      <c r="ALG205" s="412"/>
      <c r="ALH205" s="412"/>
      <c r="ALI205" s="412"/>
      <c r="ALJ205" s="412"/>
      <c r="ALK205" s="412"/>
      <c r="ALL205" s="412"/>
      <c r="ALM205" s="412"/>
      <c r="ALN205" s="412"/>
      <c r="ALO205" s="412"/>
      <c r="ALP205" s="412"/>
      <c r="ALQ205" s="412"/>
      <c r="ALR205" s="412"/>
      <c r="ALS205" s="412"/>
      <c r="ALT205" s="412"/>
      <c r="ALU205" s="412"/>
      <c r="ALV205" s="412"/>
      <c r="ALW205" s="412"/>
      <c r="ALX205" s="412"/>
      <c r="ALY205" s="412"/>
      <c r="ALZ205" s="412"/>
      <c r="AMA205" s="412"/>
      <c r="AMB205" s="412"/>
      <c r="AMC205" s="412"/>
      <c r="AMD205" s="412"/>
      <c r="AME205" s="412"/>
      <c r="AMF205" s="412"/>
      <c r="AMG205" s="412"/>
      <c r="AMH205" s="412"/>
      <c r="AMI205" s="412"/>
      <c r="AMJ205" s="412"/>
      <c r="AMK205" s="412"/>
      <c r="AML205" s="412"/>
      <c r="AMM205" s="412"/>
      <c r="AMN205" s="412"/>
      <c r="AMO205" s="412"/>
      <c r="AMP205" s="412"/>
      <c r="AMQ205" s="412"/>
      <c r="AMR205" s="412"/>
      <c r="AMS205" s="412"/>
      <c r="AMT205" s="412"/>
      <c r="AMU205" s="412"/>
      <c r="AMV205" s="412"/>
      <c r="AMW205" s="412"/>
      <c r="AMX205" s="412"/>
      <c r="AMY205" s="412"/>
      <c r="AMZ205" s="412"/>
      <c r="ANA205" s="412"/>
      <c r="ANB205" s="412"/>
      <c r="ANC205" s="412"/>
      <c r="AND205" s="412"/>
      <c r="ANE205" s="412"/>
      <c r="ANF205" s="412"/>
      <c r="ANG205" s="412"/>
      <c r="ANH205" s="412"/>
      <c r="ANI205" s="412"/>
      <c r="ANJ205" s="412"/>
      <c r="ANK205" s="412"/>
      <c r="ANL205" s="412"/>
      <c r="ANM205" s="412"/>
      <c r="ANN205" s="412"/>
      <c r="ANO205" s="412"/>
      <c r="ANP205" s="412"/>
      <c r="ANQ205" s="412"/>
      <c r="ANR205" s="412"/>
      <c r="ANS205" s="412"/>
      <c r="ANT205" s="412"/>
      <c r="ANU205" s="412"/>
      <c r="ANV205" s="412"/>
      <c r="ANW205" s="412"/>
      <c r="ANX205" s="412"/>
      <c r="ANY205" s="412"/>
      <c r="ANZ205" s="412"/>
      <c r="AOA205" s="412"/>
      <c r="AOB205" s="412"/>
      <c r="AOC205" s="412"/>
      <c r="AOD205" s="412"/>
      <c r="AOE205" s="412"/>
      <c r="AOF205" s="412"/>
      <c r="AOG205" s="412"/>
      <c r="AOH205" s="412"/>
      <c r="AOI205" s="412"/>
      <c r="AOJ205" s="412"/>
      <c r="AOK205" s="412"/>
      <c r="AOL205" s="412"/>
      <c r="AOM205" s="412"/>
      <c r="AON205" s="412"/>
      <c r="AOO205" s="412"/>
      <c r="AOP205" s="412"/>
      <c r="AOQ205" s="412"/>
      <c r="AOR205" s="412"/>
      <c r="AOS205" s="412"/>
      <c r="AOT205" s="412"/>
      <c r="AOU205" s="412"/>
      <c r="AOV205" s="412"/>
      <c r="AOW205" s="412"/>
      <c r="AOX205" s="412"/>
      <c r="AOY205" s="412"/>
      <c r="AOZ205" s="412"/>
      <c r="APA205" s="412"/>
      <c r="APB205" s="412"/>
      <c r="APC205" s="412"/>
      <c r="APD205" s="412"/>
      <c r="APE205" s="412"/>
      <c r="APF205" s="412"/>
      <c r="APG205" s="412"/>
      <c r="APH205" s="412"/>
      <c r="API205" s="412"/>
      <c r="APJ205" s="412"/>
      <c r="APK205" s="412"/>
      <c r="APL205" s="412"/>
      <c r="APM205" s="412"/>
      <c r="APN205" s="412"/>
      <c r="APO205" s="412"/>
      <c r="APP205" s="412"/>
      <c r="APQ205" s="412"/>
      <c r="APR205" s="412"/>
      <c r="APS205" s="412"/>
      <c r="APT205" s="412"/>
      <c r="APU205" s="412"/>
      <c r="APV205" s="412"/>
      <c r="APW205" s="412"/>
      <c r="APX205" s="412"/>
      <c r="APY205" s="412"/>
      <c r="APZ205" s="412"/>
      <c r="AQA205" s="412"/>
      <c r="AQB205" s="412"/>
      <c r="AQC205" s="412"/>
      <c r="AQD205" s="412"/>
      <c r="AQE205" s="412"/>
      <c r="AQF205" s="412"/>
      <c r="AQG205" s="412"/>
      <c r="AQH205" s="412"/>
      <c r="AQI205" s="412"/>
      <c r="AQJ205" s="412"/>
      <c r="AQK205" s="412"/>
      <c r="AQL205" s="412"/>
      <c r="AQM205" s="412"/>
      <c r="AQN205" s="412"/>
      <c r="AQO205" s="412"/>
      <c r="AQP205" s="412"/>
      <c r="AQQ205" s="412"/>
      <c r="AQR205" s="412"/>
      <c r="AQS205" s="412"/>
      <c r="AQT205" s="412"/>
      <c r="AQU205" s="412"/>
      <c r="AQV205" s="412"/>
      <c r="AQW205" s="412"/>
      <c r="AQX205" s="412"/>
      <c r="AQY205" s="412"/>
      <c r="AQZ205" s="412"/>
      <c r="ARA205" s="412"/>
      <c r="ARB205" s="412"/>
      <c r="ARC205" s="412"/>
      <c r="ARD205" s="412"/>
      <c r="ARE205" s="412"/>
      <c r="ARF205" s="412"/>
      <c r="ARG205" s="412"/>
      <c r="ARH205" s="412"/>
      <c r="ARI205" s="412"/>
      <c r="ARJ205" s="412"/>
      <c r="ARK205" s="412"/>
      <c r="ARL205" s="412"/>
      <c r="ARM205" s="412"/>
      <c r="ARN205" s="412"/>
      <c r="ARO205" s="412"/>
      <c r="ARP205" s="412"/>
      <c r="ARQ205" s="412"/>
      <c r="ARR205" s="412"/>
      <c r="ARS205" s="412"/>
      <c r="ART205" s="412"/>
      <c r="ARU205" s="412"/>
      <c r="ARV205" s="412"/>
      <c r="ARW205" s="412"/>
      <c r="ARX205" s="412"/>
      <c r="ARY205" s="412"/>
      <c r="ARZ205" s="412"/>
      <c r="ASA205" s="412"/>
      <c r="ASB205" s="412"/>
      <c r="ASC205" s="412"/>
      <c r="ASD205" s="412"/>
      <c r="ASE205" s="412"/>
      <c r="ASF205" s="412"/>
      <c r="ASG205" s="412"/>
      <c r="ASH205" s="412"/>
      <c r="ASI205" s="412"/>
      <c r="ASJ205" s="412"/>
      <c r="ASK205" s="412"/>
      <c r="ASL205" s="412"/>
      <c r="ASM205" s="412"/>
      <c r="ASN205" s="412"/>
      <c r="ASO205" s="412"/>
      <c r="ASP205" s="412"/>
      <c r="ASQ205" s="412"/>
      <c r="ASR205" s="412"/>
      <c r="ASS205" s="412"/>
      <c r="AST205" s="412"/>
      <c r="ASU205" s="412"/>
      <c r="ASV205" s="412"/>
      <c r="ASW205" s="412"/>
      <c r="ASX205" s="412"/>
      <c r="ASY205" s="412"/>
      <c r="ASZ205" s="412"/>
      <c r="ATA205" s="412"/>
      <c r="ATB205" s="412"/>
      <c r="ATC205" s="412"/>
      <c r="ATD205" s="412"/>
      <c r="ATE205" s="412"/>
      <c r="ATF205" s="412"/>
      <c r="ATG205" s="412"/>
      <c r="ATH205" s="412"/>
      <c r="ATI205" s="412"/>
      <c r="ATJ205" s="412"/>
      <c r="ATK205" s="412"/>
      <c r="ATL205" s="412"/>
      <c r="ATM205" s="412"/>
      <c r="ATN205" s="412"/>
      <c r="ATO205" s="412"/>
      <c r="ATP205" s="412"/>
      <c r="ATQ205" s="412"/>
      <c r="ATR205" s="412"/>
      <c r="ATS205" s="412"/>
      <c r="ATT205" s="412"/>
      <c r="ATU205" s="412"/>
      <c r="ATV205" s="412"/>
      <c r="ATW205" s="412"/>
      <c r="ATX205" s="412"/>
      <c r="ATY205" s="412"/>
      <c r="ATZ205" s="412"/>
      <c r="AUA205" s="412"/>
      <c r="AUB205" s="412"/>
      <c r="AUC205" s="412"/>
      <c r="AUD205" s="412"/>
      <c r="AUE205" s="412"/>
      <c r="AUF205" s="412"/>
      <c r="AUG205" s="412"/>
      <c r="AUH205" s="412"/>
      <c r="AUI205" s="412"/>
      <c r="AUJ205" s="412"/>
      <c r="AUK205" s="412"/>
      <c r="AUL205" s="412"/>
      <c r="AUM205" s="412"/>
      <c r="AUN205" s="412"/>
      <c r="AUO205" s="412"/>
      <c r="AUP205" s="412"/>
      <c r="AUQ205" s="412"/>
      <c r="AUR205" s="412"/>
      <c r="AUS205" s="412"/>
      <c r="AUT205" s="412"/>
      <c r="AUU205" s="412"/>
      <c r="AUV205" s="412"/>
      <c r="AUW205" s="412"/>
      <c r="AUX205" s="412"/>
      <c r="AUY205" s="412"/>
      <c r="AUZ205" s="412"/>
      <c r="AVA205" s="412"/>
      <c r="AVB205" s="412"/>
      <c r="AVC205" s="412"/>
      <c r="AVD205" s="412"/>
      <c r="AVE205" s="412"/>
      <c r="AVF205" s="412"/>
      <c r="AVG205" s="412"/>
      <c r="AVH205" s="412"/>
      <c r="AVI205" s="412"/>
      <c r="AVJ205" s="412"/>
      <c r="AVK205" s="412"/>
      <c r="AVL205" s="412"/>
      <c r="AVM205" s="412"/>
      <c r="AVN205" s="412"/>
      <c r="AVO205" s="412"/>
      <c r="AVP205" s="412"/>
      <c r="AVQ205" s="412"/>
      <c r="AVR205" s="412"/>
      <c r="AVS205" s="412"/>
      <c r="AVT205" s="412"/>
      <c r="AVU205" s="412"/>
      <c r="AVV205" s="412"/>
      <c r="AVW205" s="412"/>
      <c r="AVX205" s="412"/>
      <c r="AVY205" s="412"/>
      <c r="AVZ205" s="412"/>
      <c r="AWA205" s="412"/>
      <c r="AWB205" s="412"/>
      <c r="AWC205" s="412"/>
      <c r="AWD205" s="412"/>
      <c r="AWE205" s="412"/>
      <c r="AWF205" s="412"/>
      <c r="AWG205" s="412"/>
      <c r="AWH205" s="412"/>
      <c r="AWI205" s="412"/>
      <c r="AWJ205" s="412"/>
      <c r="AWK205" s="412"/>
      <c r="AWL205" s="412"/>
      <c r="AWM205" s="412"/>
      <c r="AWN205" s="412"/>
      <c r="AWO205" s="412"/>
      <c r="AWP205" s="412"/>
      <c r="AWQ205" s="412"/>
      <c r="AWR205" s="412"/>
      <c r="AWS205" s="412"/>
      <c r="AWT205" s="412"/>
      <c r="AWU205" s="412"/>
      <c r="AWV205" s="412"/>
      <c r="AWW205" s="412"/>
      <c r="AWX205" s="412"/>
      <c r="AWY205" s="412"/>
      <c r="AWZ205" s="412"/>
      <c r="AXA205" s="412"/>
      <c r="AXB205" s="412"/>
      <c r="AXC205" s="412"/>
      <c r="AXD205" s="412"/>
      <c r="AXE205" s="412"/>
      <c r="AXF205" s="412"/>
      <c r="AXG205" s="412"/>
      <c r="AXH205" s="412"/>
      <c r="AXI205" s="412"/>
      <c r="AXJ205" s="412"/>
      <c r="AXK205" s="412"/>
      <c r="AXL205" s="412"/>
      <c r="AXM205" s="412"/>
      <c r="AXN205" s="412"/>
      <c r="AXO205" s="412"/>
      <c r="AXP205" s="412"/>
      <c r="AXQ205" s="412"/>
      <c r="AXR205" s="412"/>
      <c r="AXS205" s="412"/>
      <c r="AXT205" s="412"/>
      <c r="AXU205" s="412"/>
      <c r="AXV205" s="412"/>
      <c r="AXW205" s="412"/>
      <c r="AXX205" s="412"/>
      <c r="AXY205" s="412"/>
      <c r="AXZ205" s="412"/>
      <c r="AYA205" s="412"/>
      <c r="AYB205" s="412"/>
      <c r="AYC205" s="412"/>
      <c r="AYD205" s="412"/>
      <c r="AYE205" s="412"/>
      <c r="AYF205" s="412"/>
      <c r="AYG205" s="412"/>
      <c r="AYH205" s="412"/>
      <c r="AYI205" s="412"/>
      <c r="AYJ205" s="412"/>
      <c r="AYK205" s="412"/>
      <c r="AYL205" s="412"/>
      <c r="AYM205" s="412"/>
      <c r="AYN205" s="412"/>
      <c r="AYO205" s="412"/>
      <c r="AYP205" s="412"/>
      <c r="AYQ205" s="412"/>
      <c r="AYR205" s="412"/>
      <c r="AYS205" s="412"/>
      <c r="AYT205" s="412"/>
      <c r="AYU205" s="412"/>
      <c r="AYV205" s="412"/>
      <c r="AYW205" s="412"/>
      <c r="AYX205" s="412"/>
      <c r="AYY205" s="412"/>
      <c r="AYZ205" s="412"/>
      <c r="AZA205" s="412"/>
      <c r="AZB205" s="412"/>
      <c r="AZC205" s="412"/>
      <c r="AZD205" s="412"/>
      <c r="AZE205" s="412"/>
      <c r="AZF205" s="412"/>
      <c r="AZG205" s="412"/>
      <c r="AZH205" s="412"/>
      <c r="AZI205" s="412"/>
      <c r="AZJ205" s="412"/>
      <c r="AZK205" s="412"/>
      <c r="AZL205" s="412"/>
      <c r="AZM205" s="412"/>
      <c r="AZN205" s="412"/>
      <c r="AZO205" s="412"/>
      <c r="AZP205" s="412"/>
      <c r="AZQ205" s="412"/>
      <c r="AZR205" s="412"/>
      <c r="AZS205" s="412"/>
      <c r="AZT205" s="412"/>
      <c r="AZU205" s="412"/>
      <c r="AZV205" s="412"/>
      <c r="AZW205" s="412"/>
      <c r="AZX205" s="412"/>
      <c r="AZY205" s="412"/>
      <c r="AZZ205" s="412"/>
      <c r="BAA205" s="412"/>
      <c r="BAB205" s="412"/>
      <c r="BAC205" s="412"/>
      <c r="BAD205" s="412"/>
      <c r="BAE205" s="412"/>
      <c r="BAF205" s="412"/>
      <c r="BAG205" s="412"/>
      <c r="BAH205" s="412"/>
      <c r="BAI205" s="412"/>
      <c r="BAJ205" s="412"/>
      <c r="BAK205" s="412"/>
      <c r="BAL205" s="412"/>
      <c r="BAM205" s="412"/>
      <c r="BAN205" s="412"/>
      <c r="BAO205" s="412"/>
      <c r="BAP205" s="412"/>
      <c r="BAQ205" s="412"/>
      <c r="BAR205" s="412"/>
      <c r="BAS205" s="412"/>
      <c r="BAT205" s="412"/>
      <c r="BAU205" s="412"/>
      <c r="BAV205" s="412"/>
      <c r="BAW205" s="412"/>
      <c r="BAX205" s="412"/>
      <c r="BAY205" s="412"/>
      <c r="BAZ205" s="412"/>
      <c r="BBA205" s="412"/>
      <c r="BBB205" s="412"/>
      <c r="BBC205" s="412"/>
      <c r="BBD205" s="412"/>
      <c r="BBE205" s="412"/>
      <c r="BBF205" s="412"/>
      <c r="BBG205" s="412"/>
      <c r="BBH205" s="412"/>
      <c r="BBI205" s="412"/>
      <c r="BBJ205" s="412"/>
      <c r="BBK205" s="412"/>
      <c r="BBL205" s="412"/>
      <c r="BBM205" s="412"/>
      <c r="BBN205" s="412"/>
      <c r="BBO205" s="412"/>
      <c r="BBP205" s="412"/>
      <c r="BBQ205" s="412"/>
      <c r="BBR205" s="412"/>
      <c r="BBS205" s="412"/>
      <c r="BBT205" s="412"/>
      <c r="BBU205" s="412"/>
      <c r="BBV205" s="412"/>
      <c r="BBW205" s="412"/>
      <c r="BBX205" s="412"/>
      <c r="BBY205" s="412"/>
      <c r="BBZ205" s="412"/>
      <c r="BCA205" s="412"/>
      <c r="BCB205" s="412"/>
      <c r="BCC205" s="412"/>
      <c r="BCD205" s="412"/>
      <c r="BCE205" s="412"/>
      <c r="BCF205" s="412"/>
      <c r="BCG205" s="412"/>
      <c r="BCH205" s="412"/>
      <c r="BCI205" s="412"/>
      <c r="BCJ205" s="412"/>
      <c r="BCK205" s="412"/>
      <c r="BCL205" s="412"/>
      <c r="BCM205" s="412"/>
      <c r="BCN205" s="412"/>
      <c r="BCO205" s="412"/>
      <c r="BCP205" s="412"/>
      <c r="BCQ205" s="412"/>
      <c r="BCR205" s="412"/>
      <c r="BCS205" s="412"/>
      <c r="BCT205" s="412"/>
      <c r="BCU205" s="412"/>
      <c r="BCV205" s="412"/>
      <c r="BCW205" s="412"/>
      <c r="BCX205" s="412"/>
      <c r="BCY205" s="412"/>
      <c r="BCZ205" s="412"/>
      <c r="BDA205" s="412"/>
      <c r="BDB205" s="412"/>
      <c r="BDC205" s="412"/>
      <c r="BDD205" s="412"/>
      <c r="BDE205" s="412"/>
      <c r="BDF205" s="412"/>
      <c r="BDG205" s="412"/>
      <c r="BDH205" s="412"/>
      <c r="BDI205" s="412"/>
      <c r="BDJ205" s="412"/>
      <c r="BDK205" s="412"/>
      <c r="BDL205" s="412"/>
      <c r="BDM205" s="412"/>
      <c r="BDN205" s="412"/>
      <c r="BDO205" s="412"/>
      <c r="BDP205" s="412"/>
      <c r="BDQ205" s="412"/>
      <c r="BDR205" s="412"/>
      <c r="BDS205" s="412"/>
      <c r="BDT205" s="412"/>
      <c r="BDU205" s="412"/>
      <c r="BDV205" s="412"/>
      <c r="BDW205" s="412"/>
      <c r="BDX205" s="412"/>
      <c r="BDY205" s="412"/>
      <c r="BDZ205" s="412"/>
      <c r="BEA205" s="412"/>
      <c r="BEB205" s="412"/>
      <c r="BEC205" s="412"/>
      <c r="BED205" s="412"/>
      <c r="BEE205" s="412"/>
      <c r="BEF205" s="412"/>
      <c r="BEG205" s="412"/>
      <c r="BEH205" s="412"/>
      <c r="BEI205" s="412"/>
      <c r="BEJ205" s="412"/>
      <c r="BEK205" s="412"/>
      <c r="BEL205" s="412"/>
      <c r="BEM205" s="412"/>
      <c r="BEN205" s="412"/>
      <c r="BEO205" s="412"/>
      <c r="BEP205" s="412"/>
      <c r="BEQ205" s="412"/>
      <c r="BER205" s="412"/>
      <c r="BES205" s="412"/>
      <c r="BET205" s="412"/>
      <c r="BEU205" s="412"/>
      <c r="BEV205" s="412"/>
      <c r="BEW205" s="412"/>
      <c r="BEX205" s="412"/>
      <c r="BEY205" s="412"/>
      <c r="BEZ205" s="412"/>
      <c r="BFA205" s="412"/>
      <c r="BFB205" s="412"/>
      <c r="BFC205" s="412"/>
      <c r="BFD205" s="412"/>
      <c r="BFE205" s="412"/>
      <c r="BFF205" s="412"/>
      <c r="BFG205" s="412"/>
      <c r="BFH205" s="412"/>
      <c r="BFI205" s="412"/>
      <c r="BFJ205" s="412"/>
      <c r="BFK205" s="412"/>
      <c r="BFL205" s="412"/>
      <c r="BFM205" s="412"/>
      <c r="BFN205" s="412"/>
      <c r="BFO205" s="412"/>
      <c r="BFP205" s="412"/>
      <c r="BFQ205" s="412"/>
      <c r="BFR205" s="412"/>
      <c r="BFS205" s="412"/>
      <c r="BFT205" s="412"/>
      <c r="BFU205" s="412"/>
      <c r="BFV205" s="412"/>
      <c r="BFW205" s="412"/>
      <c r="BFX205" s="412"/>
      <c r="BFY205" s="412"/>
      <c r="BFZ205" s="412"/>
      <c r="BGA205" s="412"/>
      <c r="BGB205" s="412"/>
      <c r="BGC205" s="412"/>
      <c r="BGD205" s="412"/>
      <c r="BGE205" s="412"/>
      <c r="BGF205" s="412"/>
      <c r="BGG205" s="412"/>
      <c r="BGH205" s="412"/>
      <c r="BGI205" s="412"/>
      <c r="BGJ205" s="412"/>
      <c r="BGK205" s="412"/>
      <c r="BGL205" s="412"/>
      <c r="BGM205" s="412"/>
      <c r="BGN205" s="412"/>
      <c r="BGO205" s="412"/>
      <c r="BGP205" s="412"/>
      <c r="BGQ205" s="412"/>
      <c r="BGR205" s="412"/>
      <c r="BGS205" s="412"/>
      <c r="BGT205" s="412"/>
      <c r="BGU205" s="412"/>
      <c r="BGV205" s="412"/>
      <c r="BGW205" s="412"/>
      <c r="BGX205" s="412"/>
      <c r="BGY205" s="412"/>
      <c r="BGZ205" s="412"/>
      <c r="BHA205" s="412"/>
      <c r="BHB205" s="412"/>
      <c r="BHC205" s="412"/>
      <c r="BHD205" s="412"/>
      <c r="BHE205" s="412"/>
      <c r="BHF205" s="412"/>
      <c r="BHG205" s="412"/>
      <c r="BHH205" s="412"/>
      <c r="BHI205" s="412"/>
      <c r="BHJ205" s="412"/>
      <c r="BHK205" s="412"/>
      <c r="BHL205" s="412"/>
      <c r="BHM205" s="412"/>
      <c r="BHN205" s="412"/>
      <c r="BHO205" s="412"/>
      <c r="BHP205" s="412"/>
      <c r="BHQ205" s="412"/>
      <c r="BHR205" s="412"/>
      <c r="BHS205" s="412"/>
      <c r="BHT205" s="412"/>
      <c r="BHU205" s="412"/>
      <c r="BHV205" s="412"/>
      <c r="BHW205" s="412"/>
      <c r="BHX205" s="412"/>
      <c r="BHY205" s="412"/>
      <c r="BHZ205" s="412"/>
      <c r="BIA205" s="412"/>
      <c r="BIB205" s="412"/>
      <c r="BIC205" s="412"/>
      <c r="BID205" s="412"/>
      <c r="BIE205" s="412"/>
      <c r="BIF205" s="412"/>
      <c r="BIG205" s="412"/>
      <c r="BIH205" s="412"/>
      <c r="BII205" s="412"/>
      <c r="BIJ205" s="412"/>
      <c r="BIK205" s="412"/>
      <c r="BIL205" s="412"/>
      <c r="BIM205" s="412"/>
      <c r="BIN205" s="412"/>
      <c r="BIO205" s="412"/>
      <c r="BIP205" s="412"/>
      <c r="BIQ205" s="412"/>
      <c r="BIR205" s="412"/>
      <c r="BIS205" s="412"/>
      <c r="BIT205" s="412"/>
      <c r="BIU205" s="412"/>
      <c r="BIV205" s="412"/>
      <c r="BIW205" s="412"/>
      <c r="BIX205" s="412"/>
      <c r="BIY205" s="412"/>
      <c r="BIZ205" s="412"/>
      <c r="BJA205" s="412"/>
      <c r="BJB205" s="412"/>
      <c r="BJC205" s="412"/>
      <c r="BJD205" s="412"/>
      <c r="BJE205" s="412"/>
      <c r="BJF205" s="412"/>
      <c r="BJG205" s="412"/>
      <c r="BJH205" s="412"/>
      <c r="BJI205" s="412"/>
      <c r="BJJ205" s="412"/>
      <c r="BJK205" s="412"/>
      <c r="BJL205" s="412"/>
      <c r="BJM205" s="412"/>
      <c r="BJN205" s="412"/>
      <c r="BJO205" s="412"/>
      <c r="BJP205" s="412"/>
      <c r="BJQ205" s="412"/>
      <c r="BJR205" s="412"/>
      <c r="BJS205" s="412"/>
      <c r="BJT205" s="412"/>
      <c r="BJU205" s="412"/>
      <c r="BJV205" s="412"/>
      <c r="BJW205" s="412"/>
      <c r="BJX205" s="412"/>
      <c r="BJY205" s="412"/>
      <c r="BJZ205" s="412"/>
      <c r="BKA205" s="412"/>
      <c r="BKB205" s="412"/>
      <c r="BKC205" s="412"/>
      <c r="BKD205" s="412"/>
      <c r="BKE205" s="412"/>
      <c r="BKF205" s="412"/>
      <c r="BKG205" s="412"/>
      <c r="BKH205" s="412"/>
      <c r="BKI205" s="412"/>
      <c r="BKJ205" s="412"/>
      <c r="BKK205" s="412"/>
      <c r="BKL205" s="412"/>
      <c r="BKM205" s="412"/>
      <c r="BKN205" s="412"/>
      <c r="BKO205" s="412"/>
      <c r="BKP205" s="412"/>
      <c r="BKQ205" s="412"/>
      <c r="BKR205" s="412"/>
      <c r="BKS205" s="412"/>
      <c r="BKT205" s="412"/>
      <c r="BKU205" s="412"/>
      <c r="BKV205" s="412"/>
      <c r="BKW205" s="412"/>
      <c r="BKX205" s="412"/>
      <c r="BKY205" s="412"/>
      <c r="BKZ205" s="412"/>
      <c r="BLA205" s="412"/>
      <c r="BLB205" s="412"/>
      <c r="BLC205" s="412"/>
      <c r="BLD205" s="412"/>
      <c r="BLE205" s="412"/>
      <c r="BLF205" s="412"/>
      <c r="BLG205" s="412"/>
      <c r="BLH205" s="412"/>
      <c r="BLI205" s="412"/>
      <c r="BLJ205" s="412"/>
      <c r="BLK205" s="412"/>
      <c r="BLL205" s="412"/>
      <c r="BLM205" s="412"/>
      <c r="BLN205" s="412"/>
      <c r="BLO205" s="412"/>
      <c r="BLP205" s="412"/>
      <c r="BLQ205" s="412"/>
      <c r="BLR205" s="412"/>
      <c r="BLS205" s="412"/>
      <c r="BLT205" s="412"/>
      <c r="BLU205" s="412"/>
      <c r="BLV205" s="412"/>
      <c r="BLW205" s="412"/>
      <c r="BLX205" s="412"/>
      <c r="BLY205" s="412"/>
      <c r="BLZ205" s="412"/>
      <c r="BMA205" s="412"/>
      <c r="BMB205" s="412"/>
      <c r="BMC205" s="412"/>
      <c r="BMD205" s="412"/>
      <c r="BME205" s="412"/>
      <c r="BMF205" s="412"/>
      <c r="BMG205" s="412"/>
      <c r="BMH205" s="412"/>
      <c r="BMI205" s="412"/>
      <c r="BMJ205" s="412"/>
      <c r="BMK205" s="412"/>
      <c r="BML205" s="412"/>
      <c r="BMM205" s="412"/>
      <c r="BMN205" s="412"/>
      <c r="BMO205" s="412"/>
      <c r="BMP205" s="412"/>
      <c r="BMQ205" s="412"/>
      <c r="BMR205" s="412"/>
      <c r="BMS205" s="412"/>
      <c r="BMT205" s="412"/>
      <c r="BMU205" s="412"/>
      <c r="BMV205" s="412"/>
      <c r="BMW205" s="412"/>
      <c r="BMX205" s="412"/>
      <c r="BMY205" s="412"/>
      <c r="BMZ205" s="412"/>
      <c r="BNA205" s="412"/>
      <c r="BNB205" s="412"/>
      <c r="BNC205" s="412"/>
      <c r="BND205" s="412"/>
      <c r="BNE205" s="412"/>
      <c r="BNF205" s="412"/>
      <c r="BNG205" s="412"/>
      <c r="BNH205" s="412"/>
      <c r="BNI205" s="412"/>
      <c r="BNJ205" s="412"/>
      <c r="BNK205" s="412"/>
      <c r="BNL205" s="412"/>
      <c r="BNM205" s="412"/>
      <c r="BNN205" s="412"/>
      <c r="BNO205" s="412"/>
      <c r="BNP205" s="412"/>
      <c r="BNQ205" s="412"/>
      <c r="BNR205" s="412"/>
      <c r="BNS205" s="412"/>
      <c r="BNT205" s="412"/>
      <c r="BNU205" s="412"/>
      <c r="BNV205" s="412"/>
      <c r="BNW205" s="412"/>
      <c r="BNX205" s="412"/>
      <c r="BNY205" s="412"/>
      <c r="BNZ205" s="412"/>
      <c r="BOA205" s="412"/>
      <c r="BOB205" s="412"/>
      <c r="BOC205" s="412"/>
      <c r="BOD205" s="412"/>
      <c r="BOE205" s="412"/>
      <c r="BOF205" s="412"/>
      <c r="BOG205" s="412"/>
      <c r="BOH205" s="412"/>
      <c r="BOI205" s="412"/>
      <c r="BOJ205" s="412"/>
      <c r="BOK205" s="412"/>
      <c r="BOL205" s="412"/>
      <c r="BOM205" s="412"/>
      <c r="BON205" s="412"/>
      <c r="BOO205" s="412"/>
      <c r="BOP205" s="412"/>
      <c r="BOQ205" s="412"/>
      <c r="BOR205" s="412"/>
      <c r="BOS205" s="412"/>
      <c r="BOT205" s="412"/>
      <c r="BOU205" s="412"/>
      <c r="BOV205" s="412"/>
      <c r="BOW205" s="412"/>
      <c r="BOX205" s="412"/>
      <c r="BOY205" s="412"/>
      <c r="BOZ205" s="412"/>
      <c r="BPA205" s="412"/>
      <c r="BPB205" s="412"/>
      <c r="BPC205" s="412"/>
      <c r="BPD205" s="412"/>
      <c r="BPE205" s="412"/>
      <c r="BPF205" s="412"/>
      <c r="BPG205" s="412"/>
      <c r="BPH205" s="412"/>
      <c r="BPI205" s="412"/>
      <c r="BPJ205" s="412"/>
      <c r="BPK205" s="412"/>
      <c r="BPL205" s="412"/>
      <c r="BPM205" s="412"/>
      <c r="BPN205" s="412"/>
      <c r="BPO205" s="412"/>
      <c r="BPP205" s="412"/>
      <c r="BPQ205" s="412"/>
      <c r="BPR205" s="412"/>
      <c r="BPS205" s="412"/>
      <c r="BPT205" s="412"/>
      <c r="BPU205" s="412"/>
      <c r="BPV205" s="412"/>
      <c r="BPW205" s="412"/>
      <c r="BPX205" s="412"/>
      <c r="BPY205" s="412"/>
      <c r="BPZ205" s="412"/>
      <c r="BQA205" s="412"/>
      <c r="BQB205" s="412"/>
      <c r="BQC205" s="412"/>
      <c r="BQD205" s="412"/>
      <c r="BQE205" s="412"/>
      <c r="BQF205" s="412"/>
      <c r="BQG205" s="412"/>
      <c r="BQH205" s="412"/>
      <c r="BQI205" s="412"/>
      <c r="BQJ205" s="412"/>
      <c r="BQK205" s="412"/>
      <c r="BQL205" s="412"/>
      <c r="BQM205" s="412"/>
      <c r="BQN205" s="412"/>
      <c r="BQO205" s="412"/>
      <c r="BQP205" s="412"/>
      <c r="BQQ205" s="412"/>
      <c r="BQR205" s="412"/>
      <c r="BQS205" s="412"/>
      <c r="BQT205" s="412"/>
      <c r="BQU205" s="412"/>
      <c r="BQV205" s="412"/>
      <c r="BQW205" s="412"/>
      <c r="BQX205" s="412"/>
      <c r="BQY205" s="412"/>
      <c r="BQZ205" s="412"/>
      <c r="BRA205" s="412"/>
      <c r="BRB205" s="412"/>
      <c r="BRC205" s="412"/>
      <c r="BRD205" s="412"/>
      <c r="BRE205" s="412"/>
      <c r="BRF205" s="412"/>
      <c r="BRG205" s="412"/>
      <c r="BRH205" s="412"/>
      <c r="BRI205" s="412"/>
      <c r="BRJ205" s="412"/>
      <c r="BRK205" s="412"/>
      <c r="BRL205" s="412"/>
      <c r="BRM205" s="412"/>
      <c r="BRN205" s="412"/>
      <c r="BRO205" s="412"/>
      <c r="BRP205" s="412"/>
      <c r="BRQ205" s="412"/>
      <c r="BRR205" s="412"/>
      <c r="BRS205" s="412"/>
      <c r="BRT205" s="412"/>
      <c r="BRU205" s="412"/>
      <c r="BRV205" s="412"/>
      <c r="BRW205" s="412"/>
      <c r="BRX205" s="412"/>
      <c r="BRY205" s="412"/>
      <c r="BRZ205" s="412"/>
      <c r="BSA205" s="412"/>
      <c r="BSB205" s="412"/>
      <c r="BSC205" s="412"/>
      <c r="BSD205" s="412"/>
      <c r="BSE205" s="412"/>
      <c r="BSF205" s="412"/>
      <c r="BSG205" s="412"/>
      <c r="BSH205" s="412"/>
      <c r="BSI205" s="412"/>
      <c r="BSJ205" s="412"/>
      <c r="BSK205" s="412"/>
      <c r="BSL205" s="412"/>
      <c r="BSM205" s="412"/>
      <c r="BSN205" s="412"/>
      <c r="BSO205" s="412"/>
      <c r="BSP205" s="412"/>
      <c r="BSQ205" s="412"/>
      <c r="BSR205" s="412"/>
      <c r="BSS205" s="412"/>
      <c r="BST205" s="412"/>
      <c r="BSU205" s="412"/>
      <c r="BSV205" s="412"/>
      <c r="BSW205" s="412"/>
      <c r="BSX205" s="412"/>
      <c r="BSY205" s="412"/>
      <c r="BSZ205" s="412"/>
      <c r="BTA205" s="412"/>
      <c r="BTB205" s="412"/>
      <c r="BTC205" s="412"/>
      <c r="BTD205" s="412"/>
      <c r="BTE205" s="412"/>
      <c r="BTF205" s="412"/>
      <c r="BTG205" s="412"/>
      <c r="BTH205" s="412"/>
      <c r="BTI205" s="412"/>
    </row>
    <row r="206" spans="1:1881" s="408" customFormat="1" ht="110.25" customHeight="1" x14ac:dyDescent="0.25">
      <c r="A206" s="478">
        <v>622</v>
      </c>
      <c r="B206" s="247" t="s">
        <v>705</v>
      </c>
      <c r="C206" s="478" t="s">
        <v>821</v>
      </c>
      <c r="D206" s="478" t="s">
        <v>825</v>
      </c>
      <c r="E206" s="692" t="e">
        <f>HLOOKUP($D$2,'2019 Data(H)'!$C$1:$CG$300,282,FALSE)</f>
        <v>#N/A</v>
      </c>
      <c r="F206" s="609"/>
      <c r="G206" s="413"/>
      <c r="H206" s="67"/>
      <c r="I206" s="15"/>
      <c r="J206" s="412"/>
      <c r="K206" s="412"/>
      <c r="L206" s="412"/>
      <c r="M206" s="412"/>
      <c r="N206"/>
      <c r="O206" s="412"/>
      <c r="P206" s="412"/>
      <c r="Q206" s="412"/>
      <c r="R206" s="412"/>
      <c r="S206" s="412"/>
      <c r="T206" s="412"/>
      <c r="U206" s="412"/>
      <c r="V206" s="412"/>
      <c r="W206" s="412"/>
      <c r="X206" s="412"/>
      <c r="Y206" s="412"/>
      <c r="Z206" s="412"/>
      <c r="AA206" s="412"/>
      <c r="AB206" s="412"/>
      <c r="AC206" s="412"/>
      <c r="AD206" s="412"/>
      <c r="AE206" s="412"/>
      <c r="AF206" s="412"/>
      <c r="AG206" s="412"/>
      <c r="AH206" s="412"/>
      <c r="AI206" s="412"/>
      <c r="AJ206" s="412"/>
      <c r="AK206" s="412"/>
      <c r="AL206" s="412"/>
      <c r="AM206" s="412"/>
      <c r="AN206" s="412"/>
      <c r="AO206" s="412"/>
      <c r="AP206" s="412"/>
      <c r="AQ206" s="412"/>
      <c r="AR206" s="412"/>
      <c r="AS206" s="412"/>
      <c r="AT206" s="412"/>
      <c r="AU206" s="412"/>
      <c r="AV206" s="412"/>
      <c r="AW206" s="412"/>
      <c r="AX206" s="412"/>
      <c r="AY206" s="412"/>
      <c r="AZ206" s="412"/>
      <c r="BA206" s="412"/>
      <c r="BB206" s="412"/>
      <c r="BC206" s="412"/>
      <c r="BD206" s="412"/>
      <c r="BE206" s="412"/>
      <c r="BF206" s="412"/>
      <c r="BG206" s="412"/>
      <c r="BH206" s="412"/>
      <c r="BI206" s="412"/>
      <c r="BJ206" s="412"/>
      <c r="BK206" s="412"/>
      <c r="BL206" s="412"/>
      <c r="BM206" s="412"/>
      <c r="BN206" s="412"/>
      <c r="BO206" s="412"/>
      <c r="BP206" s="412"/>
      <c r="BQ206" s="412"/>
      <c r="BR206" s="412"/>
      <c r="BS206" s="412"/>
      <c r="BT206" s="412"/>
      <c r="BU206" s="412"/>
      <c r="BV206" s="412"/>
      <c r="BW206" s="412"/>
      <c r="BX206" s="412"/>
      <c r="BY206" s="412"/>
      <c r="BZ206" s="412"/>
      <c r="CA206" s="412"/>
      <c r="CB206" s="412"/>
      <c r="CC206" s="412"/>
      <c r="CD206" s="412"/>
      <c r="CE206" s="412"/>
      <c r="CF206" s="412"/>
      <c r="CG206" s="412"/>
      <c r="CH206" s="412"/>
      <c r="CI206" s="412"/>
      <c r="CJ206" s="412"/>
      <c r="CK206" s="412"/>
      <c r="CL206" s="412"/>
      <c r="CM206" s="412"/>
      <c r="CN206" s="412"/>
      <c r="CO206" s="412"/>
      <c r="CP206" s="412"/>
      <c r="CQ206" s="412"/>
      <c r="CR206" s="412"/>
      <c r="CS206" s="412"/>
      <c r="CT206" s="412"/>
      <c r="CU206" s="412"/>
      <c r="CV206" s="412"/>
      <c r="CW206" s="412"/>
      <c r="CX206" s="412"/>
      <c r="CY206" s="412"/>
      <c r="CZ206" s="412"/>
      <c r="DA206" s="412"/>
      <c r="DB206" s="412"/>
      <c r="DC206" s="412"/>
      <c r="DD206" s="412"/>
      <c r="DE206" s="412"/>
      <c r="DF206" s="412"/>
      <c r="DG206" s="412"/>
      <c r="DH206" s="412"/>
      <c r="DI206" s="412"/>
      <c r="DJ206" s="412"/>
      <c r="DK206" s="412"/>
      <c r="DL206" s="412"/>
      <c r="DM206" s="412"/>
      <c r="DN206" s="412"/>
      <c r="DO206" s="412"/>
      <c r="DP206" s="412"/>
      <c r="DQ206" s="412"/>
      <c r="DR206" s="412"/>
      <c r="DS206" s="412"/>
      <c r="DT206" s="412"/>
      <c r="DU206" s="412"/>
      <c r="DV206" s="412"/>
      <c r="DW206" s="412"/>
      <c r="DX206" s="412"/>
      <c r="DY206" s="412"/>
      <c r="DZ206" s="412"/>
      <c r="EA206" s="412"/>
      <c r="EB206" s="412"/>
      <c r="EC206" s="412"/>
      <c r="ED206" s="412"/>
      <c r="EE206" s="412"/>
      <c r="EF206" s="412"/>
      <c r="EG206" s="412"/>
      <c r="EH206" s="412"/>
      <c r="EI206" s="412"/>
      <c r="EJ206" s="412"/>
      <c r="EK206" s="412"/>
      <c r="EL206" s="412"/>
      <c r="EM206" s="412"/>
      <c r="EN206" s="412"/>
      <c r="EO206" s="412"/>
      <c r="EP206" s="412"/>
      <c r="EQ206" s="412"/>
      <c r="ER206" s="412"/>
      <c r="ES206" s="412"/>
      <c r="ET206" s="412"/>
      <c r="EU206" s="412"/>
      <c r="EV206" s="412"/>
      <c r="EW206" s="412"/>
      <c r="EX206" s="412"/>
      <c r="EY206" s="412"/>
      <c r="EZ206" s="412"/>
      <c r="FA206" s="412"/>
      <c r="FB206" s="412"/>
      <c r="FC206" s="412"/>
      <c r="FD206" s="412"/>
      <c r="FE206" s="412"/>
      <c r="FF206" s="412"/>
      <c r="FG206" s="412"/>
      <c r="FH206" s="412"/>
      <c r="FI206" s="412"/>
      <c r="FJ206" s="412"/>
      <c r="FK206" s="412"/>
      <c r="FL206" s="412"/>
      <c r="FM206" s="412"/>
      <c r="FN206" s="412"/>
      <c r="FO206" s="412"/>
      <c r="FP206" s="412"/>
      <c r="FQ206" s="412"/>
      <c r="FR206" s="412"/>
      <c r="FS206" s="412"/>
      <c r="FT206" s="412"/>
      <c r="FU206" s="412"/>
      <c r="FV206" s="412"/>
      <c r="FW206" s="412"/>
      <c r="FX206" s="412"/>
      <c r="FY206" s="412"/>
      <c r="FZ206" s="412"/>
      <c r="GA206" s="412"/>
      <c r="GB206" s="412"/>
      <c r="GC206" s="412"/>
      <c r="GD206" s="412"/>
      <c r="GE206" s="412"/>
      <c r="GF206" s="412"/>
      <c r="GG206" s="412"/>
      <c r="GH206" s="412"/>
      <c r="GI206" s="412"/>
      <c r="GJ206" s="412"/>
      <c r="GK206" s="412"/>
      <c r="GL206" s="412"/>
      <c r="GM206" s="412"/>
      <c r="GN206" s="412"/>
      <c r="GO206" s="412"/>
      <c r="GP206" s="412"/>
      <c r="GQ206" s="412"/>
      <c r="GR206" s="412"/>
      <c r="GS206" s="412"/>
      <c r="GT206" s="412"/>
      <c r="GU206" s="412"/>
      <c r="GV206" s="412"/>
      <c r="GW206" s="412"/>
      <c r="GX206" s="412"/>
      <c r="GY206" s="412"/>
      <c r="GZ206" s="412"/>
      <c r="HA206" s="412"/>
      <c r="HB206" s="412"/>
      <c r="HC206" s="412"/>
      <c r="HD206" s="412"/>
      <c r="HE206" s="412"/>
      <c r="HF206" s="412"/>
      <c r="HG206" s="412"/>
      <c r="HH206" s="412"/>
      <c r="HI206" s="412"/>
      <c r="HJ206" s="412"/>
      <c r="HK206" s="412"/>
      <c r="HL206" s="412"/>
      <c r="HM206" s="412"/>
      <c r="HN206" s="412"/>
      <c r="HO206" s="412"/>
      <c r="HP206" s="412"/>
      <c r="HQ206" s="412"/>
      <c r="HR206" s="412"/>
      <c r="HS206" s="412"/>
      <c r="HT206" s="412"/>
      <c r="HU206" s="412"/>
      <c r="HV206" s="412"/>
      <c r="HW206" s="412"/>
      <c r="HX206" s="412"/>
      <c r="HY206" s="412"/>
      <c r="HZ206" s="412"/>
      <c r="IA206" s="412"/>
      <c r="IB206" s="412"/>
      <c r="IC206" s="412"/>
      <c r="ID206" s="412"/>
      <c r="IE206" s="412"/>
      <c r="IF206" s="412"/>
      <c r="IG206" s="412"/>
      <c r="IH206" s="412"/>
      <c r="II206" s="412"/>
      <c r="IJ206" s="412"/>
      <c r="IK206" s="412"/>
      <c r="IL206" s="412"/>
      <c r="IM206" s="412"/>
      <c r="IN206" s="412"/>
      <c r="IO206" s="412"/>
      <c r="IP206" s="412"/>
      <c r="IQ206" s="412"/>
      <c r="IR206" s="412"/>
      <c r="IS206" s="412"/>
      <c r="IT206" s="412"/>
      <c r="IU206" s="412"/>
      <c r="IV206" s="412"/>
      <c r="IW206" s="412"/>
      <c r="IX206" s="412"/>
      <c r="IY206" s="412"/>
      <c r="IZ206" s="412"/>
      <c r="JA206" s="412"/>
      <c r="JB206" s="412"/>
      <c r="JC206" s="412"/>
      <c r="JD206" s="412"/>
      <c r="JE206" s="412"/>
      <c r="JF206" s="412"/>
      <c r="JG206" s="412"/>
      <c r="JH206" s="412"/>
      <c r="JI206" s="412"/>
      <c r="JJ206" s="412"/>
      <c r="JK206" s="412"/>
      <c r="JL206" s="412"/>
      <c r="JM206" s="412"/>
      <c r="JN206" s="412"/>
      <c r="JO206" s="412"/>
      <c r="JP206" s="412"/>
      <c r="JQ206" s="412"/>
      <c r="JR206" s="412"/>
      <c r="JS206" s="412"/>
      <c r="JT206" s="412"/>
      <c r="JU206" s="412"/>
      <c r="JV206" s="412"/>
      <c r="JW206" s="412"/>
      <c r="JX206" s="412"/>
      <c r="JY206" s="412"/>
      <c r="JZ206" s="412"/>
      <c r="KA206" s="412"/>
      <c r="KB206" s="412"/>
      <c r="KC206" s="412"/>
      <c r="KD206" s="412"/>
      <c r="KE206" s="412"/>
      <c r="KF206" s="412"/>
      <c r="KG206" s="412"/>
      <c r="KH206" s="412"/>
      <c r="KI206" s="412"/>
      <c r="KJ206" s="412"/>
      <c r="KK206" s="412"/>
      <c r="KL206" s="412"/>
      <c r="KM206" s="412"/>
      <c r="KN206" s="412"/>
      <c r="KO206" s="412"/>
      <c r="KP206" s="412"/>
      <c r="KQ206" s="412"/>
      <c r="KR206" s="412"/>
      <c r="KS206" s="412"/>
      <c r="KT206" s="412"/>
      <c r="KU206" s="412"/>
      <c r="KV206" s="412"/>
      <c r="KW206" s="412"/>
      <c r="KX206" s="412"/>
      <c r="KY206" s="412"/>
      <c r="KZ206" s="412"/>
      <c r="LA206" s="412"/>
      <c r="LB206" s="412"/>
      <c r="LC206" s="412"/>
      <c r="LD206" s="412"/>
      <c r="LE206" s="412"/>
      <c r="LF206" s="412"/>
      <c r="LG206" s="412"/>
      <c r="LH206" s="412"/>
      <c r="LI206" s="412"/>
      <c r="LJ206" s="412"/>
      <c r="LK206" s="412"/>
      <c r="LL206" s="412"/>
      <c r="LM206" s="412"/>
      <c r="LN206" s="412"/>
      <c r="LO206" s="412"/>
      <c r="LP206" s="412"/>
      <c r="LQ206" s="412"/>
      <c r="LR206" s="412"/>
      <c r="LS206" s="412"/>
      <c r="LT206" s="412"/>
      <c r="LU206" s="412"/>
      <c r="LV206" s="412"/>
      <c r="LW206" s="412"/>
      <c r="LX206" s="412"/>
      <c r="LY206" s="412"/>
      <c r="LZ206" s="412"/>
      <c r="MA206" s="412"/>
      <c r="MB206" s="412"/>
      <c r="MC206" s="412"/>
      <c r="MD206" s="412"/>
      <c r="ME206" s="412"/>
      <c r="MF206" s="412"/>
      <c r="MG206" s="412"/>
      <c r="MH206" s="412"/>
      <c r="MI206" s="412"/>
      <c r="MJ206" s="412"/>
      <c r="MK206" s="412"/>
      <c r="ML206" s="412"/>
      <c r="MM206" s="412"/>
      <c r="MN206" s="412"/>
      <c r="MO206" s="412"/>
      <c r="MP206" s="412"/>
      <c r="MQ206" s="412"/>
      <c r="MR206" s="412"/>
      <c r="MS206" s="412"/>
      <c r="MT206" s="412"/>
      <c r="MU206" s="412"/>
      <c r="MV206" s="412"/>
      <c r="MW206" s="412"/>
      <c r="MX206" s="412"/>
      <c r="MY206" s="412"/>
      <c r="MZ206" s="412"/>
      <c r="NA206" s="412"/>
      <c r="NB206" s="412"/>
      <c r="NC206" s="412"/>
      <c r="ND206" s="412"/>
      <c r="NE206" s="412"/>
      <c r="NF206" s="412"/>
      <c r="NG206" s="412"/>
      <c r="NH206" s="412"/>
      <c r="NI206" s="412"/>
      <c r="NJ206" s="412"/>
      <c r="NK206" s="412"/>
      <c r="NL206" s="412"/>
      <c r="NM206" s="412"/>
      <c r="NN206" s="412"/>
      <c r="NO206" s="412"/>
      <c r="NP206" s="412"/>
      <c r="NQ206" s="412"/>
      <c r="NR206" s="412"/>
      <c r="NS206" s="412"/>
      <c r="NT206" s="412"/>
      <c r="NU206" s="412"/>
      <c r="NV206" s="412"/>
      <c r="NW206" s="412"/>
      <c r="NX206" s="412"/>
      <c r="NY206" s="412"/>
      <c r="NZ206" s="412"/>
      <c r="OA206" s="412"/>
      <c r="OB206" s="412"/>
      <c r="OC206" s="412"/>
      <c r="OD206" s="412"/>
      <c r="OE206" s="412"/>
      <c r="OF206" s="412"/>
      <c r="OG206" s="412"/>
      <c r="OH206" s="412"/>
      <c r="OI206" s="412"/>
      <c r="OJ206" s="412"/>
      <c r="OK206" s="412"/>
      <c r="OL206" s="412"/>
      <c r="OM206" s="412"/>
      <c r="ON206" s="412"/>
      <c r="OO206" s="412"/>
      <c r="OP206" s="412"/>
      <c r="OQ206" s="412"/>
      <c r="OR206" s="412"/>
      <c r="OS206" s="412"/>
      <c r="OT206" s="412"/>
      <c r="OU206" s="412"/>
      <c r="OV206" s="412"/>
      <c r="OW206" s="412"/>
      <c r="OX206" s="412"/>
      <c r="OY206" s="412"/>
      <c r="OZ206" s="412"/>
      <c r="PA206" s="412"/>
      <c r="PB206" s="412"/>
      <c r="PC206" s="412"/>
      <c r="PD206" s="412"/>
      <c r="PE206" s="412"/>
      <c r="PF206" s="412"/>
      <c r="PG206" s="412"/>
      <c r="PH206" s="412"/>
      <c r="PI206" s="412"/>
      <c r="PJ206" s="412"/>
      <c r="PK206" s="412"/>
      <c r="PL206" s="412"/>
      <c r="PM206" s="412"/>
      <c r="PN206" s="412"/>
      <c r="PO206" s="412"/>
      <c r="PP206" s="412"/>
      <c r="PQ206" s="412"/>
      <c r="PR206" s="412"/>
      <c r="PS206" s="412"/>
      <c r="PT206" s="412"/>
      <c r="PU206" s="412"/>
      <c r="PV206" s="412"/>
      <c r="PW206" s="412"/>
      <c r="PX206" s="412"/>
      <c r="PY206" s="412"/>
      <c r="PZ206" s="412"/>
      <c r="QA206" s="412"/>
      <c r="QB206" s="412"/>
      <c r="QC206" s="412"/>
      <c r="QD206" s="412"/>
      <c r="QE206" s="412"/>
      <c r="QF206" s="412"/>
      <c r="QG206" s="412"/>
      <c r="QH206" s="412"/>
      <c r="QI206" s="412"/>
      <c r="QJ206" s="412"/>
      <c r="QK206" s="412"/>
      <c r="QL206" s="412"/>
      <c r="QM206" s="412"/>
      <c r="QN206" s="412"/>
      <c r="QO206" s="412"/>
      <c r="QP206" s="412"/>
      <c r="QQ206" s="412"/>
      <c r="QR206" s="412"/>
      <c r="QS206" s="412"/>
      <c r="QT206" s="412"/>
      <c r="QU206" s="412"/>
      <c r="QV206" s="412"/>
      <c r="QW206" s="412"/>
      <c r="QX206" s="412"/>
      <c r="QY206" s="412"/>
      <c r="QZ206" s="412"/>
      <c r="RA206" s="412"/>
      <c r="RB206" s="412"/>
      <c r="RC206" s="412"/>
      <c r="RD206" s="412"/>
      <c r="RE206" s="412"/>
      <c r="RF206" s="412"/>
      <c r="RG206" s="412"/>
      <c r="RH206" s="412"/>
      <c r="RI206" s="412"/>
      <c r="RJ206" s="412"/>
      <c r="RK206" s="412"/>
      <c r="RL206" s="412"/>
      <c r="RM206" s="412"/>
      <c r="RN206" s="412"/>
      <c r="RO206" s="412"/>
      <c r="RP206" s="412"/>
      <c r="RQ206" s="412"/>
      <c r="RR206" s="412"/>
      <c r="RS206" s="412"/>
      <c r="RT206" s="412"/>
      <c r="RU206" s="412"/>
      <c r="RV206" s="412"/>
      <c r="RW206" s="412"/>
      <c r="RX206" s="412"/>
      <c r="RY206" s="412"/>
      <c r="RZ206" s="412"/>
      <c r="SA206" s="412"/>
      <c r="SB206" s="412"/>
      <c r="SC206" s="412"/>
      <c r="SD206" s="412"/>
      <c r="SE206" s="412"/>
      <c r="SF206" s="412"/>
      <c r="SG206" s="412"/>
      <c r="SH206" s="412"/>
      <c r="SI206" s="412"/>
      <c r="SJ206" s="412"/>
      <c r="SK206" s="412"/>
      <c r="SL206" s="412"/>
      <c r="SM206" s="412"/>
      <c r="SN206" s="412"/>
      <c r="SO206" s="412"/>
      <c r="SP206" s="412"/>
      <c r="SQ206" s="412"/>
      <c r="SR206" s="412"/>
      <c r="SS206" s="412"/>
      <c r="ST206" s="412"/>
      <c r="SU206" s="412"/>
      <c r="SV206" s="412"/>
      <c r="SW206" s="412"/>
      <c r="SX206" s="412"/>
      <c r="SY206" s="412"/>
      <c r="SZ206" s="412"/>
      <c r="TA206" s="412"/>
      <c r="TB206" s="412"/>
      <c r="TC206" s="412"/>
      <c r="TD206" s="412"/>
      <c r="TE206" s="412"/>
      <c r="TF206" s="412"/>
      <c r="TG206" s="412"/>
      <c r="TH206" s="412"/>
      <c r="TI206" s="412"/>
      <c r="TJ206" s="412"/>
      <c r="TK206" s="412"/>
      <c r="TL206" s="412"/>
      <c r="TM206" s="412"/>
      <c r="TN206" s="412"/>
      <c r="TO206" s="412"/>
      <c r="TP206" s="412"/>
      <c r="TQ206" s="412"/>
      <c r="TR206" s="412"/>
      <c r="TS206" s="412"/>
      <c r="TT206" s="412"/>
      <c r="TU206" s="412"/>
      <c r="TV206" s="412"/>
      <c r="TW206" s="412"/>
      <c r="TX206" s="412"/>
      <c r="TY206" s="412"/>
      <c r="TZ206" s="412"/>
      <c r="UA206" s="412"/>
      <c r="UB206" s="412"/>
      <c r="UC206" s="412"/>
      <c r="UD206" s="412"/>
      <c r="UE206" s="412"/>
      <c r="UF206" s="412"/>
      <c r="UG206" s="412"/>
      <c r="UH206" s="412"/>
      <c r="UI206" s="412"/>
      <c r="UJ206" s="412"/>
      <c r="UK206" s="412"/>
      <c r="UL206" s="412"/>
      <c r="UM206" s="412"/>
      <c r="UN206" s="412"/>
      <c r="UO206" s="412"/>
      <c r="UP206" s="412"/>
      <c r="UQ206" s="412"/>
      <c r="UR206" s="412"/>
      <c r="US206" s="412"/>
      <c r="UT206" s="412"/>
      <c r="UU206" s="412"/>
      <c r="UV206" s="412"/>
      <c r="UW206" s="412"/>
      <c r="UX206" s="412"/>
      <c r="UY206" s="412"/>
      <c r="UZ206" s="412"/>
      <c r="VA206" s="412"/>
      <c r="VB206" s="412"/>
      <c r="VC206" s="412"/>
      <c r="VD206" s="412"/>
      <c r="VE206" s="412"/>
      <c r="VF206" s="412"/>
      <c r="VG206" s="412"/>
      <c r="VH206" s="412"/>
      <c r="VI206" s="412"/>
      <c r="VJ206" s="412"/>
      <c r="VK206" s="412"/>
      <c r="VL206" s="412"/>
      <c r="VM206" s="412"/>
      <c r="VN206" s="412"/>
      <c r="VO206" s="412"/>
      <c r="VP206" s="412"/>
      <c r="VQ206" s="412"/>
      <c r="VR206" s="412"/>
      <c r="VS206" s="412"/>
      <c r="VT206" s="412"/>
      <c r="VU206" s="412"/>
      <c r="VV206" s="412"/>
      <c r="VW206" s="412"/>
      <c r="VX206" s="412"/>
      <c r="VY206" s="412"/>
      <c r="VZ206" s="412"/>
      <c r="WA206" s="412"/>
      <c r="WB206" s="412"/>
      <c r="WC206" s="412"/>
      <c r="WD206" s="412"/>
      <c r="WE206" s="412"/>
      <c r="WF206" s="412"/>
      <c r="WG206" s="412"/>
      <c r="WH206" s="412"/>
      <c r="WI206" s="412"/>
      <c r="WJ206" s="412"/>
      <c r="WK206" s="412"/>
      <c r="WL206" s="412"/>
      <c r="WM206" s="412"/>
      <c r="WN206" s="412"/>
      <c r="WO206" s="412"/>
      <c r="WP206" s="412"/>
      <c r="WQ206" s="412"/>
      <c r="WR206" s="412"/>
      <c r="WS206" s="412"/>
      <c r="WT206" s="412"/>
      <c r="WU206" s="412"/>
      <c r="WV206" s="412"/>
      <c r="WW206" s="412"/>
      <c r="WX206" s="412"/>
      <c r="WY206" s="412"/>
      <c r="WZ206" s="412"/>
      <c r="XA206" s="412"/>
      <c r="XB206" s="412"/>
      <c r="XC206" s="412"/>
      <c r="XD206" s="412"/>
      <c r="XE206" s="412"/>
      <c r="XF206" s="412"/>
      <c r="XG206" s="412"/>
      <c r="XH206" s="412"/>
      <c r="XI206" s="412"/>
      <c r="XJ206" s="412"/>
      <c r="XK206" s="412"/>
      <c r="XL206" s="412"/>
      <c r="XM206" s="412"/>
      <c r="XN206" s="412"/>
      <c r="XO206" s="412"/>
      <c r="XP206" s="412"/>
      <c r="XQ206" s="412"/>
      <c r="XR206" s="412"/>
      <c r="XS206" s="412"/>
      <c r="XT206" s="412"/>
      <c r="XU206" s="412"/>
      <c r="XV206" s="412"/>
      <c r="XW206" s="412"/>
      <c r="XX206" s="412"/>
      <c r="XY206" s="412"/>
      <c r="XZ206" s="412"/>
      <c r="YA206" s="412"/>
      <c r="YB206" s="412"/>
      <c r="YC206" s="412"/>
      <c r="YD206" s="412"/>
      <c r="YE206" s="412"/>
      <c r="YF206" s="412"/>
      <c r="YG206" s="412"/>
      <c r="YH206" s="412"/>
      <c r="YI206" s="412"/>
      <c r="YJ206" s="412"/>
      <c r="YK206" s="412"/>
      <c r="YL206" s="412"/>
      <c r="YM206" s="412"/>
      <c r="YN206" s="412"/>
      <c r="YO206" s="412"/>
      <c r="YP206" s="412"/>
      <c r="YQ206" s="412"/>
      <c r="YR206" s="412"/>
      <c r="YS206" s="412"/>
      <c r="YT206" s="412"/>
      <c r="YU206" s="412"/>
      <c r="YV206" s="412"/>
      <c r="YW206" s="412"/>
      <c r="YX206" s="412"/>
      <c r="YY206" s="412"/>
      <c r="YZ206" s="412"/>
      <c r="ZA206" s="412"/>
      <c r="ZB206" s="412"/>
      <c r="ZC206" s="412"/>
      <c r="ZD206" s="412"/>
      <c r="ZE206" s="412"/>
      <c r="ZF206" s="412"/>
      <c r="ZG206" s="412"/>
      <c r="ZH206" s="412"/>
      <c r="ZI206" s="412"/>
      <c r="ZJ206" s="412"/>
      <c r="ZK206" s="412"/>
      <c r="ZL206" s="412"/>
      <c r="ZM206" s="412"/>
      <c r="ZN206" s="412"/>
      <c r="ZO206" s="412"/>
      <c r="ZP206" s="412"/>
      <c r="ZQ206" s="412"/>
      <c r="ZR206" s="412"/>
      <c r="ZS206" s="412"/>
      <c r="ZT206" s="412"/>
      <c r="ZU206" s="412"/>
      <c r="ZV206" s="412"/>
      <c r="ZW206" s="412"/>
      <c r="ZX206" s="412"/>
      <c r="ZY206" s="412"/>
      <c r="ZZ206" s="412"/>
      <c r="AAA206" s="412"/>
      <c r="AAB206" s="412"/>
      <c r="AAC206" s="412"/>
      <c r="AAD206" s="412"/>
      <c r="AAE206" s="412"/>
      <c r="AAF206" s="412"/>
      <c r="AAG206" s="412"/>
      <c r="AAH206" s="412"/>
      <c r="AAI206" s="412"/>
      <c r="AAJ206" s="412"/>
      <c r="AAK206" s="412"/>
      <c r="AAL206" s="412"/>
      <c r="AAM206" s="412"/>
      <c r="AAN206" s="412"/>
      <c r="AAO206" s="412"/>
      <c r="AAP206" s="412"/>
      <c r="AAQ206" s="412"/>
      <c r="AAR206" s="412"/>
      <c r="AAS206" s="412"/>
      <c r="AAT206" s="412"/>
      <c r="AAU206" s="412"/>
      <c r="AAV206" s="412"/>
      <c r="AAW206" s="412"/>
      <c r="AAX206" s="412"/>
      <c r="AAY206" s="412"/>
      <c r="AAZ206" s="412"/>
      <c r="ABA206" s="412"/>
      <c r="ABB206" s="412"/>
      <c r="ABC206" s="412"/>
      <c r="ABD206" s="412"/>
      <c r="ABE206" s="412"/>
      <c r="ABF206" s="412"/>
      <c r="ABG206" s="412"/>
      <c r="ABH206" s="412"/>
      <c r="ABI206" s="412"/>
      <c r="ABJ206" s="412"/>
      <c r="ABK206" s="412"/>
      <c r="ABL206" s="412"/>
      <c r="ABM206" s="412"/>
      <c r="ABN206" s="412"/>
      <c r="ABO206" s="412"/>
      <c r="ABP206" s="412"/>
      <c r="ABQ206" s="412"/>
      <c r="ABR206" s="412"/>
      <c r="ABS206" s="412"/>
      <c r="ABT206" s="412"/>
      <c r="ABU206" s="412"/>
      <c r="ABV206" s="412"/>
      <c r="ABW206" s="412"/>
      <c r="ABX206" s="412"/>
      <c r="ABY206" s="412"/>
      <c r="ABZ206" s="412"/>
      <c r="ACA206" s="412"/>
      <c r="ACB206" s="412"/>
      <c r="ACC206" s="412"/>
      <c r="ACD206" s="412"/>
      <c r="ACE206" s="412"/>
      <c r="ACF206" s="412"/>
      <c r="ACG206" s="412"/>
      <c r="ACH206" s="412"/>
      <c r="ACI206" s="412"/>
      <c r="ACJ206" s="412"/>
      <c r="ACK206" s="412"/>
      <c r="ACL206" s="412"/>
      <c r="ACM206" s="412"/>
      <c r="ACN206" s="412"/>
      <c r="ACO206" s="412"/>
      <c r="ACP206" s="412"/>
      <c r="ACQ206" s="412"/>
      <c r="ACR206" s="412"/>
      <c r="ACS206" s="412"/>
      <c r="ACT206" s="412"/>
      <c r="ACU206" s="412"/>
      <c r="ACV206" s="412"/>
      <c r="ACW206" s="412"/>
      <c r="ACX206" s="412"/>
      <c r="ACY206" s="412"/>
      <c r="ACZ206" s="412"/>
      <c r="ADA206" s="412"/>
      <c r="ADB206" s="412"/>
      <c r="ADC206" s="412"/>
      <c r="ADD206" s="412"/>
      <c r="ADE206" s="412"/>
      <c r="ADF206" s="412"/>
      <c r="ADG206" s="412"/>
      <c r="ADH206" s="412"/>
      <c r="ADI206" s="412"/>
      <c r="ADJ206" s="412"/>
      <c r="ADK206" s="412"/>
      <c r="ADL206" s="412"/>
      <c r="ADM206" s="412"/>
      <c r="ADN206" s="412"/>
      <c r="ADO206" s="412"/>
      <c r="ADP206" s="412"/>
      <c r="ADQ206" s="412"/>
      <c r="ADR206" s="412"/>
      <c r="ADS206" s="412"/>
      <c r="ADT206" s="412"/>
      <c r="ADU206" s="412"/>
      <c r="ADV206" s="412"/>
      <c r="ADW206" s="412"/>
      <c r="ADX206" s="412"/>
      <c r="ADY206" s="412"/>
      <c r="ADZ206" s="412"/>
      <c r="AEA206" s="412"/>
      <c r="AEB206" s="412"/>
      <c r="AEC206" s="412"/>
      <c r="AED206" s="412"/>
      <c r="AEE206" s="412"/>
      <c r="AEF206" s="412"/>
      <c r="AEG206" s="412"/>
      <c r="AEH206" s="412"/>
      <c r="AEI206" s="412"/>
      <c r="AEJ206" s="412"/>
      <c r="AEK206" s="412"/>
      <c r="AEL206" s="412"/>
      <c r="AEM206" s="412"/>
      <c r="AEN206" s="412"/>
      <c r="AEO206" s="412"/>
      <c r="AEP206" s="412"/>
      <c r="AEQ206" s="412"/>
      <c r="AER206" s="412"/>
      <c r="AES206" s="412"/>
      <c r="AET206" s="412"/>
      <c r="AEU206" s="412"/>
      <c r="AEV206" s="412"/>
      <c r="AEW206" s="412"/>
      <c r="AEX206" s="412"/>
      <c r="AEY206" s="412"/>
      <c r="AEZ206" s="412"/>
      <c r="AFA206" s="412"/>
      <c r="AFB206" s="412"/>
      <c r="AFC206" s="412"/>
      <c r="AFD206" s="412"/>
      <c r="AFE206" s="412"/>
      <c r="AFF206" s="412"/>
      <c r="AFG206" s="412"/>
      <c r="AFH206" s="412"/>
      <c r="AFI206" s="412"/>
      <c r="AFJ206" s="412"/>
      <c r="AFK206" s="412"/>
      <c r="AFL206" s="412"/>
      <c r="AFM206" s="412"/>
      <c r="AFN206" s="412"/>
      <c r="AFO206" s="412"/>
      <c r="AFP206" s="412"/>
      <c r="AFQ206" s="412"/>
      <c r="AFR206" s="412"/>
      <c r="AFS206" s="412"/>
      <c r="AFT206" s="412"/>
      <c r="AFU206" s="412"/>
      <c r="AFV206" s="412"/>
      <c r="AFW206" s="412"/>
      <c r="AFX206" s="412"/>
      <c r="AFY206" s="412"/>
      <c r="AFZ206" s="412"/>
      <c r="AGA206" s="412"/>
      <c r="AGB206" s="412"/>
      <c r="AGC206" s="412"/>
      <c r="AGD206" s="412"/>
      <c r="AGE206" s="412"/>
      <c r="AGF206" s="412"/>
      <c r="AGG206" s="412"/>
      <c r="AGH206" s="412"/>
      <c r="AGI206" s="412"/>
      <c r="AGJ206" s="412"/>
      <c r="AGK206" s="412"/>
      <c r="AGL206" s="412"/>
      <c r="AGM206" s="412"/>
      <c r="AGN206" s="412"/>
      <c r="AGO206" s="412"/>
      <c r="AGP206" s="412"/>
      <c r="AGQ206" s="412"/>
      <c r="AGR206" s="412"/>
      <c r="AGS206" s="412"/>
      <c r="AGT206" s="412"/>
      <c r="AGU206" s="412"/>
      <c r="AGV206" s="412"/>
      <c r="AGW206" s="412"/>
      <c r="AGX206" s="412"/>
      <c r="AGY206" s="412"/>
      <c r="AGZ206" s="412"/>
      <c r="AHA206" s="412"/>
      <c r="AHB206" s="412"/>
      <c r="AHC206" s="412"/>
      <c r="AHD206" s="412"/>
      <c r="AHE206" s="412"/>
      <c r="AHF206" s="412"/>
      <c r="AHG206" s="412"/>
      <c r="AHH206" s="412"/>
      <c r="AHI206" s="412"/>
      <c r="AHJ206" s="412"/>
      <c r="AHK206" s="412"/>
      <c r="AHL206" s="412"/>
      <c r="AHM206" s="412"/>
      <c r="AHN206" s="412"/>
      <c r="AHO206" s="412"/>
      <c r="AHP206" s="412"/>
      <c r="AHQ206" s="412"/>
      <c r="AHR206" s="412"/>
      <c r="AHS206" s="412"/>
      <c r="AHT206" s="412"/>
      <c r="AHU206" s="412"/>
      <c r="AHV206" s="412"/>
      <c r="AHW206" s="412"/>
      <c r="AHX206" s="412"/>
      <c r="AHY206" s="412"/>
      <c r="AHZ206" s="412"/>
      <c r="AIA206" s="412"/>
      <c r="AIB206" s="412"/>
      <c r="AIC206" s="412"/>
      <c r="AID206" s="412"/>
      <c r="AIE206" s="412"/>
      <c r="AIF206" s="412"/>
      <c r="AIG206" s="412"/>
      <c r="AIH206" s="412"/>
      <c r="AII206" s="412"/>
      <c r="AIJ206" s="412"/>
      <c r="AIK206" s="412"/>
      <c r="AIL206" s="412"/>
      <c r="AIM206" s="412"/>
      <c r="AIN206" s="412"/>
      <c r="AIO206" s="412"/>
      <c r="AIP206" s="412"/>
      <c r="AIQ206" s="412"/>
      <c r="AIR206" s="412"/>
      <c r="AIS206" s="412"/>
      <c r="AIT206" s="412"/>
      <c r="AIU206" s="412"/>
      <c r="AIV206" s="412"/>
      <c r="AIW206" s="412"/>
      <c r="AIX206" s="412"/>
      <c r="AIY206" s="412"/>
      <c r="AIZ206" s="412"/>
      <c r="AJA206" s="412"/>
      <c r="AJB206" s="412"/>
      <c r="AJC206" s="412"/>
      <c r="AJD206" s="412"/>
      <c r="AJE206" s="412"/>
      <c r="AJF206" s="412"/>
      <c r="AJG206" s="412"/>
      <c r="AJH206" s="412"/>
      <c r="AJI206" s="412"/>
      <c r="AJJ206" s="412"/>
      <c r="AJK206" s="412"/>
      <c r="AJL206" s="412"/>
      <c r="AJM206" s="412"/>
      <c r="AJN206" s="412"/>
      <c r="AJO206" s="412"/>
      <c r="AJP206" s="412"/>
      <c r="AJQ206" s="412"/>
      <c r="AJR206" s="412"/>
      <c r="AJS206" s="412"/>
      <c r="AJT206" s="412"/>
      <c r="AJU206" s="412"/>
      <c r="AJV206" s="412"/>
      <c r="AJW206" s="412"/>
      <c r="AJX206" s="412"/>
      <c r="AJY206" s="412"/>
      <c r="AJZ206" s="412"/>
      <c r="AKA206" s="412"/>
      <c r="AKB206" s="412"/>
      <c r="AKC206" s="412"/>
      <c r="AKD206" s="412"/>
      <c r="AKE206" s="412"/>
      <c r="AKF206" s="412"/>
      <c r="AKG206" s="412"/>
      <c r="AKH206" s="412"/>
      <c r="AKI206" s="412"/>
      <c r="AKJ206" s="412"/>
      <c r="AKK206" s="412"/>
      <c r="AKL206" s="412"/>
      <c r="AKM206" s="412"/>
      <c r="AKN206" s="412"/>
      <c r="AKO206" s="412"/>
      <c r="AKP206" s="412"/>
      <c r="AKQ206" s="412"/>
      <c r="AKR206" s="412"/>
      <c r="AKS206" s="412"/>
      <c r="AKT206" s="412"/>
      <c r="AKU206" s="412"/>
      <c r="AKV206" s="412"/>
      <c r="AKW206" s="412"/>
      <c r="AKX206" s="412"/>
      <c r="AKY206" s="412"/>
      <c r="AKZ206" s="412"/>
      <c r="ALA206" s="412"/>
      <c r="ALB206" s="412"/>
      <c r="ALC206" s="412"/>
      <c r="ALD206" s="412"/>
      <c r="ALE206" s="412"/>
      <c r="ALF206" s="412"/>
      <c r="ALG206" s="412"/>
      <c r="ALH206" s="412"/>
      <c r="ALI206" s="412"/>
      <c r="ALJ206" s="412"/>
      <c r="ALK206" s="412"/>
      <c r="ALL206" s="412"/>
      <c r="ALM206" s="412"/>
      <c r="ALN206" s="412"/>
      <c r="ALO206" s="412"/>
      <c r="ALP206" s="412"/>
      <c r="ALQ206" s="412"/>
      <c r="ALR206" s="412"/>
      <c r="ALS206" s="412"/>
      <c r="ALT206" s="412"/>
      <c r="ALU206" s="412"/>
      <c r="ALV206" s="412"/>
      <c r="ALW206" s="412"/>
      <c r="ALX206" s="412"/>
      <c r="ALY206" s="412"/>
      <c r="ALZ206" s="412"/>
      <c r="AMA206" s="412"/>
      <c r="AMB206" s="412"/>
      <c r="AMC206" s="412"/>
      <c r="AMD206" s="412"/>
      <c r="AME206" s="412"/>
      <c r="AMF206" s="412"/>
      <c r="AMG206" s="412"/>
      <c r="AMH206" s="412"/>
      <c r="AMI206" s="412"/>
      <c r="AMJ206" s="412"/>
      <c r="AMK206" s="412"/>
      <c r="AML206" s="412"/>
      <c r="AMM206" s="412"/>
      <c r="AMN206" s="412"/>
      <c r="AMO206" s="412"/>
      <c r="AMP206" s="412"/>
      <c r="AMQ206" s="412"/>
      <c r="AMR206" s="412"/>
      <c r="AMS206" s="412"/>
      <c r="AMT206" s="412"/>
      <c r="AMU206" s="412"/>
      <c r="AMV206" s="412"/>
      <c r="AMW206" s="412"/>
      <c r="AMX206" s="412"/>
      <c r="AMY206" s="412"/>
      <c r="AMZ206" s="412"/>
      <c r="ANA206" s="412"/>
      <c r="ANB206" s="412"/>
      <c r="ANC206" s="412"/>
      <c r="AND206" s="412"/>
      <c r="ANE206" s="412"/>
      <c r="ANF206" s="412"/>
      <c r="ANG206" s="412"/>
      <c r="ANH206" s="412"/>
      <c r="ANI206" s="412"/>
      <c r="ANJ206" s="412"/>
      <c r="ANK206" s="412"/>
      <c r="ANL206" s="412"/>
      <c r="ANM206" s="412"/>
      <c r="ANN206" s="412"/>
      <c r="ANO206" s="412"/>
      <c r="ANP206" s="412"/>
      <c r="ANQ206" s="412"/>
      <c r="ANR206" s="412"/>
      <c r="ANS206" s="412"/>
      <c r="ANT206" s="412"/>
      <c r="ANU206" s="412"/>
      <c r="ANV206" s="412"/>
      <c r="ANW206" s="412"/>
      <c r="ANX206" s="412"/>
      <c r="ANY206" s="412"/>
      <c r="ANZ206" s="412"/>
      <c r="AOA206" s="412"/>
      <c r="AOB206" s="412"/>
      <c r="AOC206" s="412"/>
      <c r="AOD206" s="412"/>
      <c r="AOE206" s="412"/>
      <c r="AOF206" s="412"/>
      <c r="AOG206" s="412"/>
      <c r="AOH206" s="412"/>
      <c r="AOI206" s="412"/>
      <c r="AOJ206" s="412"/>
      <c r="AOK206" s="412"/>
      <c r="AOL206" s="412"/>
      <c r="AOM206" s="412"/>
      <c r="AON206" s="412"/>
      <c r="AOO206" s="412"/>
      <c r="AOP206" s="412"/>
      <c r="AOQ206" s="412"/>
      <c r="AOR206" s="412"/>
      <c r="AOS206" s="412"/>
      <c r="AOT206" s="412"/>
      <c r="AOU206" s="412"/>
      <c r="AOV206" s="412"/>
      <c r="AOW206" s="412"/>
      <c r="AOX206" s="412"/>
      <c r="AOY206" s="412"/>
      <c r="AOZ206" s="412"/>
      <c r="APA206" s="412"/>
      <c r="APB206" s="412"/>
      <c r="APC206" s="412"/>
      <c r="APD206" s="412"/>
      <c r="APE206" s="412"/>
      <c r="APF206" s="412"/>
      <c r="APG206" s="412"/>
      <c r="APH206" s="412"/>
      <c r="API206" s="412"/>
      <c r="APJ206" s="412"/>
      <c r="APK206" s="412"/>
      <c r="APL206" s="412"/>
      <c r="APM206" s="412"/>
      <c r="APN206" s="412"/>
      <c r="APO206" s="412"/>
      <c r="APP206" s="412"/>
      <c r="APQ206" s="412"/>
      <c r="APR206" s="412"/>
      <c r="APS206" s="412"/>
      <c r="APT206" s="412"/>
      <c r="APU206" s="412"/>
      <c r="APV206" s="412"/>
      <c r="APW206" s="412"/>
      <c r="APX206" s="412"/>
      <c r="APY206" s="412"/>
      <c r="APZ206" s="412"/>
      <c r="AQA206" s="412"/>
      <c r="AQB206" s="412"/>
      <c r="AQC206" s="412"/>
      <c r="AQD206" s="412"/>
      <c r="AQE206" s="412"/>
      <c r="AQF206" s="412"/>
      <c r="AQG206" s="412"/>
      <c r="AQH206" s="412"/>
      <c r="AQI206" s="412"/>
      <c r="AQJ206" s="412"/>
      <c r="AQK206" s="412"/>
      <c r="AQL206" s="412"/>
      <c r="AQM206" s="412"/>
      <c r="AQN206" s="412"/>
      <c r="AQO206" s="412"/>
      <c r="AQP206" s="412"/>
      <c r="AQQ206" s="412"/>
      <c r="AQR206" s="412"/>
      <c r="AQS206" s="412"/>
      <c r="AQT206" s="412"/>
      <c r="AQU206" s="412"/>
      <c r="AQV206" s="412"/>
      <c r="AQW206" s="412"/>
      <c r="AQX206" s="412"/>
      <c r="AQY206" s="412"/>
      <c r="AQZ206" s="412"/>
      <c r="ARA206" s="412"/>
      <c r="ARB206" s="412"/>
      <c r="ARC206" s="412"/>
      <c r="ARD206" s="412"/>
      <c r="ARE206" s="412"/>
      <c r="ARF206" s="412"/>
      <c r="ARG206" s="412"/>
      <c r="ARH206" s="412"/>
      <c r="ARI206" s="412"/>
      <c r="ARJ206" s="412"/>
      <c r="ARK206" s="412"/>
      <c r="ARL206" s="412"/>
      <c r="ARM206" s="412"/>
      <c r="ARN206" s="412"/>
      <c r="ARO206" s="412"/>
      <c r="ARP206" s="412"/>
      <c r="ARQ206" s="412"/>
      <c r="ARR206" s="412"/>
      <c r="ARS206" s="412"/>
      <c r="ART206" s="412"/>
      <c r="ARU206" s="412"/>
      <c r="ARV206" s="412"/>
      <c r="ARW206" s="412"/>
      <c r="ARX206" s="412"/>
      <c r="ARY206" s="412"/>
      <c r="ARZ206" s="412"/>
      <c r="ASA206" s="412"/>
      <c r="ASB206" s="412"/>
      <c r="ASC206" s="412"/>
      <c r="ASD206" s="412"/>
      <c r="ASE206" s="412"/>
      <c r="ASF206" s="412"/>
      <c r="ASG206" s="412"/>
      <c r="ASH206" s="412"/>
      <c r="ASI206" s="412"/>
      <c r="ASJ206" s="412"/>
      <c r="ASK206" s="412"/>
      <c r="ASL206" s="412"/>
      <c r="ASM206" s="412"/>
      <c r="ASN206" s="412"/>
      <c r="ASO206" s="412"/>
      <c r="ASP206" s="412"/>
      <c r="ASQ206" s="412"/>
      <c r="ASR206" s="412"/>
      <c r="ASS206" s="412"/>
      <c r="AST206" s="412"/>
      <c r="ASU206" s="412"/>
      <c r="ASV206" s="412"/>
      <c r="ASW206" s="412"/>
      <c r="ASX206" s="412"/>
      <c r="ASY206" s="412"/>
      <c r="ASZ206" s="412"/>
      <c r="ATA206" s="412"/>
      <c r="ATB206" s="412"/>
      <c r="ATC206" s="412"/>
      <c r="ATD206" s="412"/>
      <c r="ATE206" s="412"/>
      <c r="ATF206" s="412"/>
      <c r="ATG206" s="412"/>
      <c r="ATH206" s="412"/>
      <c r="ATI206" s="412"/>
      <c r="ATJ206" s="412"/>
      <c r="ATK206" s="412"/>
      <c r="ATL206" s="412"/>
      <c r="ATM206" s="412"/>
      <c r="ATN206" s="412"/>
      <c r="ATO206" s="412"/>
      <c r="ATP206" s="412"/>
      <c r="ATQ206" s="412"/>
      <c r="ATR206" s="412"/>
      <c r="ATS206" s="412"/>
      <c r="ATT206" s="412"/>
      <c r="ATU206" s="412"/>
      <c r="ATV206" s="412"/>
      <c r="ATW206" s="412"/>
      <c r="ATX206" s="412"/>
      <c r="ATY206" s="412"/>
      <c r="ATZ206" s="412"/>
      <c r="AUA206" s="412"/>
      <c r="AUB206" s="412"/>
      <c r="AUC206" s="412"/>
      <c r="AUD206" s="412"/>
      <c r="AUE206" s="412"/>
      <c r="AUF206" s="412"/>
      <c r="AUG206" s="412"/>
      <c r="AUH206" s="412"/>
      <c r="AUI206" s="412"/>
      <c r="AUJ206" s="412"/>
      <c r="AUK206" s="412"/>
      <c r="AUL206" s="412"/>
      <c r="AUM206" s="412"/>
      <c r="AUN206" s="412"/>
      <c r="AUO206" s="412"/>
      <c r="AUP206" s="412"/>
      <c r="AUQ206" s="412"/>
      <c r="AUR206" s="412"/>
      <c r="AUS206" s="412"/>
      <c r="AUT206" s="412"/>
      <c r="AUU206" s="412"/>
      <c r="AUV206" s="412"/>
      <c r="AUW206" s="412"/>
      <c r="AUX206" s="412"/>
      <c r="AUY206" s="412"/>
      <c r="AUZ206" s="412"/>
      <c r="AVA206" s="412"/>
      <c r="AVB206" s="412"/>
      <c r="AVC206" s="412"/>
      <c r="AVD206" s="412"/>
      <c r="AVE206" s="412"/>
      <c r="AVF206" s="412"/>
      <c r="AVG206" s="412"/>
      <c r="AVH206" s="412"/>
      <c r="AVI206" s="412"/>
      <c r="AVJ206" s="412"/>
      <c r="AVK206" s="412"/>
      <c r="AVL206" s="412"/>
      <c r="AVM206" s="412"/>
      <c r="AVN206" s="412"/>
      <c r="AVO206" s="412"/>
      <c r="AVP206" s="412"/>
      <c r="AVQ206" s="412"/>
      <c r="AVR206" s="412"/>
      <c r="AVS206" s="412"/>
      <c r="AVT206" s="412"/>
      <c r="AVU206" s="412"/>
      <c r="AVV206" s="412"/>
      <c r="AVW206" s="412"/>
      <c r="AVX206" s="412"/>
      <c r="AVY206" s="412"/>
      <c r="AVZ206" s="412"/>
      <c r="AWA206" s="412"/>
      <c r="AWB206" s="412"/>
      <c r="AWC206" s="412"/>
      <c r="AWD206" s="412"/>
      <c r="AWE206" s="412"/>
      <c r="AWF206" s="412"/>
      <c r="AWG206" s="412"/>
      <c r="AWH206" s="412"/>
      <c r="AWI206" s="412"/>
      <c r="AWJ206" s="412"/>
      <c r="AWK206" s="412"/>
      <c r="AWL206" s="412"/>
      <c r="AWM206" s="412"/>
      <c r="AWN206" s="412"/>
      <c r="AWO206" s="412"/>
      <c r="AWP206" s="412"/>
      <c r="AWQ206" s="412"/>
      <c r="AWR206" s="412"/>
      <c r="AWS206" s="412"/>
      <c r="AWT206" s="412"/>
      <c r="AWU206" s="412"/>
      <c r="AWV206" s="412"/>
      <c r="AWW206" s="412"/>
      <c r="AWX206" s="412"/>
      <c r="AWY206" s="412"/>
      <c r="AWZ206" s="412"/>
      <c r="AXA206" s="412"/>
      <c r="AXB206" s="412"/>
      <c r="AXC206" s="412"/>
      <c r="AXD206" s="412"/>
      <c r="AXE206" s="412"/>
      <c r="AXF206" s="412"/>
      <c r="AXG206" s="412"/>
      <c r="AXH206" s="412"/>
      <c r="AXI206" s="412"/>
      <c r="AXJ206" s="412"/>
      <c r="AXK206" s="412"/>
      <c r="AXL206" s="412"/>
      <c r="AXM206" s="412"/>
      <c r="AXN206" s="412"/>
      <c r="AXO206" s="412"/>
      <c r="AXP206" s="412"/>
      <c r="AXQ206" s="412"/>
      <c r="AXR206" s="412"/>
      <c r="AXS206" s="412"/>
      <c r="AXT206" s="412"/>
      <c r="AXU206" s="412"/>
      <c r="AXV206" s="412"/>
      <c r="AXW206" s="412"/>
      <c r="AXX206" s="412"/>
      <c r="AXY206" s="412"/>
      <c r="AXZ206" s="412"/>
      <c r="AYA206" s="412"/>
      <c r="AYB206" s="412"/>
      <c r="AYC206" s="412"/>
      <c r="AYD206" s="412"/>
      <c r="AYE206" s="412"/>
      <c r="AYF206" s="412"/>
      <c r="AYG206" s="412"/>
      <c r="AYH206" s="412"/>
      <c r="AYI206" s="412"/>
      <c r="AYJ206" s="412"/>
      <c r="AYK206" s="412"/>
      <c r="AYL206" s="412"/>
      <c r="AYM206" s="412"/>
      <c r="AYN206" s="412"/>
      <c r="AYO206" s="412"/>
      <c r="AYP206" s="412"/>
      <c r="AYQ206" s="412"/>
      <c r="AYR206" s="412"/>
      <c r="AYS206" s="412"/>
      <c r="AYT206" s="412"/>
      <c r="AYU206" s="412"/>
      <c r="AYV206" s="412"/>
      <c r="AYW206" s="412"/>
      <c r="AYX206" s="412"/>
      <c r="AYY206" s="412"/>
      <c r="AYZ206" s="412"/>
      <c r="AZA206" s="412"/>
      <c r="AZB206" s="412"/>
      <c r="AZC206" s="412"/>
      <c r="AZD206" s="412"/>
      <c r="AZE206" s="412"/>
      <c r="AZF206" s="412"/>
      <c r="AZG206" s="412"/>
      <c r="AZH206" s="412"/>
      <c r="AZI206" s="412"/>
      <c r="AZJ206" s="412"/>
      <c r="AZK206" s="412"/>
      <c r="AZL206" s="412"/>
      <c r="AZM206" s="412"/>
      <c r="AZN206" s="412"/>
      <c r="AZO206" s="412"/>
      <c r="AZP206" s="412"/>
      <c r="AZQ206" s="412"/>
      <c r="AZR206" s="412"/>
      <c r="AZS206" s="412"/>
      <c r="AZT206" s="412"/>
      <c r="AZU206" s="412"/>
      <c r="AZV206" s="412"/>
      <c r="AZW206" s="412"/>
      <c r="AZX206" s="412"/>
      <c r="AZY206" s="412"/>
      <c r="AZZ206" s="412"/>
      <c r="BAA206" s="412"/>
      <c r="BAB206" s="412"/>
      <c r="BAC206" s="412"/>
      <c r="BAD206" s="412"/>
      <c r="BAE206" s="412"/>
      <c r="BAF206" s="412"/>
      <c r="BAG206" s="412"/>
      <c r="BAH206" s="412"/>
      <c r="BAI206" s="412"/>
      <c r="BAJ206" s="412"/>
      <c r="BAK206" s="412"/>
      <c r="BAL206" s="412"/>
      <c r="BAM206" s="412"/>
      <c r="BAN206" s="412"/>
      <c r="BAO206" s="412"/>
      <c r="BAP206" s="412"/>
      <c r="BAQ206" s="412"/>
      <c r="BAR206" s="412"/>
      <c r="BAS206" s="412"/>
      <c r="BAT206" s="412"/>
      <c r="BAU206" s="412"/>
      <c r="BAV206" s="412"/>
      <c r="BAW206" s="412"/>
      <c r="BAX206" s="412"/>
      <c r="BAY206" s="412"/>
      <c r="BAZ206" s="412"/>
      <c r="BBA206" s="412"/>
      <c r="BBB206" s="412"/>
      <c r="BBC206" s="412"/>
      <c r="BBD206" s="412"/>
      <c r="BBE206" s="412"/>
      <c r="BBF206" s="412"/>
      <c r="BBG206" s="412"/>
      <c r="BBH206" s="412"/>
      <c r="BBI206" s="412"/>
      <c r="BBJ206" s="412"/>
      <c r="BBK206" s="412"/>
      <c r="BBL206" s="412"/>
      <c r="BBM206" s="412"/>
      <c r="BBN206" s="412"/>
      <c r="BBO206" s="412"/>
      <c r="BBP206" s="412"/>
      <c r="BBQ206" s="412"/>
      <c r="BBR206" s="412"/>
      <c r="BBS206" s="412"/>
      <c r="BBT206" s="412"/>
      <c r="BBU206" s="412"/>
      <c r="BBV206" s="412"/>
      <c r="BBW206" s="412"/>
      <c r="BBX206" s="412"/>
      <c r="BBY206" s="412"/>
      <c r="BBZ206" s="412"/>
      <c r="BCA206" s="412"/>
      <c r="BCB206" s="412"/>
      <c r="BCC206" s="412"/>
      <c r="BCD206" s="412"/>
      <c r="BCE206" s="412"/>
      <c r="BCF206" s="412"/>
      <c r="BCG206" s="412"/>
      <c r="BCH206" s="412"/>
      <c r="BCI206" s="412"/>
      <c r="BCJ206" s="412"/>
      <c r="BCK206" s="412"/>
      <c r="BCL206" s="412"/>
      <c r="BCM206" s="412"/>
      <c r="BCN206" s="412"/>
      <c r="BCO206" s="412"/>
      <c r="BCP206" s="412"/>
      <c r="BCQ206" s="412"/>
      <c r="BCR206" s="412"/>
      <c r="BCS206" s="412"/>
      <c r="BCT206" s="412"/>
      <c r="BCU206" s="412"/>
      <c r="BCV206" s="412"/>
      <c r="BCW206" s="412"/>
      <c r="BCX206" s="412"/>
      <c r="BCY206" s="412"/>
      <c r="BCZ206" s="412"/>
      <c r="BDA206" s="412"/>
      <c r="BDB206" s="412"/>
      <c r="BDC206" s="412"/>
      <c r="BDD206" s="412"/>
      <c r="BDE206" s="412"/>
      <c r="BDF206" s="412"/>
      <c r="BDG206" s="412"/>
      <c r="BDH206" s="412"/>
      <c r="BDI206" s="412"/>
      <c r="BDJ206" s="412"/>
      <c r="BDK206" s="412"/>
      <c r="BDL206" s="412"/>
      <c r="BDM206" s="412"/>
      <c r="BDN206" s="412"/>
      <c r="BDO206" s="412"/>
      <c r="BDP206" s="412"/>
      <c r="BDQ206" s="412"/>
      <c r="BDR206" s="412"/>
      <c r="BDS206" s="412"/>
      <c r="BDT206" s="412"/>
      <c r="BDU206" s="412"/>
      <c r="BDV206" s="412"/>
      <c r="BDW206" s="412"/>
      <c r="BDX206" s="412"/>
      <c r="BDY206" s="412"/>
      <c r="BDZ206" s="412"/>
      <c r="BEA206" s="412"/>
      <c r="BEB206" s="412"/>
      <c r="BEC206" s="412"/>
      <c r="BED206" s="412"/>
      <c r="BEE206" s="412"/>
      <c r="BEF206" s="412"/>
      <c r="BEG206" s="412"/>
      <c r="BEH206" s="412"/>
      <c r="BEI206" s="412"/>
      <c r="BEJ206" s="412"/>
      <c r="BEK206" s="412"/>
      <c r="BEL206" s="412"/>
      <c r="BEM206" s="412"/>
      <c r="BEN206" s="412"/>
      <c r="BEO206" s="412"/>
      <c r="BEP206" s="412"/>
      <c r="BEQ206" s="412"/>
      <c r="BER206" s="412"/>
      <c r="BES206" s="412"/>
      <c r="BET206" s="412"/>
      <c r="BEU206" s="412"/>
      <c r="BEV206" s="412"/>
      <c r="BEW206" s="412"/>
      <c r="BEX206" s="412"/>
      <c r="BEY206" s="412"/>
      <c r="BEZ206" s="412"/>
      <c r="BFA206" s="412"/>
      <c r="BFB206" s="412"/>
      <c r="BFC206" s="412"/>
      <c r="BFD206" s="412"/>
      <c r="BFE206" s="412"/>
      <c r="BFF206" s="412"/>
      <c r="BFG206" s="412"/>
      <c r="BFH206" s="412"/>
      <c r="BFI206" s="412"/>
      <c r="BFJ206" s="412"/>
      <c r="BFK206" s="412"/>
      <c r="BFL206" s="412"/>
      <c r="BFM206" s="412"/>
      <c r="BFN206" s="412"/>
      <c r="BFO206" s="412"/>
      <c r="BFP206" s="412"/>
      <c r="BFQ206" s="412"/>
      <c r="BFR206" s="412"/>
      <c r="BFS206" s="412"/>
      <c r="BFT206" s="412"/>
      <c r="BFU206" s="412"/>
      <c r="BFV206" s="412"/>
      <c r="BFW206" s="412"/>
      <c r="BFX206" s="412"/>
      <c r="BFY206" s="412"/>
      <c r="BFZ206" s="412"/>
      <c r="BGA206" s="412"/>
      <c r="BGB206" s="412"/>
      <c r="BGC206" s="412"/>
      <c r="BGD206" s="412"/>
      <c r="BGE206" s="412"/>
      <c r="BGF206" s="412"/>
      <c r="BGG206" s="412"/>
      <c r="BGH206" s="412"/>
      <c r="BGI206" s="412"/>
      <c r="BGJ206" s="412"/>
      <c r="BGK206" s="412"/>
      <c r="BGL206" s="412"/>
      <c r="BGM206" s="412"/>
      <c r="BGN206" s="412"/>
      <c r="BGO206" s="412"/>
      <c r="BGP206" s="412"/>
      <c r="BGQ206" s="412"/>
      <c r="BGR206" s="412"/>
      <c r="BGS206" s="412"/>
      <c r="BGT206" s="412"/>
      <c r="BGU206" s="412"/>
      <c r="BGV206" s="412"/>
      <c r="BGW206" s="412"/>
      <c r="BGX206" s="412"/>
      <c r="BGY206" s="412"/>
      <c r="BGZ206" s="412"/>
      <c r="BHA206" s="412"/>
      <c r="BHB206" s="412"/>
      <c r="BHC206" s="412"/>
      <c r="BHD206" s="412"/>
      <c r="BHE206" s="412"/>
      <c r="BHF206" s="412"/>
      <c r="BHG206" s="412"/>
      <c r="BHH206" s="412"/>
      <c r="BHI206" s="412"/>
      <c r="BHJ206" s="412"/>
      <c r="BHK206" s="412"/>
      <c r="BHL206" s="412"/>
      <c r="BHM206" s="412"/>
      <c r="BHN206" s="412"/>
      <c r="BHO206" s="412"/>
      <c r="BHP206" s="412"/>
      <c r="BHQ206" s="412"/>
      <c r="BHR206" s="412"/>
      <c r="BHS206" s="412"/>
      <c r="BHT206" s="412"/>
      <c r="BHU206" s="412"/>
      <c r="BHV206" s="412"/>
      <c r="BHW206" s="412"/>
      <c r="BHX206" s="412"/>
      <c r="BHY206" s="412"/>
      <c r="BHZ206" s="412"/>
      <c r="BIA206" s="412"/>
      <c r="BIB206" s="412"/>
      <c r="BIC206" s="412"/>
      <c r="BID206" s="412"/>
      <c r="BIE206" s="412"/>
      <c r="BIF206" s="412"/>
      <c r="BIG206" s="412"/>
      <c r="BIH206" s="412"/>
      <c r="BII206" s="412"/>
      <c r="BIJ206" s="412"/>
      <c r="BIK206" s="412"/>
      <c r="BIL206" s="412"/>
      <c r="BIM206" s="412"/>
      <c r="BIN206" s="412"/>
      <c r="BIO206" s="412"/>
      <c r="BIP206" s="412"/>
      <c r="BIQ206" s="412"/>
      <c r="BIR206" s="412"/>
      <c r="BIS206" s="412"/>
      <c r="BIT206" s="412"/>
      <c r="BIU206" s="412"/>
      <c r="BIV206" s="412"/>
      <c r="BIW206" s="412"/>
      <c r="BIX206" s="412"/>
      <c r="BIY206" s="412"/>
      <c r="BIZ206" s="412"/>
      <c r="BJA206" s="412"/>
      <c r="BJB206" s="412"/>
      <c r="BJC206" s="412"/>
      <c r="BJD206" s="412"/>
      <c r="BJE206" s="412"/>
      <c r="BJF206" s="412"/>
      <c r="BJG206" s="412"/>
      <c r="BJH206" s="412"/>
      <c r="BJI206" s="412"/>
      <c r="BJJ206" s="412"/>
      <c r="BJK206" s="412"/>
      <c r="BJL206" s="412"/>
      <c r="BJM206" s="412"/>
      <c r="BJN206" s="412"/>
      <c r="BJO206" s="412"/>
      <c r="BJP206" s="412"/>
      <c r="BJQ206" s="412"/>
      <c r="BJR206" s="412"/>
      <c r="BJS206" s="412"/>
      <c r="BJT206" s="412"/>
      <c r="BJU206" s="412"/>
      <c r="BJV206" s="412"/>
      <c r="BJW206" s="412"/>
      <c r="BJX206" s="412"/>
      <c r="BJY206" s="412"/>
      <c r="BJZ206" s="412"/>
      <c r="BKA206" s="412"/>
      <c r="BKB206" s="412"/>
      <c r="BKC206" s="412"/>
      <c r="BKD206" s="412"/>
      <c r="BKE206" s="412"/>
      <c r="BKF206" s="412"/>
      <c r="BKG206" s="412"/>
      <c r="BKH206" s="412"/>
      <c r="BKI206" s="412"/>
      <c r="BKJ206" s="412"/>
      <c r="BKK206" s="412"/>
      <c r="BKL206" s="412"/>
      <c r="BKM206" s="412"/>
      <c r="BKN206" s="412"/>
      <c r="BKO206" s="412"/>
      <c r="BKP206" s="412"/>
      <c r="BKQ206" s="412"/>
      <c r="BKR206" s="412"/>
      <c r="BKS206" s="412"/>
      <c r="BKT206" s="412"/>
      <c r="BKU206" s="412"/>
      <c r="BKV206" s="412"/>
      <c r="BKW206" s="412"/>
      <c r="BKX206" s="412"/>
      <c r="BKY206" s="412"/>
      <c r="BKZ206" s="412"/>
      <c r="BLA206" s="412"/>
      <c r="BLB206" s="412"/>
      <c r="BLC206" s="412"/>
      <c r="BLD206" s="412"/>
      <c r="BLE206" s="412"/>
      <c r="BLF206" s="412"/>
      <c r="BLG206" s="412"/>
      <c r="BLH206" s="412"/>
      <c r="BLI206" s="412"/>
      <c r="BLJ206" s="412"/>
      <c r="BLK206" s="412"/>
      <c r="BLL206" s="412"/>
      <c r="BLM206" s="412"/>
      <c r="BLN206" s="412"/>
      <c r="BLO206" s="412"/>
      <c r="BLP206" s="412"/>
      <c r="BLQ206" s="412"/>
      <c r="BLR206" s="412"/>
      <c r="BLS206" s="412"/>
      <c r="BLT206" s="412"/>
      <c r="BLU206" s="412"/>
      <c r="BLV206" s="412"/>
      <c r="BLW206" s="412"/>
      <c r="BLX206" s="412"/>
      <c r="BLY206" s="412"/>
      <c r="BLZ206" s="412"/>
      <c r="BMA206" s="412"/>
      <c r="BMB206" s="412"/>
      <c r="BMC206" s="412"/>
      <c r="BMD206" s="412"/>
      <c r="BME206" s="412"/>
      <c r="BMF206" s="412"/>
      <c r="BMG206" s="412"/>
      <c r="BMH206" s="412"/>
      <c r="BMI206" s="412"/>
      <c r="BMJ206" s="412"/>
      <c r="BMK206" s="412"/>
      <c r="BML206" s="412"/>
      <c r="BMM206" s="412"/>
      <c r="BMN206" s="412"/>
      <c r="BMO206" s="412"/>
      <c r="BMP206" s="412"/>
      <c r="BMQ206" s="412"/>
      <c r="BMR206" s="412"/>
      <c r="BMS206" s="412"/>
      <c r="BMT206" s="412"/>
      <c r="BMU206" s="412"/>
      <c r="BMV206" s="412"/>
      <c r="BMW206" s="412"/>
      <c r="BMX206" s="412"/>
      <c r="BMY206" s="412"/>
      <c r="BMZ206" s="412"/>
      <c r="BNA206" s="412"/>
      <c r="BNB206" s="412"/>
      <c r="BNC206" s="412"/>
      <c r="BND206" s="412"/>
      <c r="BNE206" s="412"/>
      <c r="BNF206" s="412"/>
      <c r="BNG206" s="412"/>
      <c r="BNH206" s="412"/>
      <c r="BNI206" s="412"/>
      <c r="BNJ206" s="412"/>
      <c r="BNK206" s="412"/>
      <c r="BNL206" s="412"/>
      <c r="BNM206" s="412"/>
      <c r="BNN206" s="412"/>
      <c r="BNO206" s="412"/>
      <c r="BNP206" s="412"/>
      <c r="BNQ206" s="412"/>
      <c r="BNR206" s="412"/>
      <c r="BNS206" s="412"/>
      <c r="BNT206" s="412"/>
      <c r="BNU206" s="412"/>
      <c r="BNV206" s="412"/>
      <c r="BNW206" s="412"/>
      <c r="BNX206" s="412"/>
      <c r="BNY206" s="412"/>
      <c r="BNZ206" s="412"/>
      <c r="BOA206" s="412"/>
      <c r="BOB206" s="412"/>
      <c r="BOC206" s="412"/>
      <c r="BOD206" s="412"/>
      <c r="BOE206" s="412"/>
      <c r="BOF206" s="412"/>
      <c r="BOG206" s="412"/>
      <c r="BOH206" s="412"/>
      <c r="BOI206" s="412"/>
      <c r="BOJ206" s="412"/>
      <c r="BOK206" s="412"/>
      <c r="BOL206" s="412"/>
      <c r="BOM206" s="412"/>
      <c r="BON206" s="412"/>
      <c r="BOO206" s="412"/>
      <c r="BOP206" s="412"/>
      <c r="BOQ206" s="412"/>
      <c r="BOR206" s="412"/>
      <c r="BOS206" s="412"/>
      <c r="BOT206" s="412"/>
      <c r="BOU206" s="412"/>
      <c r="BOV206" s="412"/>
      <c r="BOW206" s="412"/>
      <c r="BOX206" s="412"/>
      <c r="BOY206" s="412"/>
      <c r="BOZ206" s="412"/>
      <c r="BPA206" s="412"/>
      <c r="BPB206" s="412"/>
      <c r="BPC206" s="412"/>
      <c r="BPD206" s="412"/>
      <c r="BPE206" s="412"/>
      <c r="BPF206" s="412"/>
      <c r="BPG206" s="412"/>
      <c r="BPH206" s="412"/>
      <c r="BPI206" s="412"/>
      <c r="BPJ206" s="412"/>
      <c r="BPK206" s="412"/>
      <c r="BPL206" s="412"/>
      <c r="BPM206" s="412"/>
      <c r="BPN206" s="412"/>
      <c r="BPO206" s="412"/>
      <c r="BPP206" s="412"/>
      <c r="BPQ206" s="412"/>
      <c r="BPR206" s="412"/>
      <c r="BPS206" s="412"/>
      <c r="BPT206" s="412"/>
      <c r="BPU206" s="412"/>
      <c r="BPV206" s="412"/>
      <c r="BPW206" s="412"/>
      <c r="BPX206" s="412"/>
      <c r="BPY206" s="412"/>
      <c r="BPZ206" s="412"/>
      <c r="BQA206" s="412"/>
      <c r="BQB206" s="412"/>
      <c r="BQC206" s="412"/>
      <c r="BQD206" s="412"/>
      <c r="BQE206" s="412"/>
      <c r="BQF206" s="412"/>
      <c r="BQG206" s="412"/>
      <c r="BQH206" s="412"/>
      <c r="BQI206" s="412"/>
      <c r="BQJ206" s="412"/>
      <c r="BQK206" s="412"/>
      <c r="BQL206" s="412"/>
      <c r="BQM206" s="412"/>
      <c r="BQN206" s="412"/>
      <c r="BQO206" s="412"/>
      <c r="BQP206" s="412"/>
      <c r="BQQ206" s="412"/>
      <c r="BQR206" s="412"/>
      <c r="BQS206" s="412"/>
      <c r="BQT206" s="412"/>
      <c r="BQU206" s="412"/>
      <c r="BQV206" s="412"/>
      <c r="BQW206" s="412"/>
      <c r="BQX206" s="412"/>
      <c r="BQY206" s="412"/>
      <c r="BQZ206" s="412"/>
      <c r="BRA206" s="412"/>
      <c r="BRB206" s="412"/>
      <c r="BRC206" s="412"/>
      <c r="BRD206" s="412"/>
      <c r="BRE206" s="412"/>
      <c r="BRF206" s="412"/>
      <c r="BRG206" s="412"/>
      <c r="BRH206" s="412"/>
      <c r="BRI206" s="412"/>
      <c r="BRJ206" s="412"/>
      <c r="BRK206" s="412"/>
      <c r="BRL206" s="412"/>
      <c r="BRM206" s="412"/>
      <c r="BRN206" s="412"/>
      <c r="BRO206" s="412"/>
      <c r="BRP206" s="412"/>
      <c r="BRQ206" s="412"/>
      <c r="BRR206" s="412"/>
      <c r="BRS206" s="412"/>
      <c r="BRT206" s="412"/>
      <c r="BRU206" s="412"/>
      <c r="BRV206" s="412"/>
      <c r="BRW206" s="412"/>
      <c r="BRX206" s="412"/>
      <c r="BRY206" s="412"/>
      <c r="BRZ206" s="412"/>
      <c r="BSA206" s="412"/>
      <c r="BSB206" s="412"/>
      <c r="BSC206" s="412"/>
      <c r="BSD206" s="412"/>
      <c r="BSE206" s="412"/>
      <c r="BSF206" s="412"/>
      <c r="BSG206" s="412"/>
      <c r="BSH206" s="412"/>
      <c r="BSI206" s="412"/>
      <c r="BSJ206" s="412"/>
      <c r="BSK206" s="412"/>
      <c r="BSL206" s="412"/>
      <c r="BSM206" s="412"/>
      <c r="BSN206" s="412"/>
      <c r="BSO206" s="412"/>
      <c r="BSP206" s="412"/>
      <c r="BSQ206" s="412"/>
      <c r="BSR206" s="412"/>
      <c r="BSS206" s="412"/>
      <c r="BST206" s="412"/>
      <c r="BSU206" s="412"/>
      <c r="BSV206" s="412"/>
      <c r="BSW206" s="412"/>
      <c r="BSX206" s="412"/>
      <c r="BSY206" s="412"/>
      <c r="BSZ206" s="412"/>
      <c r="BTA206" s="412"/>
      <c r="BTB206" s="412"/>
      <c r="BTC206" s="412"/>
      <c r="BTD206" s="412"/>
      <c r="BTE206" s="412"/>
      <c r="BTF206" s="412"/>
      <c r="BTG206" s="412"/>
      <c r="BTH206" s="412"/>
      <c r="BTI206" s="412"/>
    </row>
    <row r="207" spans="1:1881" s="408" customFormat="1" ht="179.25" customHeight="1" x14ac:dyDescent="0.25">
      <c r="A207" s="189">
        <v>577</v>
      </c>
      <c r="B207" s="151"/>
      <c r="C207" s="151" t="s">
        <v>633</v>
      </c>
      <c r="D207" s="342" t="s">
        <v>774</v>
      </c>
      <c r="E207" s="310"/>
      <c r="F207" s="609"/>
      <c r="G207" s="580" t="str">
        <f>IF(F207="Yes","In this cell - Please include the name of the plan, a brief description of the benefit and the population group that received the benefits."," ")</f>
        <v xml:space="preserve"> </v>
      </c>
      <c r="H207" s="67"/>
      <c r="I207" s="15"/>
      <c r="J207" s="368"/>
      <c r="K207" s="412"/>
      <c r="L207" s="412"/>
      <c r="M207" s="412"/>
      <c r="N207"/>
      <c r="O207" s="412"/>
      <c r="P207" s="412"/>
      <c r="Q207" s="412"/>
      <c r="R207" s="412"/>
      <c r="S207" s="412"/>
      <c r="T207" s="412"/>
      <c r="U207" s="412"/>
      <c r="V207" s="412"/>
      <c r="W207" s="412"/>
      <c r="X207" s="412"/>
      <c r="Y207" s="412"/>
      <c r="Z207" s="412"/>
      <c r="AA207" s="412"/>
      <c r="AB207" s="412"/>
      <c r="AC207" s="412"/>
      <c r="AD207" s="412"/>
      <c r="AE207" s="412"/>
      <c r="AF207" s="412"/>
      <c r="AG207" s="412"/>
      <c r="AH207" s="412"/>
      <c r="AI207" s="412"/>
      <c r="AJ207" s="412"/>
      <c r="AK207" s="412"/>
      <c r="AL207" s="412"/>
      <c r="AM207" s="412"/>
      <c r="AN207" s="412"/>
      <c r="AO207" s="412"/>
      <c r="AP207" s="412"/>
      <c r="AQ207" s="412"/>
      <c r="AR207" s="412"/>
      <c r="AS207" s="412"/>
      <c r="AT207" s="412"/>
      <c r="AU207" s="412"/>
      <c r="AV207" s="412"/>
      <c r="AW207" s="412"/>
      <c r="AX207" s="412"/>
      <c r="AY207" s="412"/>
      <c r="AZ207" s="412"/>
      <c r="BA207" s="412"/>
      <c r="BB207" s="412"/>
      <c r="BC207" s="412"/>
      <c r="BD207" s="412"/>
      <c r="BE207" s="412"/>
      <c r="BF207" s="412"/>
      <c r="BG207" s="412"/>
      <c r="BH207" s="412"/>
      <c r="BI207" s="412"/>
      <c r="BJ207" s="412"/>
      <c r="BK207" s="412"/>
      <c r="BL207" s="412"/>
      <c r="BM207" s="412"/>
      <c r="BN207" s="412"/>
      <c r="BO207" s="412"/>
      <c r="BP207" s="412"/>
      <c r="BQ207" s="412"/>
      <c r="BR207" s="412"/>
      <c r="BS207" s="412"/>
      <c r="BT207" s="412"/>
      <c r="BU207" s="412"/>
      <c r="BV207" s="412"/>
      <c r="BW207" s="412"/>
      <c r="BX207" s="412"/>
      <c r="BY207" s="412"/>
      <c r="BZ207" s="412"/>
      <c r="CA207" s="412"/>
      <c r="CB207" s="412"/>
      <c r="CC207" s="412"/>
      <c r="CD207" s="412"/>
      <c r="CE207" s="412"/>
      <c r="CF207" s="412"/>
      <c r="CG207" s="412"/>
      <c r="CH207" s="412"/>
      <c r="CI207" s="412"/>
      <c r="CJ207" s="412"/>
      <c r="CK207" s="412"/>
      <c r="CL207" s="412"/>
      <c r="CM207" s="412"/>
      <c r="CN207" s="412"/>
      <c r="CO207" s="412"/>
      <c r="CP207" s="412"/>
      <c r="CQ207" s="412"/>
      <c r="CR207" s="412"/>
      <c r="CS207" s="412"/>
      <c r="CT207" s="412"/>
      <c r="CU207" s="412"/>
      <c r="CV207" s="412"/>
      <c r="CW207" s="412"/>
      <c r="CX207" s="412"/>
      <c r="CY207" s="412"/>
      <c r="CZ207" s="412"/>
      <c r="DA207" s="412"/>
      <c r="DB207" s="412"/>
      <c r="DC207" s="412"/>
      <c r="DD207" s="412"/>
      <c r="DE207" s="412"/>
      <c r="DF207" s="412"/>
      <c r="DG207" s="412"/>
      <c r="DH207" s="412"/>
      <c r="DI207" s="412"/>
      <c r="DJ207" s="412"/>
      <c r="DK207" s="412"/>
      <c r="DL207" s="412"/>
      <c r="DM207" s="412"/>
      <c r="DN207" s="412"/>
      <c r="DO207" s="412"/>
      <c r="DP207" s="412"/>
      <c r="DQ207" s="412"/>
      <c r="DR207" s="412"/>
      <c r="DS207" s="412"/>
      <c r="DT207" s="412"/>
      <c r="DU207" s="412"/>
      <c r="DV207" s="412"/>
      <c r="DW207" s="412"/>
      <c r="DX207" s="412"/>
      <c r="DY207" s="412"/>
      <c r="DZ207" s="412"/>
      <c r="EA207" s="412"/>
      <c r="EB207" s="412"/>
      <c r="EC207" s="412"/>
      <c r="ED207" s="412"/>
      <c r="EE207" s="412"/>
      <c r="EF207" s="412"/>
      <c r="EG207" s="412"/>
      <c r="EH207" s="412"/>
      <c r="EI207" s="412"/>
      <c r="EJ207" s="412"/>
      <c r="EK207" s="412"/>
      <c r="EL207" s="412"/>
      <c r="EM207" s="412"/>
      <c r="EN207" s="412"/>
      <c r="EO207" s="412"/>
      <c r="EP207" s="412"/>
      <c r="EQ207" s="412"/>
      <c r="ER207" s="412"/>
      <c r="ES207" s="412"/>
      <c r="ET207" s="412"/>
      <c r="EU207" s="412"/>
      <c r="EV207" s="412"/>
      <c r="EW207" s="412"/>
      <c r="EX207" s="412"/>
      <c r="EY207" s="412"/>
      <c r="EZ207" s="412"/>
      <c r="FA207" s="412"/>
      <c r="FB207" s="412"/>
      <c r="FC207" s="412"/>
      <c r="FD207" s="412"/>
      <c r="FE207" s="412"/>
      <c r="FF207" s="412"/>
      <c r="FG207" s="412"/>
      <c r="FH207" s="412"/>
      <c r="FI207" s="412"/>
      <c r="FJ207" s="412"/>
      <c r="FK207" s="412"/>
      <c r="FL207" s="412"/>
      <c r="FM207" s="412"/>
      <c r="FN207" s="412"/>
      <c r="FO207" s="412"/>
      <c r="FP207" s="412"/>
      <c r="FQ207" s="412"/>
      <c r="FR207" s="412"/>
      <c r="FS207" s="412"/>
      <c r="FT207" s="412"/>
      <c r="FU207" s="412"/>
      <c r="FV207" s="412"/>
      <c r="FW207" s="412"/>
      <c r="FX207" s="412"/>
      <c r="FY207" s="412"/>
      <c r="FZ207" s="412"/>
      <c r="GA207" s="412"/>
      <c r="GB207" s="412"/>
      <c r="GC207" s="412"/>
      <c r="GD207" s="412"/>
      <c r="GE207" s="412"/>
      <c r="GF207" s="412"/>
      <c r="GG207" s="412"/>
      <c r="GH207" s="412"/>
      <c r="GI207" s="412"/>
      <c r="GJ207" s="412"/>
      <c r="GK207" s="412"/>
      <c r="GL207" s="412"/>
      <c r="GM207" s="412"/>
      <c r="GN207" s="412"/>
      <c r="GO207" s="412"/>
      <c r="GP207" s="412"/>
      <c r="GQ207" s="412"/>
      <c r="GR207" s="412"/>
      <c r="GS207" s="412"/>
      <c r="GT207" s="412"/>
      <c r="GU207" s="412"/>
      <c r="GV207" s="412"/>
      <c r="GW207" s="412"/>
      <c r="GX207" s="412"/>
      <c r="GY207" s="412"/>
      <c r="GZ207" s="412"/>
      <c r="HA207" s="412"/>
      <c r="HB207" s="412"/>
      <c r="HC207" s="412"/>
      <c r="HD207" s="412"/>
      <c r="HE207" s="412"/>
      <c r="HF207" s="412"/>
      <c r="HG207" s="412"/>
      <c r="HH207" s="412"/>
      <c r="HI207" s="412"/>
      <c r="HJ207" s="412"/>
      <c r="HK207" s="412"/>
      <c r="HL207" s="412"/>
      <c r="HM207" s="412"/>
      <c r="HN207" s="412"/>
      <c r="HO207" s="412"/>
      <c r="HP207" s="412"/>
      <c r="HQ207" s="412"/>
      <c r="HR207" s="412"/>
      <c r="HS207" s="412"/>
      <c r="HT207" s="412"/>
      <c r="HU207" s="412"/>
      <c r="HV207" s="412"/>
      <c r="HW207" s="412"/>
      <c r="HX207" s="412"/>
      <c r="HY207" s="412"/>
      <c r="HZ207" s="412"/>
      <c r="IA207" s="412"/>
      <c r="IB207" s="412"/>
      <c r="IC207" s="412"/>
      <c r="ID207" s="412"/>
      <c r="IE207" s="412"/>
      <c r="IF207" s="412"/>
      <c r="IG207" s="412"/>
      <c r="IH207" s="412"/>
      <c r="II207" s="412"/>
      <c r="IJ207" s="412"/>
      <c r="IK207" s="412"/>
      <c r="IL207" s="412"/>
      <c r="IM207" s="412"/>
      <c r="IN207" s="412"/>
      <c r="IO207" s="412"/>
      <c r="IP207" s="412"/>
      <c r="IQ207" s="412"/>
      <c r="IR207" s="412"/>
      <c r="IS207" s="412"/>
      <c r="IT207" s="412"/>
      <c r="IU207" s="412"/>
      <c r="IV207" s="412"/>
      <c r="IW207" s="412"/>
      <c r="IX207" s="412"/>
      <c r="IY207" s="412"/>
      <c r="IZ207" s="412"/>
      <c r="JA207" s="412"/>
      <c r="JB207" s="412"/>
      <c r="JC207" s="412"/>
      <c r="JD207" s="412"/>
      <c r="JE207" s="412"/>
      <c r="JF207" s="412"/>
      <c r="JG207" s="412"/>
      <c r="JH207" s="412"/>
      <c r="JI207" s="412"/>
      <c r="JJ207" s="412"/>
      <c r="JK207" s="412"/>
      <c r="JL207" s="412"/>
      <c r="JM207" s="412"/>
      <c r="JN207" s="412"/>
      <c r="JO207" s="412"/>
      <c r="JP207" s="412"/>
      <c r="JQ207" s="412"/>
      <c r="JR207" s="412"/>
      <c r="JS207" s="412"/>
      <c r="JT207" s="412"/>
      <c r="JU207" s="412"/>
      <c r="JV207" s="412"/>
      <c r="JW207" s="412"/>
      <c r="JX207" s="412"/>
      <c r="JY207" s="412"/>
      <c r="JZ207" s="412"/>
      <c r="KA207" s="412"/>
      <c r="KB207" s="412"/>
      <c r="KC207" s="412"/>
      <c r="KD207" s="412"/>
      <c r="KE207" s="412"/>
      <c r="KF207" s="412"/>
      <c r="KG207" s="412"/>
      <c r="KH207" s="412"/>
      <c r="KI207" s="412"/>
      <c r="KJ207" s="412"/>
      <c r="KK207" s="412"/>
      <c r="KL207" s="412"/>
      <c r="KM207" s="412"/>
      <c r="KN207" s="412"/>
      <c r="KO207" s="412"/>
      <c r="KP207" s="412"/>
      <c r="KQ207" s="412"/>
      <c r="KR207" s="412"/>
      <c r="KS207" s="412"/>
      <c r="KT207" s="412"/>
      <c r="KU207" s="412"/>
      <c r="KV207" s="412"/>
      <c r="KW207" s="412"/>
      <c r="KX207" s="412"/>
      <c r="KY207" s="412"/>
      <c r="KZ207" s="412"/>
      <c r="LA207" s="412"/>
      <c r="LB207" s="412"/>
      <c r="LC207" s="412"/>
      <c r="LD207" s="412"/>
      <c r="LE207" s="412"/>
      <c r="LF207" s="412"/>
      <c r="LG207" s="412"/>
      <c r="LH207" s="412"/>
      <c r="LI207" s="412"/>
      <c r="LJ207" s="412"/>
      <c r="LK207" s="412"/>
      <c r="LL207" s="412"/>
      <c r="LM207" s="412"/>
      <c r="LN207" s="412"/>
      <c r="LO207" s="412"/>
      <c r="LP207" s="412"/>
      <c r="LQ207" s="412"/>
      <c r="LR207" s="412"/>
      <c r="LS207" s="412"/>
      <c r="LT207" s="412"/>
      <c r="LU207" s="412"/>
      <c r="LV207" s="412"/>
      <c r="LW207" s="412"/>
      <c r="LX207" s="412"/>
      <c r="LY207" s="412"/>
      <c r="LZ207" s="412"/>
      <c r="MA207" s="412"/>
      <c r="MB207" s="412"/>
      <c r="MC207" s="412"/>
      <c r="MD207" s="412"/>
      <c r="ME207" s="412"/>
      <c r="MF207" s="412"/>
      <c r="MG207" s="412"/>
      <c r="MH207" s="412"/>
      <c r="MI207" s="412"/>
      <c r="MJ207" s="412"/>
      <c r="MK207" s="412"/>
      <c r="ML207" s="412"/>
      <c r="MM207" s="412"/>
      <c r="MN207" s="412"/>
      <c r="MO207" s="412"/>
      <c r="MP207" s="412"/>
      <c r="MQ207" s="412"/>
      <c r="MR207" s="412"/>
      <c r="MS207" s="412"/>
      <c r="MT207" s="412"/>
      <c r="MU207" s="412"/>
      <c r="MV207" s="412"/>
      <c r="MW207" s="412"/>
      <c r="MX207" s="412"/>
      <c r="MY207" s="412"/>
      <c r="MZ207" s="412"/>
      <c r="NA207" s="412"/>
      <c r="NB207" s="412"/>
      <c r="NC207" s="412"/>
      <c r="ND207" s="412"/>
      <c r="NE207" s="412"/>
      <c r="NF207" s="412"/>
      <c r="NG207" s="412"/>
      <c r="NH207" s="412"/>
      <c r="NI207" s="412"/>
      <c r="NJ207" s="412"/>
      <c r="NK207" s="412"/>
      <c r="NL207" s="412"/>
      <c r="NM207" s="412"/>
      <c r="NN207" s="412"/>
      <c r="NO207" s="412"/>
      <c r="NP207" s="412"/>
      <c r="NQ207" s="412"/>
      <c r="NR207" s="412"/>
      <c r="NS207" s="412"/>
      <c r="NT207" s="412"/>
      <c r="NU207" s="412"/>
      <c r="NV207" s="412"/>
      <c r="NW207" s="412"/>
      <c r="NX207" s="412"/>
      <c r="NY207" s="412"/>
      <c r="NZ207" s="412"/>
      <c r="OA207" s="412"/>
      <c r="OB207" s="412"/>
      <c r="OC207" s="412"/>
      <c r="OD207" s="412"/>
      <c r="OE207" s="412"/>
      <c r="OF207" s="412"/>
      <c r="OG207" s="412"/>
      <c r="OH207" s="412"/>
      <c r="OI207" s="412"/>
      <c r="OJ207" s="412"/>
      <c r="OK207" s="412"/>
      <c r="OL207" s="412"/>
      <c r="OM207" s="412"/>
      <c r="ON207" s="412"/>
      <c r="OO207" s="412"/>
      <c r="OP207" s="412"/>
      <c r="OQ207" s="412"/>
      <c r="OR207" s="412"/>
      <c r="OS207" s="412"/>
      <c r="OT207" s="412"/>
      <c r="OU207" s="412"/>
      <c r="OV207" s="412"/>
      <c r="OW207" s="412"/>
      <c r="OX207" s="412"/>
      <c r="OY207" s="412"/>
      <c r="OZ207" s="412"/>
      <c r="PA207" s="412"/>
      <c r="PB207" s="412"/>
      <c r="PC207" s="412"/>
      <c r="PD207" s="412"/>
      <c r="PE207" s="412"/>
      <c r="PF207" s="412"/>
      <c r="PG207" s="412"/>
      <c r="PH207" s="412"/>
      <c r="PI207" s="412"/>
      <c r="PJ207" s="412"/>
      <c r="PK207" s="412"/>
      <c r="PL207" s="412"/>
      <c r="PM207" s="412"/>
      <c r="PN207" s="412"/>
      <c r="PO207" s="412"/>
      <c r="PP207" s="412"/>
      <c r="PQ207" s="412"/>
      <c r="PR207" s="412"/>
      <c r="PS207" s="412"/>
      <c r="PT207" s="412"/>
      <c r="PU207" s="412"/>
      <c r="PV207" s="412"/>
      <c r="PW207" s="412"/>
      <c r="PX207" s="412"/>
      <c r="PY207" s="412"/>
      <c r="PZ207" s="412"/>
      <c r="QA207" s="412"/>
      <c r="QB207" s="412"/>
      <c r="QC207" s="412"/>
      <c r="QD207" s="412"/>
      <c r="QE207" s="412"/>
      <c r="QF207" s="412"/>
      <c r="QG207" s="412"/>
      <c r="QH207" s="412"/>
      <c r="QI207" s="412"/>
      <c r="QJ207" s="412"/>
      <c r="QK207" s="412"/>
      <c r="QL207" s="412"/>
      <c r="QM207" s="412"/>
      <c r="QN207" s="412"/>
      <c r="QO207" s="412"/>
      <c r="QP207" s="412"/>
      <c r="QQ207" s="412"/>
      <c r="QR207" s="412"/>
      <c r="QS207" s="412"/>
      <c r="QT207" s="412"/>
      <c r="QU207" s="412"/>
      <c r="QV207" s="412"/>
      <c r="QW207" s="412"/>
      <c r="QX207" s="412"/>
      <c r="QY207" s="412"/>
      <c r="QZ207" s="412"/>
      <c r="RA207" s="412"/>
      <c r="RB207" s="412"/>
      <c r="RC207" s="412"/>
      <c r="RD207" s="412"/>
      <c r="RE207" s="412"/>
      <c r="RF207" s="412"/>
      <c r="RG207" s="412"/>
      <c r="RH207" s="412"/>
      <c r="RI207" s="412"/>
      <c r="RJ207" s="412"/>
      <c r="RK207" s="412"/>
      <c r="RL207" s="412"/>
      <c r="RM207" s="412"/>
      <c r="RN207" s="412"/>
      <c r="RO207" s="412"/>
      <c r="RP207" s="412"/>
      <c r="RQ207" s="412"/>
      <c r="RR207" s="412"/>
      <c r="RS207" s="412"/>
      <c r="RT207" s="412"/>
      <c r="RU207" s="412"/>
      <c r="RV207" s="412"/>
      <c r="RW207" s="412"/>
      <c r="RX207" s="412"/>
      <c r="RY207" s="412"/>
      <c r="RZ207" s="412"/>
      <c r="SA207" s="412"/>
      <c r="SB207" s="412"/>
      <c r="SC207" s="412"/>
      <c r="SD207" s="412"/>
      <c r="SE207" s="412"/>
      <c r="SF207" s="412"/>
      <c r="SG207" s="412"/>
      <c r="SH207" s="412"/>
      <c r="SI207" s="412"/>
      <c r="SJ207" s="412"/>
      <c r="SK207" s="412"/>
      <c r="SL207" s="412"/>
      <c r="SM207" s="412"/>
      <c r="SN207" s="412"/>
      <c r="SO207" s="412"/>
      <c r="SP207" s="412"/>
      <c r="SQ207" s="412"/>
      <c r="SR207" s="412"/>
      <c r="SS207" s="412"/>
      <c r="ST207" s="412"/>
      <c r="SU207" s="412"/>
      <c r="SV207" s="412"/>
      <c r="SW207" s="412"/>
      <c r="SX207" s="412"/>
      <c r="SY207" s="412"/>
      <c r="SZ207" s="412"/>
      <c r="TA207" s="412"/>
      <c r="TB207" s="412"/>
      <c r="TC207" s="412"/>
      <c r="TD207" s="412"/>
      <c r="TE207" s="412"/>
      <c r="TF207" s="412"/>
      <c r="TG207" s="412"/>
      <c r="TH207" s="412"/>
      <c r="TI207" s="412"/>
      <c r="TJ207" s="412"/>
      <c r="TK207" s="412"/>
      <c r="TL207" s="412"/>
      <c r="TM207" s="412"/>
      <c r="TN207" s="412"/>
      <c r="TO207" s="412"/>
      <c r="TP207" s="412"/>
      <c r="TQ207" s="412"/>
      <c r="TR207" s="412"/>
      <c r="TS207" s="412"/>
      <c r="TT207" s="412"/>
      <c r="TU207" s="412"/>
      <c r="TV207" s="412"/>
      <c r="TW207" s="412"/>
      <c r="TX207" s="412"/>
      <c r="TY207" s="412"/>
      <c r="TZ207" s="412"/>
      <c r="UA207" s="412"/>
      <c r="UB207" s="412"/>
      <c r="UC207" s="412"/>
      <c r="UD207" s="412"/>
      <c r="UE207" s="412"/>
      <c r="UF207" s="412"/>
      <c r="UG207" s="412"/>
      <c r="UH207" s="412"/>
      <c r="UI207" s="412"/>
      <c r="UJ207" s="412"/>
      <c r="UK207" s="412"/>
      <c r="UL207" s="412"/>
      <c r="UM207" s="412"/>
      <c r="UN207" s="412"/>
      <c r="UO207" s="412"/>
      <c r="UP207" s="412"/>
      <c r="UQ207" s="412"/>
      <c r="UR207" s="412"/>
      <c r="US207" s="412"/>
      <c r="UT207" s="412"/>
      <c r="UU207" s="412"/>
      <c r="UV207" s="412"/>
      <c r="UW207" s="412"/>
      <c r="UX207" s="412"/>
      <c r="UY207" s="412"/>
      <c r="UZ207" s="412"/>
      <c r="VA207" s="412"/>
      <c r="VB207" s="412"/>
      <c r="VC207" s="412"/>
      <c r="VD207" s="412"/>
      <c r="VE207" s="412"/>
      <c r="VF207" s="412"/>
      <c r="VG207" s="412"/>
      <c r="VH207" s="412"/>
      <c r="VI207" s="412"/>
      <c r="VJ207" s="412"/>
      <c r="VK207" s="412"/>
      <c r="VL207" s="412"/>
      <c r="VM207" s="412"/>
      <c r="VN207" s="412"/>
      <c r="VO207" s="412"/>
      <c r="VP207" s="412"/>
      <c r="VQ207" s="412"/>
      <c r="VR207" s="412"/>
      <c r="VS207" s="412"/>
      <c r="VT207" s="412"/>
      <c r="VU207" s="412"/>
      <c r="VV207" s="412"/>
      <c r="VW207" s="412"/>
      <c r="VX207" s="412"/>
      <c r="VY207" s="412"/>
      <c r="VZ207" s="412"/>
      <c r="WA207" s="412"/>
      <c r="WB207" s="412"/>
      <c r="WC207" s="412"/>
      <c r="WD207" s="412"/>
      <c r="WE207" s="412"/>
      <c r="WF207" s="412"/>
      <c r="WG207" s="412"/>
      <c r="WH207" s="412"/>
      <c r="WI207" s="412"/>
      <c r="WJ207" s="412"/>
      <c r="WK207" s="412"/>
      <c r="WL207" s="412"/>
      <c r="WM207" s="412"/>
      <c r="WN207" s="412"/>
      <c r="WO207" s="412"/>
      <c r="WP207" s="412"/>
      <c r="WQ207" s="412"/>
      <c r="WR207" s="412"/>
      <c r="WS207" s="412"/>
      <c r="WT207" s="412"/>
      <c r="WU207" s="412"/>
      <c r="WV207" s="412"/>
      <c r="WW207" s="412"/>
      <c r="WX207" s="412"/>
      <c r="WY207" s="412"/>
      <c r="WZ207" s="412"/>
      <c r="XA207" s="412"/>
      <c r="XB207" s="412"/>
      <c r="XC207" s="412"/>
      <c r="XD207" s="412"/>
      <c r="XE207" s="412"/>
      <c r="XF207" s="412"/>
      <c r="XG207" s="412"/>
      <c r="XH207" s="412"/>
      <c r="XI207" s="412"/>
      <c r="XJ207" s="412"/>
      <c r="XK207" s="412"/>
      <c r="XL207" s="412"/>
      <c r="XM207" s="412"/>
      <c r="XN207" s="412"/>
      <c r="XO207" s="412"/>
      <c r="XP207" s="412"/>
      <c r="XQ207" s="412"/>
      <c r="XR207" s="412"/>
      <c r="XS207" s="412"/>
      <c r="XT207" s="412"/>
      <c r="XU207" s="412"/>
      <c r="XV207" s="412"/>
      <c r="XW207" s="412"/>
      <c r="XX207" s="412"/>
      <c r="XY207" s="412"/>
      <c r="XZ207" s="412"/>
      <c r="YA207" s="412"/>
      <c r="YB207" s="412"/>
      <c r="YC207" s="412"/>
      <c r="YD207" s="412"/>
      <c r="YE207" s="412"/>
      <c r="YF207" s="412"/>
      <c r="YG207" s="412"/>
      <c r="YH207" s="412"/>
      <c r="YI207" s="412"/>
      <c r="YJ207" s="412"/>
      <c r="YK207" s="412"/>
      <c r="YL207" s="412"/>
      <c r="YM207" s="412"/>
      <c r="YN207" s="412"/>
      <c r="YO207" s="412"/>
      <c r="YP207" s="412"/>
      <c r="YQ207" s="412"/>
      <c r="YR207" s="412"/>
      <c r="YS207" s="412"/>
      <c r="YT207" s="412"/>
      <c r="YU207" s="412"/>
      <c r="YV207" s="412"/>
      <c r="YW207" s="412"/>
      <c r="YX207" s="412"/>
      <c r="YY207" s="412"/>
      <c r="YZ207" s="412"/>
      <c r="ZA207" s="412"/>
      <c r="ZB207" s="412"/>
      <c r="ZC207" s="412"/>
      <c r="ZD207" s="412"/>
      <c r="ZE207" s="412"/>
      <c r="ZF207" s="412"/>
      <c r="ZG207" s="412"/>
      <c r="ZH207" s="412"/>
      <c r="ZI207" s="412"/>
      <c r="ZJ207" s="412"/>
      <c r="ZK207" s="412"/>
      <c r="ZL207" s="412"/>
      <c r="ZM207" s="412"/>
      <c r="ZN207" s="412"/>
      <c r="ZO207" s="412"/>
      <c r="ZP207" s="412"/>
      <c r="ZQ207" s="412"/>
      <c r="ZR207" s="412"/>
      <c r="ZS207" s="412"/>
      <c r="ZT207" s="412"/>
      <c r="ZU207" s="412"/>
      <c r="ZV207" s="412"/>
      <c r="ZW207" s="412"/>
      <c r="ZX207" s="412"/>
      <c r="ZY207" s="412"/>
      <c r="ZZ207" s="412"/>
      <c r="AAA207" s="412"/>
      <c r="AAB207" s="412"/>
      <c r="AAC207" s="412"/>
      <c r="AAD207" s="412"/>
      <c r="AAE207" s="412"/>
      <c r="AAF207" s="412"/>
      <c r="AAG207" s="412"/>
      <c r="AAH207" s="412"/>
      <c r="AAI207" s="412"/>
      <c r="AAJ207" s="412"/>
      <c r="AAK207" s="412"/>
      <c r="AAL207" s="412"/>
      <c r="AAM207" s="412"/>
      <c r="AAN207" s="412"/>
      <c r="AAO207" s="412"/>
      <c r="AAP207" s="412"/>
      <c r="AAQ207" s="412"/>
      <c r="AAR207" s="412"/>
      <c r="AAS207" s="412"/>
      <c r="AAT207" s="412"/>
      <c r="AAU207" s="412"/>
      <c r="AAV207" s="412"/>
      <c r="AAW207" s="412"/>
      <c r="AAX207" s="412"/>
      <c r="AAY207" s="412"/>
      <c r="AAZ207" s="412"/>
      <c r="ABA207" s="412"/>
      <c r="ABB207" s="412"/>
      <c r="ABC207" s="412"/>
      <c r="ABD207" s="412"/>
      <c r="ABE207" s="412"/>
      <c r="ABF207" s="412"/>
      <c r="ABG207" s="412"/>
      <c r="ABH207" s="412"/>
      <c r="ABI207" s="412"/>
      <c r="ABJ207" s="412"/>
      <c r="ABK207" s="412"/>
      <c r="ABL207" s="412"/>
      <c r="ABM207" s="412"/>
      <c r="ABN207" s="412"/>
      <c r="ABO207" s="412"/>
      <c r="ABP207" s="412"/>
      <c r="ABQ207" s="412"/>
      <c r="ABR207" s="412"/>
      <c r="ABS207" s="412"/>
      <c r="ABT207" s="412"/>
      <c r="ABU207" s="412"/>
      <c r="ABV207" s="412"/>
      <c r="ABW207" s="412"/>
      <c r="ABX207" s="412"/>
      <c r="ABY207" s="412"/>
      <c r="ABZ207" s="412"/>
      <c r="ACA207" s="412"/>
      <c r="ACB207" s="412"/>
      <c r="ACC207" s="412"/>
      <c r="ACD207" s="412"/>
      <c r="ACE207" s="412"/>
      <c r="ACF207" s="412"/>
      <c r="ACG207" s="412"/>
      <c r="ACH207" s="412"/>
      <c r="ACI207" s="412"/>
      <c r="ACJ207" s="412"/>
      <c r="ACK207" s="412"/>
      <c r="ACL207" s="412"/>
      <c r="ACM207" s="412"/>
      <c r="ACN207" s="412"/>
      <c r="ACO207" s="412"/>
      <c r="ACP207" s="412"/>
      <c r="ACQ207" s="412"/>
      <c r="ACR207" s="412"/>
      <c r="ACS207" s="412"/>
      <c r="ACT207" s="412"/>
      <c r="ACU207" s="412"/>
      <c r="ACV207" s="412"/>
      <c r="ACW207" s="412"/>
      <c r="ACX207" s="412"/>
      <c r="ACY207" s="412"/>
      <c r="ACZ207" s="412"/>
      <c r="ADA207" s="412"/>
      <c r="ADB207" s="412"/>
      <c r="ADC207" s="412"/>
      <c r="ADD207" s="412"/>
      <c r="ADE207" s="412"/>
      <c r="ADF207" s="412"/>
      <c r="ADG207" s="412"/>
      <c r="ADH207" s="412"/>
      <c r="ADI207" s="412"/>
      <c r="ADJ207" s="412"/>
      <c r="ADK207" s="412"/>
      <c r="ADL207" s="412"/>
      <c r="ADM207" s="412"/>
      <c r="ADN207" s="412"/>
      <c r="ADO207" s="412"/>
      <c r="ADP207" s="412"/>
      <c r="ADQ207" s="412"/>
      <c r="ADR207" s="412"/>
      <c r="ADS207" s="412"/>
      <c r="ADT207" s="412"/>
      <c r="ADU207" s="412"/>
      <c r="ADV207" s="412"/>
      <c r="ADW207" s="412"/>
      <c r="ADX207" s="412"/>
      <c r="ADY207" s="412"/>
      <c r="ADZ207" s="412"/>
      <c r="AEA207" s="412"/>
      <c r="AEB207" s="412"/>
      <c r="AEC207" s="412"/>
      <c r="AED207" s="412"/>
      <c r="AEE207" s="412"/>
      <c r="AEF207" s="412"/>
      <c r="AEG207" s="412"/>
      <c r="AEH207" s="412"/>
      <c r="AEI207" s="412"/>
      <c r="AEJ207" s="412"/>
      <c r="AEK207" s="412"/>
      <c r="AEL207" s="412"/>
      <c r="AEM207" s="412"/>
      <c r="AEN207" s="412"/>
      <c r="AEO207" s="412"/>
      <c r="AEP207" s="412"/>
      <c r="AEQ207" s="412"/>
      <c r="AER207" s="412"/>
      <c r="AES207" s="412"/>
      <c r="AET207" s="412"/>
      <c r="AEU207" s="412"/>
      <c r="AEV207" s="412"/>
      <c r="AEW207" s="412"/>
      <c r="AEX207" s="412"/>
      <c r="AEY207" s="412"/>
      <c r="AEZ207" s="412"/>
      <c r="AFA207" s="412"/>
      <c r="AFB207" s="412"/>
      <c r="AFC207" s="412"/>
      <c r="AFD207" s="412"/>
      <c r="AFE207" s="412"/>
      <c r="AFF207" s="412"/>
      <c r="AFG207" s="412"/>
      <c r="AFH207" s="412"/>
      <c r="AFI207" s="412"/>
      <c r="AFJ207" s="412"/>
      <c r="AFK207" s="412"/>
      <c r="AFL207" s="412"/>
      <c r="AFM207" s="412"/>
      <c r="AFN207" s="412"/>
      <c r="AFO207" s="412"/>
      <c r="AFP207" s="412"/>
      <c r="AFQ207" s="412"/>
      <c r="AFR207" s="412"/>
      <c r="AFS207" s="412"/>
      <c r="AFT207" s="412"/>
      <c r="AFU207" s="412"/>
      <c r="AFV207" s="412"/>
      <c r="AFW207" s="412"/>
      <c r="AFX207" s="412"/>
      <c r="AFY207" s="412"/>
      <c r="AFZ207" s="412"/>
      <c r="AGA207" s="412"/>
      <c r="AGB207" s="412"/>
      <c r="AGC207" s="412"/>
      <c r="AGD207" s="412"/>
      <c r="AGE207" s="412"/>
      <c r="AGF207" s="412"/>
      <c r="AGG207" s="412"/>
      <c r="AGH207" s="412"/>
      <c r="AGI207" s="412"/>
      <c r="AGJ207" s="412"/>
      <c r="AGK207" s="412"/>
      <c r="AGL207" s="412"/>
      <c r="AGM207" s="412"/>
      <c r="AGN207" s="412"/>
      <c r="AGO207" s="412"/>
      <c r="AGP207" s="412"/>
      <c r="AGQ207" s="412"/>
      <c r="AGR207" s="412"/>
      <c r="AGS207" s="412"/>
      <c r="AGT207" s="412"/>
      <c r="AGU207" s="412"/>
      <c r="AGV207" s="412"/>
      <c r="AGW207" s="412"/>
      <c r="AGX207" s="412"/>
      <c r="AGY207" s="412"/>
      <c r="AGZ207" s="412"/>
      <c r="AHA207" s="412"/>
      <c r="AHB207" s="412"/>
      <c r="AHC207" s="412"/>
      <c r="AHD207" s="412"/>
      <c r="AHE207" s="412"/>
      <c r="AHF207" s="412"/>
      <c r="AHG207" s="412"/>
      <c r="AHH207" s="412"/>
      <c r="AHI207" s="412"/>
      <c r="AHJ207" s="412"/>
      <c r="AHK207" s="412"/>
      <c r="AHL207" s="412"/>
      <c r="AHM207" s="412"/>
      <c r="AHN207" s="412"/>
      <c r="AHO207" s="412"/>
      <c r="AHP207" s="412"/>
      <c r="AHQ207" s="412"/>
      <c r="AHR207" s="412"/>
      <c r="AHS207" s="412"/>
      <c r="AHT207" s="412"/>
      <c r="AHU207" s="412"/>
      <c r="AHV207" s="412"/>
      <c r="AHW207" s="412"/>
      <c r="AHX207" s="412"/>
      <c r="AHY207" s="412"/>
      <c r="AHZ207" s="412"/>
      <c r="AIA207" s="412"/>
      <c r="AIB207" s="412"/>
      <c r="AIC207" s="412"/>
      <c r="AID207" s="412"/>
      <c r="AIE207" s="412"/>
      <c r="AIF207" s="412"/>
      <c r="AIG207" s="412"/>
      <c r="AIH207" s="412"/>
      <c r="AII207" s="412"/>
      <c r="AIJ207" s="412"/>
      <c r="AIK207" s="412"/>
      <c r="AIL207" s="412"/>
      <c r="AIM207" s="412"/>
      <c r="AIN207" s="412"/>
      <c r="AIO207" s="412"/>
      <c r="AIP207" s="412"/>
      <c r="AIQ207" s="412"/>
      <c r="AIR207" s="412"/>
      <c r="AIS207" s="412"/>
      <c r="AIT207" s="412"/>
      <c r="AIU207" s="412"/>
      <c r="AIV207" s="412"/>
      <c r="AIW207" s="412"/>
      <c r="AIX207" s="412"/>
      <c r="AIY207" s="412"/>
      <c r="AIZ207" s="412"/>
      <c r="AJA207" s="412"/>
      <c r="AJB207" s="412"/>
      <c r="AJC207" s="412"/>
      <c r="AJD207" s="412"/>
      <c r="AJE207" s="412"/>
      <c r="AJF207" s="412"/>
      <c r="AJG207" s="412"/>
      <c r="AJH207" s="412"/>
      <c r="AJI207" s="412"/>
      <c r="AJJ207" s="412"/>
      <c r="AJK207" s="412"/>
      <c r="AJL207" s="412"/>
      <c r="AJM207" s="412"/>
      <c r="AJN207" s="412"/>
      <c r="AJO207" s="412"/>
      <c r="AJP207" s="412"/>
      <c r="AJQ207" s="412"/>
      <c r="AJR207" s="412"/>
      <c r="AJS207" s="412"/>
      <c r="AJT207" s="412"/>
      <c r="AJU207" s="412"/>
      <c r="AJV207" s="412"/>
      <c r="AJW207" s="412"/>
      <c r="AJX207" s="412"/>
      <c r="AJY207" s="412"/>
      <c r="AJZ207" s="412"/>
      <c r="AKA207" s="412"/>
      <c r="AKB207" s="412"/>
      <c r="AKC207" s="412"/>
      <c r="AKD207" s="412"/>
      <c r="AKE207" s="412"/>
      <c r="AKF207" s="412"/>
      <c r="AKG207" s="412"/>
      <c r="AKH207" s="412"/>
      <c r="AKI207" s="412"/>
      <c r="AKJ207" s="412"/>
      <c r="AKK207" s="412"/>
      <c r="AKL207" s="412"/>
      <c r="AKM207" s="412"/>
      <c r="AKN207" s="412"/>
      <c r="AKO207" s="412"/>
      <c r="AKP207" s="412"/>
      <c r="AKQ207" s="412"/>
      <c r="AKR207" s="412"/>
      <c r="AKS207" s="412"/>
      <c r="AKT207" s="412"/>
      <c r="AKU207" s="412"/>
      <c r="AKV207" s="412"/>
      <c r="AKW207" s="412"/>
      <c r="AKX207" s="412"/>
      <c r="AKY207" s="412"/>
      <c r="AKZ207" s="412"/>
      <c r="ALA207" s="412"/>
      <c r="ALB207" s="412"/>
      <c r="ALC207" s="412"/>
      <c r="ALD207" s="412"/>
      <c r="ALE207" s="412"/>
      <c r="ALF207" s="412"/>
      <c r="ALG207" s="412"/>
      <c r="ALH207" s="412"/>
      <c r="ALI207" s="412"/>
      <c r="ALJ207" s="412"/>
      <c r="ALK207" s="412"/>
      <c r="ALL207" s="412"/>
      <c r="ALM207" s="412"/>
      <c r="ALN207" s="412"/>
      <c r="ALO207" s="412"/>
      <c r="ALP207" s="412"/>
      <c r="ALQ207" s="412"/>
      <c r="ALR207" s="412"/>
      <c r="ALS207" s="412"/>
      <c r="ALT207" s="412"/>
      <c r="ALU207" s="412"/>
      <c r="ALV207" s="412"/>
      <c r="ALW207" s="412"/>
      <c r="ALX207" s="412"/>
      <c r="ALY207" s="412"/>
      <c r="ALZ207" s="412"/>
      <c r="AMA207" s="412"/>
      <c r="AMB207" s="412"/>
      <c r="AMC207" s="412"/>
      <c r="AMD207" s="412"/>
      <c r="AME207" s="412"/>
      <c r="AMF207" s="412"/>
      <c r="AMG207" s="412"/>
      <c r="AMH207" s="412"/>
      <c r="AMI207" s="412"/>
      <c r="AMJ207" s="412"/>
      <c r="AMK207" s="412"/>
      <c r="AML207" s="412"/>
      <c r="AMM207" s="412"/>
      <c r="AMN207" s="412"/>
      <c r="AMO207" s="412"/>
      <c r="AMP207" s="412"/>
      <c r="AMQ207" s="412"/>
      <c r="AMR207" s="412"/>
      <c r="AMS207" s="412"/>
      <c r="AMT207" s="412"/>
      <c r="AMU207" s="412"/>
      <c r="AMV207" s="412"/>
      <c r="AMW207" s="412"/>
      <c r="AMX207" s="412"/>
      <c r="AMY207" s="412"/>
      <c r="AMZ207" s="412"/>
      <c r="ANA207" s="412"/>
      <c r="ANB207" s="412"/>
      <c r="ANC207" s="412"/>
      <c r="AND207" s="412"/>
      <c r="ANE207" s="412"/>
      <c r="ANF207" s="412"/>
      <c r="ANG207" s="412"/>
      <c r="ANH207" s="412"/>
      <c r="ANI207" s="412"/>
      <c r="ANJ207" s="412"/>
      <c r="ANK207" s="412"/>
      <c r="ANL207" s="412"/>
      <c r="ANM207" s="412"/>
      <c r="ANN207" s="412"/>
      <c r="ANO207" s="412"/>
      <c r="ANP207" s="412"/>
      <c r="ANQ207" s="412"/>
      <c r="ANR207" s="412"/>
      <c r="ANS207" s="412"/>
      <c r="ANT207" s="412"/>
      <c r="ANU207" s="412"/>
      <c r="ANV207" s="412"/>
      <c r="ANW207" s="412"/>
      <c r="ANX207" s="412"/>
      <c r="ANY207" s="412"/>
      <c r="ANZ207" s="412"/>
      <c r="AOA207" s="412"/>
      <c r="AOB207" s="412"/>
      <c r="AOC207" s="412"/>
      <c r="AOD207" s="412"/>
      <c r="AOE207" s="412"/>
      <c r="AOF207" s="412"/>
      <c r="AOG207" s="412"/>
      <c r="AOH207" s="412"/>
      <c r="AOI207" s="412"/>
      <c r="AOJ207" s="412"/>
      <c r="AOK207" s="412"/>
      <c r="AOL207" s="412"/>
      <c r="AOM207" s="412"/>
      <c r="AON207" s="412"/>
      <c r="AOO207" s="412"/>
      <c r="AOP207" s="412"/>
      <c r="AOQ207" s="412"/>
      <c r="AOR207" s="412"/>
      <c r="AOS207" s="412"/>
      <c r="AOT207" s="412"/>
      <c r="AOU207" s="412"/>
      <c r="AOV207" s="412"/>
      <c r="AOW207" s="412"/>
      <c r="AOX207" s="412"/>
      <c r="AOY207" s="412"/>
      <c r="AOZ207" s="412"/>
      <c r="APA207" s="412"/>
      <c r="APB207" s="412"/>
      <c r="APC207" s="412"/>
      <c r="APD207" s="412"/>
      <c r="APE207" s="412"/>
      <c r="APF207" s="412"/>
      <c r="APG207" s="412"/>
      <c r="APH207" s="412"/>
      <c r="API207" s="412"/>
      <c r="APJ207" s="412"/>
      <c r="APK207" s="412"/>
      <c r="APL207" s="412"/>
      <c r="APM207" s="412"/>
      <c r="APN207" s="412"/>
      <c r="APO207" s="412"/>
      <c r="APP207" s="412"/>
      <c r="APQ207" s="412"/>
      <c r="APR207" s="412"/>
      <c r="APS207" s="412"/>
      <c r="APT207" s="412"/>
      <c r="APU207" s="412"/>
      <c r="APV207" s="412"/>
      <c r="APW207" s="412"/>
      <c r="APX207" s="412"/>
      <c r="APY207" s="412"/>
      <c r="APZ207" s="412"/>
      <c r="AQA207" s="412"/>
      <c r="AQB207" s="412"/>
      <c r="AQC207" s="412"/>
      <c r="AQD207" s="412"/>
      <c r="AQE207" s="412"/>
      <c r="AQF207" s="412"/>
      <c r="AQG207" s="412"/>
      <c r="AQH207" s="412"/>
      <c r="AQI207" s="412"/>
      <c r="AQJ207" s="412"/>
      <c r="AQK207" s="412"/>
      <c r="AQL207" s="412"/>
      <c r="AQM207" s="412"/>
      <c r="AQN207" s="412"/>
      <c r="AQO207" s="412"/>
      <c r="AQP207" s="412"/>
      <c r="AQQ207" s="412"/>
      <c r="AQR207" s="412"/>
      <c r="AQS207" s="412"/>
      <c r="AQT207" s="412"/>
      <c r="AQU207" s="412"/>
      <c r="AQV207" s="412"/>
      <c r="AQW207" s="412"/>
      <c r="AQX207" s="412"/>
      <c r="AQY207" s="412"/>
      <c r="AQZ207" s="412"/>
      <c r="ARA207" s="412"/>
      <c r="ARB207" s="412"/>
      <c r="ARC207" s="412"/>
      <c r="ARD207" s="412"/>
      <c r="ARE207" s="412"/>
      <c r="ARF207" s="412"/>
      <c r="ARG207" s="412"/>
      <c r="ARH207" s="412"/>
      <c r="ARI207" s="412"/>
      <c r="ARJ207" s="412"/>
      <c r="ARK207" s="412"/>
      <c r="ARL207" s="412"/>
      <c r="ARM207" s="412"/>
      <c r="ARN207" s="412"/>
      <c r="ARO207" s="412"/>
      <c r="ARP207" s="412"/>
      <c r="ARQ207" s="412"/>
      <c r="ARR207" s="412"/>
      <c r="ARS207" s="412"/>
      <c r="ART207" s="412"/>
      <c r="ARU207" s="412"/>
      <c r="ARV207" s="412"/>
      <c r="ARW207" s="412"/>
      <c r="ARX207" s="412"/>
      <c r="ARY207" s="412"/>
      <c r="ARZ207" s="412"/>
      <c r="ASA207" s="412"/>
      <c r="ASB207" s="412"/>
      <c r="ASC207" s="412"/>
      <c r="ASD207" s="412"/>
      <c r="ASE207" s="412"/>
      <c r="ASF207" s="412"/>
      <c r="ASG207" s="412"/>
      <c r="ASH207" s="412"/>
      <c r="ASI207" s="412"/>
      <c r="ASJ207" s="412"/>
      <c r="ASK207" s="412"/>
      <c r="ASL207" s="412"/>
      <c r="ASM207" s="412"/>
      <c r="ASN207" s="412"/>
      <c r="ASO207" s="412"/>
      <c r="ASP207" s="412"/>
      <c r="ASQ207" s="412"/>
      <c r="ASR207" s="412"/>
      <c r="ASS207" s="412"/>
      <c r="AST207" s="412"/>
      <c r="ASU207" s="412"/>
      <c r="ASV207" s="412"/>
      <c r="ASW207" s="412"/>
      <c r="ASX207" s="412"/>
      <c r="ASY207" s="412"/>
      <c r="ASZ207" s="412"/>
      <c r="ATA207" s="412"/>
      <c r="ATB207" s="412"/>
      <c r="ATC207" s="412"/>
      <c r="ATD207" s="412"/>
      <c r="ATE207" s="412"/>
      <c r="ATF207" s="412"/>
      <c r="ATG207" s="412"/>
      <c r="ATH207" s="412"/>
      <c r="ATI207" s="412"/>
      <c r="ATJ207" s="412"/>
      <c r="ATK207" s="412"/>
      <c r="ATL207" s="412"/>
      <c r="ATM207" s="412"/>
      <c r="ATN207" s="412"/>
      <c r="ATO207" s="412"/>
      <c r="ATP207" s="412"/>
      <c r="ATQ207" s="412"/>
      <c r="ATR207" s="412"/>
      <c r="ATS207" s="412"/>
      <c r="ATT207" s="412"/>
      <c r="ATU207" s="412"/>
      <c r="ATV207" s="412"/>
      <c r="ATW207" s="412"/>
      <c r="ATX207" s="412"/>
      <c r="ATY207" s="412"/>
      <c r="ATZ207" s="412"/>
      <c r="AUA207" s="412"/>
      <c r="AUB207" s="412"/>
      <c r="AUC207" s="412"/>
      <c r="AUD207" s="412"/>
      <c r="AUE207" s="412"/>
      <c r="AUF207" s="412"/>
      <c r="AUG207" s="412"/>
      <c r="AUH207" s="412"/>
      <c r="AUI207" s="412"/>
      <c r="AUJ207" s="412"/>
      <c r="AUK207" s="412"/>
      <c r="AUL207" s="412"/>
      <c r="AUM207" s="412"/>
      <c r="AUN207" s="412"/>
      <c r="AUO207" s="412"/>
      <c r="AUP207" s="412"/>
      <c r="AUQ207" s="412"/>
      <c r="AUR207" s="412"/>
      <c r="AUS207" s="412"/>
      <c r="AUT207" s="412"/>
      <c r="AUU207" s="412"/>
      <c r="AUV207" s="412"/>
      <c r="AUW207" s="412"/>
      <c r="AUX207" s="412"/>
      <c r="AUY207" s="412"/>
      <c r="AUZ207" s="412"/>
      <c r="AVA207" s="412"/>
      <c r="AVB207" s="412"/>
      <c r="AVC207" s="412"/>
      <c r="AVD207" s="412"/>
      <c r="AVE207" s="412"/>
      <c r="AVF207" s="412"/>
      <c r="AVG207" s="412"/>
      <c r="AVH207" s="412"/>
      <c r="AVI207" s="412"/>
      <c r="AVJ207" s="412"/>
      <c r="AVK207" s="412"/>
      <c r="AVL207" s="412"/>
      <c r="AVM207" s="412"/>
      <c r="AVN207" s="412"/>
      <c r="AVO207" s="412"/>
      <c r="AVP207" s="412"/>
      <c r="AVQ207" s="412"/>
      <c r="AVR207" s="412"/>
      <c r="AVS207" s="412"/>
      <c r="AVT207" s="412"/>
      <c r="AVU207" s="412"/>
      <c r="AVV207" s="412"/>
      <c r="AVW207" s="412"/>
      <c r="AVX207" s="412"/>
      <c r="AVY207" s="412"/>
      <c r="AVZ207" s="412"/>
      <c r="AWA207" s="412"/>
      <c r="AWB207" s="412"/>
      <c r="AWC207" s="412"/>
      <c r="AWD207" s="412"/>
      <c r="AWE207" s="412"/>
      <c r="AWF207" s="412"/>
      <c r="AWG207" s="412"/>
      <c r="AWH207" s="412"/>
      <c r="AWI207" s="412"/>
      <c r="AWJ207" s="412"/>
      <c r="AWK207" s="412"/>
      <c r="AWL207" s="412"/>
      <c r="AWM207" s="412"/>
      <c r="AWN207" s="412"/>
      <c r="AWO207" s="412"/>
      <c r="AWP207" s="412"/>
      <c r="AWQ207" s="412"/>
      <c r="AWR207" s="412"/>
      <c r="AWS207" s="412"/>
      <c r="AWT207" s="412"/>
      <c r="AWU207" s="412"/>
      <c r="AWV207" s="412"/>
      <c r="AWW207" s="412"/>
      <c r="AWX207" s="412"/>
      <c r="AWY207" s="412"/>
      <c r="AWZ207" s="412"/>
      <c r="AXA207" s="412"/>
      <c r="AXB207" s="412"/>
      <c r="AXC207" s="412"/>
      <c r="AXD207" s="412"/>
      <c r="AXE207" s="412"/>
      <c r="AXF207" s="412"/>
      <c r="AXG207" s="412"/>
      <c r="AXH207" s="412"/>
      <c r="AXI207" s="412"/>
      <c r="AXJ207" s="412"/>
      <c r="AXK207" s="412"/>
      <c r="AXL207" s="412"/>
      <c r="AXM207" s="412"/>
      <c r="AXN207" s="412"/>
      <c r="AXO207" s="412"/>
      <c r="AXP207" s="412"/>
      <c r="AXQ207" s="412"/>
      <c r="AXR207" s="412"/>
      <c r="AXS207" s="412"/>
      <c r="AXT207" s="412"/>
      <c r="AXU207" s="412"/>
      <c r="AXV207" s="412"/>
      <c r="AXW207" s="412"/>
      <c r="AXX207" s="412"/>
      <c r="AXY207" s="412"/>
      <c r="AXZ207" s="412"/>
      <c r="AYA207" s="412"/>
      <c r="AYB207" s="412"/>
      <c r="AYC207" s="412"/>
      <c r="AYD207" s="412"/>
      <c r="AYE207" s="412"/>
      <c r="AYF207" s="412"/>
      <c r="AYG207" s="412"/>
      <c r="AYH207" s="412"/>
      <c r="AYI207" s="412"/>
      <c r="AYJ207" s="412"/>
      <c r="AYK207" s="412"/>
      <c r="AYL207" s="412"/>
      <c r="AYM207" s="412"/>
      <c r="AYN207" s="412"/>
      <c r="AYO207" s="412"/>
      <c r="AYP207" s="412"/>
      <c r="AYQ207" s="412"/>
      <c r="AYR207" s="412"/>
      <c r="AYS207" s="412"/>
      <c r="AYT207" s="412"/>
      <c r="AYU207" s="412"/>
      <c r="AYV207" s="412"/>
      <c r="AYW207" s="412"/>
      <c r="AYX207" s="412"/>
      <c r="AYY207" s="412"/>
      <c r="AYZ207" s="412"/>
      <c r="AZA207" s="412"/>
      <c r="AZB207" s="412"/>
      <c r="AZC207" s="412"/>
      <c r="AZD207" s="412"/>
      <c r="AZE207" s="412"/>
      <c r="AZF207" s="412"/>
      <c r="AZG207" s="412"/>
      <c r="AZH207" s="412"/>
      <c r="AZI207" s="412"/>
      <c r="AZJ207" s="412"/>
      <c r="AZK207" s="412"/>
      <c r="AZL207" s="412"/>
      <c r="AZM207" s="412"/>
      <c r="AZN207" s="412"/>
      <c r="AZO207" s="412"/>
      <c r="AZP207" s="412"/>
      <c r="AZQ207" s="412"/>
      <c r="AZR207" s="412"/>
      <c r="AZS207" s="412"/>
      <c r="AZT207" s="412"/>
      <c r="AZU207" s="412"/>
      <c r="AZV207" s="412"/>
      <c r="AZW207" s="412"/>
      <c r="AZX207" s="412"/>
      <c r="AZY207" s="412"/>
      <c r="AZZ207" s="412"/>
      <c r="BAA207" s="412"/>
      <c r="BAB207" s="412"/>
      <c r="BAC207" s="412"/>
      <c r="BAD207" s="412"/>
      <c r="BAE207" s="412"/>
      <c r="BAF207" s="412"/>
      <c r="BAG207" s="412"/>
      <c r="BAH207" s="412"/>
      <c r="BAI207" s="412"/>
      <c r="BAJ207" s="412"/>
      <c r="BAK207" s="412"/>
      <c r="BAL207" s="412"/>
      <c r="BAM207" s="412"/>
      <c r="BAN207" s="412"/>
      <c r="BAO207" s="412"/>
      <c r="BAP207" s="412"/>
      <c r="BAQ207" s="412"/>
      <c r="BAR207" s="412"/>
      <c r="BAS207" s="412"/>
      <c r="BAT207" s="412"/>
      <c r="BAU207" s="412"/>
      <c r="BAV207" s="412"/>
      <c r="BAW207" s="412"/>
      <c r="BAX207" s="412"/>
      <c r="BAY207" s="412"/>
      <c r="BAZ207" s="412"/>
      <c r="BBA207" s="412"/>
      <c r="BBB207" s="412"/>
      <c r="BBC207" s="412"/>
      <c r="BBD207" s="412"/>
      <c r="BBE207" s="412"/>
      <c r="BBF207" s="412"/>
      <c r="BBG207" s="412"/>
      <c r="BBH207" s="412"/>
      <c r="BBI207" s="412"/>
      <c r="BBJ207" s="412"/>
      <c r="BBK207" s="412"/>
      <c r="BBL207" s="412"/>
      <c r="BBM207" s="412"/>
      <c r="BBN207" s="412"/>
      <c r="BBO207" s="412"/>
      <c r="BBP207" s="412"/>
      <c r="BBQ207" s="412"/>
      <c r="BBR207" s="412"/>
      <c r="BBS207" s="412"/>
      <c r="BBT207" s="412"/>
      <c r="BBU207" s="412"/>
      <c r="BBV207" s="412"/>
      <c r="BBW207" s="412"/>
      <c r="BBX207" s="412"/>
      <c r="BBY207" s="412"/>
      <c r="BBZ207" s="412"/>
      <c r="BCA207" s="412"/>
      <c r="BCB207" s="412"/>
      <c r="BCC207" s="412"/>
      <c r="BCD207" s="412"/>
      <c r="BCE207" s="412"/>
      <c r="BCF207" s="412"/>
      <c r="BCG207" s="412"/>
      <c r="BCH207" s="412"/>
      <c r="BCI207" s="412"/>
      <c r="BCJ207" s="412"/>
      <c r="BCK207" s="412"/>
      <c r="BCL207" s="412"/>
      <c r="BCM207" s="412"/>
      <c r="BCN207" s="412"/>
      <c r="BCO207" s="412"/>
      <c r="BCP207" s="412"/>
      <c r="BCQ207" s="412"/>
      <c r="BCR207" s="412"/>
      <c r="BCS207" s="412"/>
      <c r="BCT207" s="412"/>
      <c r="BCU207" s="412"/>
      <c r="BCV207" s="412"/>
      <c r="BCW207" s="412"/>
      <c r="BCX207" s="412"/>
      <c r="BCY207" s="412"/>
      <c r="BCZ207" s="412"/>
      <c r="BDA207" s="412"/>
      <c r="BDB207" s="412"/>
      <c r="BDC207" s="412"/>
      <c r="BDD207" s="412"/>
      <c r="BDE207" s="412"/>
      <c r="BDF207" s="412"/>
      <c r="BDG207" s="412"/>
      <c r="BDH207" s="412"/>
      <c r="BDI207" s="412"/>
      <c r="BDJ207" s="412"/>
      <c r="BDK207" s="412"/>
      <c r="BDL207" s="412"/>
      <c r="BDM207" s="412"/>
      <c r="BDN207" s="412"/>
      <c r="BDO207" s="412"/>
      <c r="BDP207" s="412"/>
      <c r="BDQ207" s="412"/>
      <c r="BDR207" s="412"/>
      <c r="BDS207" s="412"/>
      <c r="BDT207" s="412"/>
      <c r="BDU207" s="412"/>
      <c r="BDV207" s="412"/>
      <c r="BDW207" s="412"/>
      <c r="BDX207" s="412"/>
      <c r="BDY207" s="412"/>
      <c r="BDZ207" s="412"/>
      <c r="BEA207" s="412"/>
      <c r="BEB207" s="412"/>
      <c r="BEC207" s="412"/>
      <c r="BED207" s="412"/>
      <c r="BEE207" s="412"/>
      <c r="BEF207" s="412"/>
      <c r="BEG207" s="412"/>
      <c r="BEH207" s="412"/>
      <c r="BEI207" s="412"/>
      <c r="BEJ207" s="412"/>
      <c r="BEK207" s="412"/>
      <c r="BEL207" s="412"/>
      <c r="BEM207" s="412"/>
      <c r="BEN207" s="412"/>
      <c r="BEO207" s="412"/>
      <c r="BEP207" s="412"/>
      <c r="BEQ207" s="412"/>
      <c r="BER207" s="412"/>
      <c r="BES207" s="412"/>
      <c r="BET207" s="412"/>
      <c r="BEU207" s="412"/>
      <c r="BEV207" s="412"/>
      <c r="BEW207" s="412"/>
      <c r="BEX207" s="412"/>
      <c r="BEY207" s="412"/>
      <c r="BEZ207" s="412"/>
      <c r="BFA207" s="412"/>
      <c r="BFB207" s="412"/>
      <c r="BFC207" s="412"/>
      <c r="BFD207" s="412"/>
      <c r="BFE207" s="412"/>
      <c r="BFF207" s="412"/>
      <c r="BFG207" s="412"/>
      <c r="BFH207" s="412"/>
      <c r="BFI207" s="412"/>
      <c r="BFJ207" s="412"/>
      <c r="BFK207" s="412"/>
      <c r="BFL207" s="412"/>
      <c r="BFM207" s="412"/>
      <c r="BFN207" s="412"/>
      <c r="BFO207" s="412"/>
      <c r="BFP207" s="412"/>
      <c r="BFQ207" s="412"/>
      <c r="BFR207" s="412"/>
      <c r="BFS207" s="412"/>
      <c r="BFT207" s="412"/>
      <c r="BFU207" s="412"/>
      <c r="BFV207" s="412"/>
      <c r="BFW207" s="412"/>
      <c r="BFX207" s="412"/>
      <c r="BFY207" s="412"/>
      <c r="BFZ207" s="412"/>
      <c r="BGA207" s="412"/>
      <c r="BGB207" s="412"/>
      <c r="BGC207" s="412"/>
      <c r="BGD207" s="412"/>
      <c r="BGE207" s="412"/>
      <c r="BGF207" s="412"/>
      <c r="BGG207" s="412"/>
      <c r="BGH207" s="412"/>
      <c r="BGI207" s="412"/>
      <c r="BGJ207" s="412"/>
      <c r="BGK207" s="412"/>
      <c r="BGL207" s="412"/>
      <c r="BGM207" s="412"/>
      <c r="BGN207" s="412"/>
      <c r="BGO207" s="412"/>
      <c r="BGP207" s="412"/>
      <c r="BGQ207" s="412"/>
      <c r="BGR207" s="412"/>
      <c r="BGS207" s="412"/>
      <c r="BGT207" s="412"/>
      <c r="BGU207" s="412"/>
      <c r="BGV207" s="412"/>
      <c r="BGW207" s="412"/>
      <c r="BGX207" s="412"/>
      <c r="BGY207" s="412"/>
      <c r="BGZ207" s="412"/>
      <c r="BHA207" s="412"/>
      <c r="BHB207" s="412"/>
      <c r="BHC207" s="412"/>
      <c r="BHD207" s="412"/>
      <c r="BHE207" s="412"/>
      <c r="BHF207" s="412"/>
      <c r="BHG207" s="412"/>
      <c r="BHH207" s="412"/>
      <c r="BHI207" s="412"/>
      <c r="BHJ207" s="412"/>
      <c r="BHK207" s="412"/>
      <c r="BHL207" s="412"/>
      <c r="BHM207" s="412"/>
      <c r="BHN207" s="412"/>
      <c r="BHO207" s="412"/>
      <c r="BHP207" s="412"/>
      <c r="BHQ207" s="412"/>
      <c r="BHR207" s="412"/>
      <c r="BHS207" s="412"/>
      <c r="BHT207" s="412"/>
      <c r="BHU207" s="412"/>
      <c r="BHV207" s="412"/>
      <c r="BHW207" s="412"/>
      <c r="BHX207" s="412"/>
      <c r="BHY207" s="412"/>
      <c r="BHZ207" s="412"/>
      <c r="BIA207" s="412"/>
      <c r="BIB207" s="412"/>
      <c r="BIC207" s="412"/>
      <c r="BID207" s="412"/>
      <c r="BIE207" s="412"/>
      <c r="BIF207" s="412"/>
      <c r="BIG207" s="412"/>
      <c r="BIH207" s="412"/>
      <c r="BII207" s="412"/>
      <c r="BIJ207" s="412"/>
      <c r="BIK207" s="412"/>
      <c r="BIL207" s="412"/>
      <c r="BIM207" s="412"/>
      <c r="BIN207" s="412"/>
      <c r="BIO207" s="412"/>
      <c r="BIP207" s="412"/>
      <c r="BIQ207" s="412"/>
      <c r="BIR207" s="412"/>
      <c r="BIS207" s="412"/>
      <c r="BIT207" s="412"/>
      <c r="BIU207" s="412"/>
      <c r="BIV207" s="412"/>
      <c r="BIW207" s="412"/>
      <c r="BIX207" s="412"/>
      <c r="BIY207" s="412"/>
      <c r="BIZ207" s="412"/>
      <c r="BJA207" s="412"/>
      <c r="BJB207" s="412"/>
      <c r="BJC207" s="412"/>
      <c r="BJD207" s="412"/>
      <c r="BJE207" s="412"/>
      <c r="BJF207" s="412"/>
      <c r="BJG207" s="412"/>
      <c r="BJH207" s="412"/>
      <c r="BJI207" s="412"/>
      <c r="BJJ207" s="412"/>
      <c r="BJK207" s="412"/>
      <c r="BJL207" s="412"/>
      <c r="BJM207" s="412"/>
      <c r="BJN207" s="412"/>
      <c r="BJO207" s="412"/>
      <c r="BJP207" s="412"/>
      <c r="BJQ207" s="412"/>
      <c r="BJR207" s="412"/>
      <c r="BJS207" s="412"/>
      <c r="BJT207" s="412"/>
      <c r="BJU207" s="412"/>
      <c r="BJV207" s="412"/>
      <c r="BJW207" s="412"/>
      <c r="BJX207" s="412"/>
      <c r="BJY207" s="412"/>
      <c r="BJZ207" s="412"/>
      <c r="BKA207" s="412"/>
      <c r="BKB207" s="412"/>
      <c r="BKC207" s="412"/>
      <c r="BKD207" s="412"/>
      <c r="BKE207" s="412"/>
      <c r="BKF207" s="412"/>
      <c r="BKG207" s="412"/>
      <c r="BKH207" s="412"/>
      <c r="BKI207" s="412"/>
      <c r="BKJ207" s="412"/>
      <c r="BKK207" s="412"/>
      <c r="BKL207" s="412"/>
      <c r="BKM207" s="412"/>
      <c r="BKN207" s="412"/>
      <c r="BKO207" s="412"/>
      <c r="BKP207" s="412"/>
      <c r="BKQ207" s="412"/>
      <c r="BKR207" s="412"/>
      <c r="BKS207" s="412"/>
      <c r="BKT207" s="412"/>
      <c r="BKU207" s="412"/>
      <c r="BKV207" s="412"/>
      <c r="BKW207" s="412"/>
      <c r="BKX207" s="412"/>
      <c r="BKY207" s="412"/>
      <c r="BKZ207" s="412"/>
      <c r="BLA207" s="412"/>
      <c r="BLB207" s="412"/>
      <c r="BLC207" s="412"/>
      <c r="BLD207" s="412"/>
      <c r="BLE207" s="412"/>
      <c r="BLF207" s="412"/>
      <c r="BLG207" s="412"/>
      <c r="BLH207" s="412"/>
      <c r="BLI207" s="412"/>
      <c r="BLJ207" s="412"/>
      <c r="BLK207" s="412"/>
      <c r="BLL207" s="412"/>
      <c r="BLM207" s="412"/>
      <c r="BLN207" s="412"/>
      <c r="BLO207" s="412"/>
      <c r="BLP207" s="412"/>
      <c r="BLQ207" s="412"/>
      <c r="BLR207" s="412"/>
      <c r="BLS207" s="412"/>
      <c r="BLT207" s="412"/>
      <c r="BLU207" s="412"/>
      <c r="BLV207" s="412"/>
      <c r="BLW207" s="412"/>
      <c r="BLX207" s="412"/>
      <c r="BLY207" s="412"/>
      <c r="BLZ207" s="412"/>
      <c r="BMA207" s="412"/>
      <c r="BMB207" s="412"/>
      <c r="BMC207" s="412"/>
      <c r="BMD207" s="412"/>
      <c r="BME207" s="412"/>
      <c r="BMF207" s="412"/>
      <c r="BMG207" s="412"/>
      <c r="BMH207" s="412"/>
      <c r="BMI207" s="412"/>
      <c r="BMJ207" s="412"/>
      <c r="BMK207" s="412"/>
      <c r="BML207" s="412"/>
      <c r="BMM207" s="412"/>
      <c r="BMN207" s="412"/>
      <c r="BMO207" s="412"/>
      <c r="BMP207" s="412"/>
      <c r="BMQ207" s="412"/>
      <c r="BMR207" s="412"/>
      <c r="BMS207" s="412"/>
      <c r="BMT207" s="412"/>
      <c r="BMU207" s="412"/>
      <c r="BMV207" s="412"/>
      <c r="BMW207" s="412"/>
      <c r="BMX207" s="412"/>
      <c r="BMY207" s="412"/>
      <c r="BMZ207" s="412"/>
      <c r="BNA207" s="412"/>
      <c r="BNB207" s="412"/>
      <c r="BNC207" s="412"/>
      <c r="BND207" s="412"/>
      <c r="BNE207" s="412"/>
      <c r="BNF207" s="412"/>
      <c r="BNG207" s="412"/>
      <c r="BNH207" s="412"/>
      <c r="BNI207" s="412"/>
      <c r="BNJ207" s="412"/>
      <c r="BNK207" s="412"/>
      <c r="BNL207" s="412"/>
      <c r="BNM207" s="412"/>
      <c r="BNN207" s="412"/>
      <c r="BNO207" s="412"/>
      <c r="BNP207" s="412"/>
      <c r="BNQ207" s="412"/>
      <c r="BNR207" s="412"/>
      <c r="BNS207" s="412"/>
      <c r="BNT207" s="412"/>
      <c r="BNU207" s="412"/>
      <c r="BNV207" s="412"/>
      <c r="BNW207" s="412"/>
      <c r="BNX207" s="412"/>
      <c r="BNY207" s="412"/>
      <c r="BNZ207" s="412"/>
      <c r="BOA207" s="412"/>
      <c r="BOB207" s="412"/>
      <c r="BOC207" s="412"/>
      <c r="BOD207" s="412"/>
      <c r="BOE207" s="412"/>
      <c r="BOF207" s="412"/>
      <c r="BOG207" s="412"/>
      <c r="BOH207" s="412"/>
      <c r="BOI207" s="412"/>
      <c r="BOJ207" s="412"/>
      <c r="BOK207" s="412"/>
      <c r="BOL207" s="412"/>
      <c r="BOM207" s="412"/>
      <c r="BON207" s="412"/>
      <c r="BOO207" s="412"/>
      <c r="BOP207" s="412"/>
      <c r="BOQ207" s="412"/>
      <c r="BOR207" s="412"/>
      <c r="BOS207" s="412"/>
      <c r="BOT207" s="412"/>
      <c r="BOU207" s="412"/>
      <c r="BOV207" s="412"/>
      <c r="BOW207" s="412"/>
      <c r="BOX207" s="412"/>
      <c r="BOY207" s="412"/>
      <c r="BOZ207" s="412"/>
      <c r="BPA207" s="412"/>
      <c r="BPB207" s="412"/>
      <c r="BPC207" s="412"/>
      <c r="BPD207" s="412"/>
      <c r="BPE207" s="412"/>
      <c r="BPF207" s="412"/>
      <c r="BPG207" s="412"/>
      <c r="BPH207" s="412"/>
      <c r="BPI207" s="412"/>
      <c r="BPJ207" s="412"/>
      <c r="BPK207" s="412"/>
      <c r="BPL207" s="412"/>
      <c r="BPM207" s="412"/>
      <c r="BPN207" s="412"/>
      <c r="BPO207" s="412"/>
      <c r="BPP207" s="412"/>
      <c r="BPQ207" s="412"/>
      <c r="BPR207" s="412"/>
      <c r="BPS207" s="412"/>
      <c r="BPT207" s="412"/>
      <c r="BPU207" s="412"/>
      <c r="BPV207" s="412"/>
      <c r="BPW207" s="412"/>
      <c r="BPX207" s="412"/>
      <c r="BPY207" s="412"/>
      <c r="BPZ207" s="412"/>
      <c r="BQA207" s="412"/>
      <c r="BQB207" s="412"/>
      <c r="BQC207" s="412"/>
      <c r="BQD207" s="412"/>
      <c r="BQE207" s="412"/>
      <c r="BQF207" s="412"/>
      <c r="BQG207" s="412"/>
      <c r="BQH207" s="412"/>
      <c r="BQI207" s="412"/>
      <c r="BQJ207" s="412"/>
      <c r="BQK207" s="412"/>
      <c r="BQL207" s="412"/>
      <c r="BQM207" s="412"/>
      <c r="BQN207" s="412"/>
      <c r="BQO207" s="412"/>
      <c r="BQP207" s="412"/>
      <c r="BQQ207" s="412"/>
      <c r="BQR207" s="412"/>
      <c r="BQS207" s="412"/>
      <c r="BQT207" s="412"/>
      <c r="BQU207" s="412"/>
      <c r="BQV207" s="412"/>
      <c r="BQW207" s="412"/>
      <c r="BQX207" s="412"/>
      <c r="BQY207" s="412"/>
      <c r="BQZ207" s="412"/>
      <c r="BRA207" s="412"/>
      <c r="BRB207" s="412"/>
      <c r="BRC207" s="412"/>
      <c r="BRD207" s="412"/>
      <c r="BRE207" s="412"/>
      <c r="BRF207" s="412"/>
      <c r="BRG207" s="412"/>
      <c r="BRH207" s="412"/>
      <c r="BRI207" s="412"/>
      <c r="BRJ207" s="412"/>
      <c r="BRK207" s="412"/>
      <c r="BRL207" s="412"/>
      <c r="BRM207" s="412"/>
      <c r="BRN207" s="412"/>
      <c r="BRO207" s="412"/>
      <c r="BRP207" s="412"/>
      <c r="BRQ207" s="412"/>
      <c r="BRR207" s="412"/>
      <c r="BRS207" s="412"/>
      <c r="BRT207" s="412"/>
      <c r="BRU207" s="412"/>
      <c r="BRV207" s="412"/>
      <c r="BRW207" s="412"/>
      <c r="BRX207" s="412"/>
      <c r="BRY207" s="412"/>
      <c r="BRZ207" s="412"/>
      <c r="BSA207" s="412"/>
      <c r="BSB207" s="412"/>
      <c r="BSC207" s="412"/>
      <c r="BSD207" s="412"/>
      <c r="BSE207" s="412"/>
      <c r="BSF207" s="412"/>
      <c r="BSG207" s="412"/>
      <c r="BSH207" s="412"/>
      <c r="BSI207" s="412"/>
      <c r="BSJ207" s="412"/>
      <c r="BSK207" s="412"/>
      <c r="BSL207" s="412"/>
      <c r="BSM207" s="412"/>
      <c r="BSN207" s="412"/>
      <c r="BSO207" s="412"/>
      <c r="BSP207" s="412"/>
      <c r="BSQ207" s="412"/>
      <c r="BSR207" s="412"/>
      <c r="BSS207" s="412"/>
      <c r="BST207" s="412"/>
      <c r="BSU207" s="412"/>
      <c r="BSV207" s="412"/>
      <c r="BSW207" s="412"/>
      <c r="BSX207" s="412"/>
      <c r="BSY207" s="412"/>
      <c r="BSZ207" s="412"/>
      <c r="BTA207" s="412"/>
      <c r="BTB207" s="412"/>
      <c r="BTC207" s="412"/>
      <c r="BTD207" s="412"/>
      <c r="BTE207" s="412"/>
      <c r="BTF207" s="412"/>
      <c r="BTG207" s="412"/>
      <c r="BTH207" s="412"/>
      <c r="BTI207" s="412"/>
    </row>
    <row r="208" spans="1:1881" s="408" customFormat="1" ht="30.75" customHeight="1" x14ac:dyDescent="0.25">
      <c r="A208" s="190"/>
      <c r="B208" s="162" t="s">
        <v>602</v>
      </c>
      <c r="C208" s="161"/>
      <c r="D208" s="155"/>
      <c r="E208" s="149"/>
      <c r="F208" s="753"/>
      <c r="G208" s="571"/>
      <c r="H208" s="67"/>
      <c r="I208" s="31"/>
      <c r="J208" s="412"/>
      <c r="K208" s="412"/>
      <c r="L208" s="412"/>
      <c r="M208" s="412"/>
      <c r="N208"/>
      <c r="O208" s="412"/>
      <c r="P208" s="412"/>
      <c r="Q208" s="412"/>
      <c r="R208" s="412"/>
      <c r="S208" s="412"/>
      <c r="T208" s="412"/>
      <c r="U208" s="412"/>
      <c r="V208" s="412"/>
      <c r="W208" s="412"/>
      <c r="X208" s="412"/>
      <c r="Y208" s="412"/>
      <c r="Z208" s="412"/>
      <c r="AA208" s="412"/>
      <c r="AB208" s="412"/>
      <c r="AC208" s="412"/>
      <c r="AD208" s="412"/>
      <c r="AE208" s="412"/>
      <c r="AF208" s="412"/>
      <c r="AG208" s="412"/>
      <c r="AH208" s="412"/>
      <c r="AI208" s="412"/>
      <c r="AJ208" s="412"/>
      <c r="AK208" s="412"/>
      <c r="AL208" s="412"/>
      <c r="AM208" s="412"/>
      <c r="AN208" s="412"/>
      <c r="AO208" s="412"/>
      <c r="AP208" s="412"/>
      <c r="AQ208" s="412"/>
      <c r="AR208" s="412"/>
      <c r="AS208" s="412"/>
      <c r="AT208" s="412"/>
      <c r="AU208" s="412"/>
      <c r="AV208" s="412"/>
      <c r="AW208" s="412"/>
      <c r="AX208" s="412"/>
      <c r="AY208" s="412"/>
      <c r="AZ208" s="412"/>
      <c r="BA208" s="412"/>
      <c r="BB208" s="412"/>
      <c r="BC208" s="412"/>
      <c r="BD208" s="412"/>
      <c r="BE208" s="412"/>
      <c r="BF208" s="412"/>
      <c r="BG208" s="412"/>
      <c r="BH208" s="412"/>
      <c r="BI208" s="412"/>
      <c r="BJ208" s="412"/>
      <c r="BK208" s="412"/>
      <c r="BL208" s="412"/>
      <c r="BM208" s="412"/>
      <c r="BN208" s="412"/>
      <c r="BO208" s="412"/>
      <c r="BP208" s="412"/>
      <c r="BQ208" s="412"/>
      <c r="BR208" s="412"/>
      <c r="BS208" s="412"/>
      <c r="BT208" s="412"/>
      <c r="BU208" s="412"/>
      <c r="BV208" s="412"/>
      <c r="BW208" s="412"/>
      <c r="BX208" s="412"/>
      <c r="BY208" s="412"/>
      <c r="BZ208" s="412"/>
      <c r="CA208" s="412"/>
      <c r="CB208" s="412"/>
      <c r="CC208" s="412"/>
      <c r="CD208" s="412"/>
      <c r="CE208" s="412"/>
      <c r="CF208" s="412"/>
      <c r="CG208" s="412"/>
      <c r="CH208" s="412"/>
      <c r="CI208" s="412"/>
      <c r="CJ208" s="412"/>
      <c r="CK208" s="412"/>
      <c r="CL208" s="412"/>
      <c r="CM208" s="412"/>
      <c r="CN208" s="412"/>
      <c r="CO208" s="412"/>
      <c r="CP208" s="412"/>
      <c r="CQ208" s="412"/>
      <c r="CR208" s="412"/>
      <c r="CS208" s="412"/>
      <c r="CT208" s="412"/>
      <c r="CU208" s="412"/>
      <c r="CV208" s="412"/>
      <c r="CW208" s="412"/>
      <c r="CX208" s="412"/>
      <c r="CY208" s="412"/>
      <c r="CZ208" s="412"/>
      <c r="DA208" s="412"/>
      <c r="DB208" s="412"/>
      <c r="DC208" s="412"/>
      <c r="DD208" s="412"/>
      <c r="DE208" s="412"/>
      <c r="DF208" s="412"/>
      <c r="DG208" s="412"/>
      <c r="DH208" s="412"/>
      <c r="DI208" s="412"/>
      <c r="DJ208" s="412"/>
      <c r="DK208" s="412"/>
      <c r="DL208" s="412"/>
      <c r="DM208" s="412"/>
      <c r="DN208" s="412"/>
      <c r="DO208" s="412"/>
      <c r="DP208" s="412"/>
      <c r="DQ208" s="412"/>
      <c r="DR208" s="412"/>
      <c r="DS208" s="412"/>
      <c r="DT208" s="412"/>
      <c r="DU208" s="412"/>
      <c r="DV208" s="412"/>
      <c r="DW208" s="412"/>
      <c r="DX208" s="412"/>
      <c r="DY208" s="412"/>
      <c r="DZ208" s="412"/>
      <c r="EA208" s="412"/>
      <c r="EB208" s="412"/>
      <c r="EC208" s="412"/>
      <c r="ED208" s="412"/>
      <c r="EE208" s="412"/>
      <c r="EF208" s="412"/>
      <c r="EG208" s="412"/>
      <c r="EH208" s="412"/>
      <c r="EI208" s="412"/>
      <c r="EJ208" s="412"/>
      <c r="EK208" s="412"/>
      <c r="EL208" s="412"/>
      <c r="EM208" s="412"/>
      <c r="EN208" s="412"/>
      <c r="EO208" s="412"/>
      <c r="EP208" s="412"/>
      <c r="EQ208" s="412"/>
      <c r="ER208" s="412"/>
      <c r="ES208" s="412"/>
      <c r="ET208" s="412"/>
      <c r="EU208" s="412"/>
      <c r="EV208" s="412"/>
      <c r="EW208" s="412"/>
      <c r="EX208" s="412"/>
      <c r="EY208" s="412"/>
      <c r="EZ208" s="412"/>
      <c r="FA208" s="412"/>
      <c r="FB208" s="412"/>
      <c r="FC208" s="412"/>
      <c r="FD208" s="412"/>
      <c r="FE208" s="412"/>
      <c r="FF208" s="412"/>
      <c r="FG208" s="412"/>
      <c r="FH208" s="412"/>
      <c r="FI208" s="412"/>
      <c r="FJ208" s="412"/>
      <c r="FK208" s="412"/>
      <c r="FL208" s="412"/>
      <c r="FM208" s="412"/>
      <c r="FN208" s="412"/>
      <c r="FO208" s="412"/>
      <c r="FP208" s="412"/>
      <c r="FQ208" s="412"/>
      <c r="FR208" s="412"/>
      <c r="FS208" s="412"/>
      <c r="FT208" s="412"/>
      <c r="FU208" s="412"/>
      <c r="FV208" s="412"/>
      <c r="FW208" s="412"/>
      <c r="FX208" s="412"/>
      <c r="FY208" s="412"/>
      <c r="FZ208" s="412"/>
      <c r="GA208" s="412"/>
      <c r="GB208" s="412"/>
      <c r="GC208" s="412"/>
      <c r="GD208" s="412"/>
      <c r="GE208" s="412"/>
      <c r="GF208" s="412"/>
      <c r="GG208" s="412"/>
      <c r="GH208" s="412"/>
      <c r="GI208" s="412"/>
      <c r="GJ208" s="412"/>
      <c r="GK208" s="412"/>
      <c r="GL208" s="412"/>
      <c r="GM208" s="412"/>
      <c r="GN208" s="412"/>
      <c r="GO208" s="412"/>
      <c r="GP208" s="412"/>
      <c r="GQ208" s="412"/>
      <c r="GR208" s="412"/>
      <c r="GS208" s="412"/>
      <c r="GT208" s="412"/>
      <c r="GU208" s="412"/>
      <c r="GV208" s="412"/>
      <c r="GW208" s="412"/>
      <c r="GX208" s="412"/>
      <c r="GY208" s="412"/>
      <c r="GZ208" s="412"/>
      <c r="HA208" s="412"/>
      <c r="HB208" s="412"/>
      <c r="HC208" s="412"/>
      <c r="HD208" s="412"/>
      <c r="HE208" s="412"/>
      <c r="HF208" s="412"/>
      <c r="HG208" s="412"/>
      <c r="HH208" s="412"/>
      <c r="HI208" s="412"/>
      <c r="HJ208" s="412"/>
      <c r="HK208" s="412"/>
      <c r="HL208" s="412"/>
      <c r="HM208" s="412"/>
      <c r="HN208" s="412"/>
      <c r="HO208" s="412"/>
      <c r="HP208" s="412"/>
      <c r="HQ208" s="412"/>
      <c r="HR208" s="412"/>
      <c r="HS208" s="412"/>
      <c r="HT208" s="412"/>
      <c r="HU208" s="412"/>
      <c r="HV208" s="412"/>
      <c r="HW208" s="412"/>
      <c r="HX208" s="412"/>
      <c r="HY208" s="412"/>
      <c r="HZ208" s="412"/>
      <c r="IA208" s="412"/>
      <c r="IB208" s="412"/>
      <c r="IC208" s="412"/>
      <c r="ID208" s="412"/>
      <c r="IE208" s="412"/>
      <c r="IF208" s="412"/>
      <c r="IG208" s="412"/>
      <c r="IH208" s="412"/>
      <c r="II208" s="412"/>
      <c r="IJ208" s="412"/>
      <c r="IK208" s="412"/>
      <c r="IL208" s="412"/>
      <c r="IM208" s="412"/>
      <c r="IN208" s="412"/>
      <c r="IO208" s="412"/>
      <c r="IP208" s="412"/>
      <c r="IQ208" s="412"/>
      <c r="IR208" s="412"/>
      <c r="IS208" s="412"/>
      <c r="IT208" s="412"/>
      <c r="IU208" s="412"/>
      <c r="IV208" s="412"/>
      <c r="IW208" s="412"/>
      <c r="IX208" s="412"/>
      <c r="IY208" s="412"/>
      <c r="IZ208" s="412"/>
      <c r="JA208" s="412"/>
      <c r="JB208" s="412"/>
      <c r="JC208" s="412"/>
      <c r="JD208" s="412"/>
      <c r="JE208" s="412"/>
      <c r="JF208" s="412"/>
      <c r="JG208" s="412"/>
      <c r="JH208" s="412"/>
      <c r="JI208" s="412"/>
      <c r="JJ208" s="412"/>
      <c r="JK208" s="412"/>
      <c r="JL208" s="412"/>
      <c r="JM208" s="412"/>
      <c r="JN208" s="412"/>
      <c r="JO208" s="412"/>
      <c r="JP208" s="412"/>
      <c r="JQ208" s="412"/>
      <c r="JR208" s="412"/>
      <c r="JS208" s="412"/>
      <c r="JT208" s="412"/>
      <c r="JU208" s="412"/>
      <c r="JV208" s="412"/>
      <c r="JW208" s="412"/>
      <c r="JX208" s="412"/>
      <c r="JY208" s="412"/>
      <c r="JZ208" s="412"/>
      <c r="KA208" s="412"/>
      <c r="KB208" s="412"/>
      <c r="KC208" s="412"/>
      <c r="KD208" s="412"/>
      <c r="KE208" s="412"/>
      <c r="KF208" s="412"/>
      <c r="KG208" s="412"/>
      <c r="KH208" s="412"/>
      <c r="KI208" s="412"/>
      <c r="KJ208" s="412"/>
      <c r="KK208" s="412"/>
      <c r="KL208" s="412"/>
      <c r="KM208" s="412"/>
      <c r="KN208" s="412"/>
      <c r="KO208" s="412"/>
      <c r="KP208" s="412"/>
      <c r="KQ208" s="412"/>
      <c r="KR208" s="412"/>
      <c r="KS208" s="412"/>
      <c r="KT208" s="412"/>
      <c r="KU208" s="412"/>
      <c r="KV208" s="412"/>
      <c r="KW208" s="412"/>
      <c r="KX208" s="412"/>
      <c r="KY208" s="412"/>
      <c r="KZ208" s="412"/>
      <c r="LA208" s="412"/>
      <c r="LB208" s="412"/>
      <c r="LC208" s="412"/>
      <c r="LD208" s="412"/>
      <c r="LE208" s="412"/>
      <c r="LF208" s="412"/>
      <c r="LG208" s="412"/>
      <c r="LH208" s="412"/>
      <c r="LI208" s="412"/>
      <c r="LJ208" s="412"/>
      <c r="LK208" s="412"/>
      <c r="LL208" s="412"/>
      <c r="LM208" s="412"/>
      <c r="LN208" s="412"/>
      <c r="LO208" s="412"/>
      <c r="LP208" s="412"/>
      <c r="LQ208" s="412"/>
      <c r="LR208" s="412"/>
      <c r="LS208" s="412"/>
      <c r="LT208" s="412"/>
      <c r="LU208" s="412"/>
      <c r="LV208" s="412"/>
      <c r="LW208" s="412"/>
      <c r="LX208" s="412"/>
      <c r="LY208" s="412"/>
      <c r="LZ208" s="412"/>
      <c r="MA208" s="412"/>
      <c r="MB208" s="412"/>
      <c r="MC208" s="412"/>
      <c r="MD208" s="412"/>
      <c r="ME208" s="412"/>
      <c r="MF208" s="412"/>
      <c r="MG208" s="412"/>
      <c r="MH208" s="412"/>
      <c r="MI208" s="412"/>
      <c r="MJ208" s="412"/>
      <c r="MK208" s="412"/>
      <c r="ML208" s="412"/>
      <c r="MM208" s="412"/>
      <c r="MN208" s="412"/>
      <c r="MO208" s="412"/>
      <c r="MP208" s="412"/>
      <c r="MQ208" s="412"/>
      <c r="MR208" s="412"/>
      <c r="MS208" s="412"/>
      <c r="MT208" s="412"/>
      <c r="MU208" s="412"/>
      <c r="MV208" s="412"/>
      <c r="MW208" s="412"/>
      <c r="MX208" s="412"/>
      <c r="MY208" s="412"/>
      <c r="MZ208" s="412"/>
      <c r="NA208" s="412"/>
      <c r="NB208" s="412"/>
      <c r="NC208" s="412"/>
      <c r="ND208" s="412"/>
      <c r="NE208" s="412"/>
      <c r="NF208" s="412"/>
      <c r="NG208" s="412"/>
      <c r="NH208" s="412"/>
      <c r="NI208" s="412"/>
      <c r="NJ208" s="412"/>
      <c r="NK208" s="412"/>
      <c r="NL208" s="412"/>
      <c r="NM208" s="412"/>
      <c r="NN208" s="412"/>
      <c r="NO208" s="412"/>
      <c r="NP208" s="412"/>
      <c r="NQ208" s="412"/>
      <c r="NR208" s="412"/>
      <c r="NS208" s="412"/>
      <c r="NT208" s="412"/>
      <c r="NU208" s="412"/>
      <c r="NV208" s="412"/>
      <c r="NW208" s="412"/>
      <c r="NX208" s="412"/>
      <c r="NY208" s="412"/>
      <c r="NZ208" s="412"/>
      <c r="OA208" s="412"/>
      <c r="OB208" s="412"/>
      <c r="OC208" s="412"/>
      <c r="OD208" s="412"/>
      <c r="OE208" s="412"/>
      <c r="OF208" s="412"/>
      <c r="OG208" s="412"/>
      <c r="OH208" s="412"/>
      <c r="OI208" s="412"/>
      <c r="OJ208" s="412"/>
      <c r="OK208" s="412"/>
      <c r="OL208" s="412"/>
      <c r="OM208" s="412"/>
      <c r="ON208" s="412"/>
      <c r="OO208" s="412"/>
      <c r="OP208" s="412"/>
      <c r="OQ208" s="412"/>
      <c r="OR208" s="412"/>
      <c r="OS208" s="412"/>
      <c r="OT208" s="412"/>
      <c r="OU208" s="412"/>
      <c r="OV208" s="412"/>
      <c r="OW208" s="412"/>
      <c r="OX208" s="412"/>
      <c r="OY208" s="412"/>
      <c r="OZ208" s="412"/>
      <c r="PA208" s="412"/>
      <c r="PB208" s="412"/>
      <c r="PC208" s="412"/>
      <c r="PD208" s="412"/>
      <c r="PE208" s="412"/>
      <c r="PF208" s="412"/>
      <c r="PG208" s="412"/>
      <c r="PH208" s="412"/>
      <c r="PI208" s="412"/>
      <c r="PJ208" s="412"/>
      <c r="PK208" s="412"/>
      <c r="PL208" s="412"/>
      <c r="PM208" s="412"/>
      <c r="PN208" s="412"/>
      <c r="PO208" s="412"/>
      <c r="PP208" s="412"/>
      <c r="PQ208" s="412"/>
      <c r="PR208" s="412"/>
      <c r="PS208" s="412"/>
      <c r="PT208" s="412"/>
      <c r="PU208" s="412"/>
      <c r="PV208" s="412"/>
      <c r="PW208" s="412"/>
      <c r="PX208" s="412"/>
      <c r="PY208" s="412"/>
      <c r="PZ208" s="412"/>
      <c r="QA208" s="412"/>
      <c r="QB208" s="412"/>
      <c r="QC208" s="412"/>
      <c r="QD208" s="412"/>
      <c r="QE208" s="412"/>
      <c r="QF208" s="412"/>
      <c r="QG208" s="412"/>
      <c r="QH208" s="412"/>
      <c r="QI208" s="412"/>
      <c r="QJ208" s="412"/>
      <c r="QK208" s="412"/>
      <c r="QL208" s="412"/>
      <c r="QM208" s="412"/>
      <c r="QN208" s="412"/>
      <c r="QO208" s="412"/>
      <c r="QP208" s="412"/>
      <c r="QQ208" s="412"/>
      <c r="QR208" s="412"/>
      <c r="QS208" s="412"/>
      <c r="QT208" s="412"/>
      <c r="QU208" s="412"/>
      <c r="QV208" s="412"/>
      <c r="QW208" s="412"/>
      <c r="QX208" s="412"/>
      <c r="QY208" s="412"/>
      <c r="QZ208" s="412"/>
      <c r="RA208" s="412"/>
      <c r="RB208" s="412"/>
      <c r="RC208" s="412"/>
      <c r="RD208" s="412"/>
      <c r="RE208" s="412"/>
      <c r="RF208" s="412"/>
      <c r="RG208" s="412"/>
      <c r="RH208" s="412"/>
      <c r="RI208" s="412"/>
      <c r="RJ208" s="412"/>
      <c r="RK208" s="412"/>
      <c r="RL208" s="412"/>
      <c r="RM208" s="412"/>
      <c r="RN208" s="412"/>
      <c r="RO208" s="412"/>
      <c r="RP208" s="412"/>
      <c r="RQ208" s="412"/>
      <c r="RR208" s="412"/>
      <c r="RS208" s="412"/>
      <c r="RT208" s="412"/>
      <c r="RU208" s="412"/>
      <c r="RV208" s="412"/>
      <c r="RW208" s="412"/>
      <c r="RX208" s="412"/>
      <c r="RY208" s="412"/>
      <c r="RZ208" s="412"/>
      <c r="SA208" s="412"/>
      <c r="SB208" s="412"/>
      <c r="SC208" s="412"/>
      <c r="SD208" s="412"/>
      <c r="SE208" s="412"/>
      <c r="SF208" s="412"/>
      <c r="SG208" s="412"/>
      <c r="SH208" s="412"/>
      <c r="SI208" s="412"/>
      <c r="SJ208" s="412"/>
      <c r="SK208" s="412"/>
      <c r="SL208" s="412"/>
      <c r="SM208" s="412"/>
      <c r="SN208" s="412"/>
      <c r="SO208" s="412"/>
      <c r="SP208" s="412"/>
      <c r="SQ208" s="412"/>
      <c r="SR208" s="412"/>
      <c r="SS208" s="412"/>
      <c r="ST208" s="412"/>
      <c r="SU208" s="412"/>
      <c r="SV208" s="412"/>
      <c r="SW208" s="412"/>
      <c r="SX208" s="412"/>
      <c r="SY208" s="412"/>
      <c r="SZ208" s="412"/>
      <c r="TA208" s="412"/>
      <c r="TB208" s="412"/>
      <c r="TC208" s="412"/>
      <c r="TD208" s="412"/>
      <c r="TE208" s="412"/>
      <c r="TF208" s="412"/>
      <c r="TG208" s="412"/>
      <c r="TH208" s="412"/>
      <c r="TI208" s="412"/>
      <c r="TJ208" s="412"/>
      <c r="TK208" s="412"/>
      <c r="TL208" s="412"/>
      <c r="TM208" s="412"/>
      <c r="TN208" s="412"/>
      <c r="TO208" s="412"/>
      <c r="TP208" s="412"/>
      <c r="TQ208" s="412"/>
      <c r="TR208" s="412"/>
      <c r="TS208" s="412"/>
      <c r="TT208" s="412"/>
      <c r="TU208" s="412"/>
      <c r="TV208" s="412"/>
      <c r="TW208" s="412"/>
      <c r="TX208" s="412"/>
      <c r="TY208" s="412"/>
      <c r="TZ208" s="412"/>
      <c r="UA208" s="412"/>
      <c r="UB208" s="412"/>
      <c r="UC208" s="412"/>
      <c r="UD208" s="412"/>
      <c r="UE208" s="412"/>
      <c r="UF208" s="412"/>
      <c r="UG208" s="412"/>
      <c r="UH208" s="412"/>
      <c r="UI208" s="412"/>
      <c r="UJ208" s="412"/>
      <c r="UK208" s="412"/>
      <c r="UL208" s="412"/>
      <c r="UM208" s="412"/>
      <c r="UN208" s="412"/>
      <c r="UO208" s="412"/>
      <c r="UP208" s="412"/>
      <c r="UQ208" s="412"/>
      <c r="UR208" s="412"/>
      <c r="US208" s="412"/>
      <c r="UT208" s="412"/>
      <c r="UU208" s="412"/>
      <c r="UV208" s="412"/>
      <c r="UW208" s="412"/>
      <c r="UX208" s="412"/>
      <c r="UY208" s="412"/>
      <c r="UZ208" s="412"/>
      <c r="VA208" s="412"/>
      <c r="VB208" s="412"/>
      <c r="VC208" s="412"/>
      <c r="VD208" s="412"/>
      <c r="VE208" s="412"/>
      <c r="VF208" s="412"/>
      <c r="VG208" s="412"/>
      <c r="VH208" s="412"/>
      <c r="VI208" s="412"/>
      <c r="VJ208" s="412"/>
      <c r="VK208" s="412"/>
      <c r="VL208" s="412"/>
      <c r="VM208" s="412"/>
      <c r="VN208" s="412"/>
      <c r="VO208" s="412"/>
      <c r="VP208" s="412"/>
      <c r="VQ208" s="412"/>
      <c r="VR208" s="412"/>
      <c r="VS208" s="412"/>
      <c r="VT208" s="412"/>
      <c r="VU208" s="412"/>
      <c r="VV208" s="412"/>
      <c r="VW208" s="412"/>
      <c r="VX208" s="412"/>
      <c r="VY208" s="412"/>
      <c r="VZ208" s="412"/>
      <c r="WA208" s="412"/>
      <c r="WB208" s="412"/>
      <c r="WC208" s="412"/>
      <c r="WD208" s="412"/>
      <c r="WE208" s="412"/>
      <c r="WF208" s="412"/>
      <c r="WG208" s="412"/>
      <c r="WH208" s="412"/>
      <c r="WI208" s="412"/>
      <c r="WJ208" s="412"/>
      <c r="WK208" s="412"/>
      <c r="WL208" s="412"/>
      <c r="WM208" s="412"/>
      <c r="WN208" s="412"/>
      <c r="WO208" s="412"/>
      <c r="WP208" s="412"/>
      <c r="WQ208" s="412"/>
      <c r="WR208" s="412"/>
      <c r="WS208" s="412"/>
      <c r="WT208" s="412"/>
      <c r="WU208" s="412"/>
      <c r="WV208" s="412"/>
      <c r="WW208" s="412"/>
      <c r="WX208" s="412"/>
      <c r="WY208" s="412"/>
      <c r="WZ208" s="412"/>
      <c r="XA208" s="412"/>
      <c r="XB208" s="412"/>
      <c r="XC208" s="412"/>
      <c r="XD208" s="412"/>
      <c r="XE208" s="412"/>
      <c r="XF208" s="412"/>
      <c r="XG208" s="412"/>
      <c r="XH208" s="412"/>
      <c r="XI208" s="412"/>
      <c r="XJ208" s="412"/>
      <c r="XK208" s="412"/>
      <c r="XL208" s="412"/>
      <c r="XM208" s="412"/>
      <c r="XN208" s="412"/>
      <c r="XO208" s="412"/>
      <c r="XP208" s="412"/>
      <c r="XQ208" s="412"/>
      <c r="XR208" s="412"/>
      <c r="XS208" s="412"/>
      <c r="XT208" s="412"/>
      <c r="XU208" s="412"/>
      <c r="XV208" s="412"/>
      <c r="XW208" s="412"/>
      <c r="XX208" s="412"/>
      <c r="XY208" s="412"/>
      <c r="XZ208" s="412"/>
      <c r="YA208" s="412"/>
      <c r="YB208" s="412"/>
      <c r="YC208" s="412"/>
      <c r="YD208" s="412"/>
      <c r="YE208" s="412"/>
      <c r="YF208" s="412"/>
      <c r="YG208" s="412"/>
      <c r="YH208" s="412"/>
      <c r="YI208" s="412"/>
      <c r="YJ208" s="412"/>
      <c r="YK208" s="412"/>
      <c r="YL208" s="412"/>
      <c r="YM208" s="412"/>
      <c r="YN208" s="412"/>
      <c r="YO208" s="412"/>
      <c r="YP208" s="412"/>
      <c r="YQ208" s="412"/>
      <c r="YR208" s="412"/>
      <c r="YS208" s="412"/>
      <c r="YT208" s="412"/>
      <c r="YU208" s="412"/>
      <c r="YV208" s="412"/>
      <c r="YW208" s="412"/>
      <c r="YX208" s="412"/>
      <c r="YY208" s="412"/>
      <c r="YZ208" s="412"/>
      <c r="ZA208" s="412"/>
      <c r="ZB208" s="412"/>
      <c r="ZC208" s="412"/>
      <c r="ZD208" s="412"/>
      <c r="ZE208" s="412"/>
      <c r="ZF208" s="412"/>
      <c r="ZG208" s="412"/>
      <c r="ZH208" s="412"/>
      <c r="ZI208" s="412"/>
      <c r="ZJ208" s="412"/>
      <c r="ZK208" s="412"/>
      <c r="ZL208" s="412"/>
      <c r="ZM208" s="412"/>
      <c r="ZN208" s="412"/>
      <c r="ZO208" s="412"/>
      <c r="ZP208" s="412"/>
      <c r="ZQ208" s="412"/>
      <c r="ZR208" s="412"/>
      <c r="ZS208" s="412"/>
      <c r="ZT208" s="412"/>
      <c r="ZU208" s="412"/>
      <c r="ZV208" s="412"/>
      <c r="ZW208" s="412"/>
      <c r="ZX208" s="412"/>
      <c r="ZY208" s="412"/>
      <c r="ZZ208" s="412"/>
      <c r="AAA208" s="412"/>
      <c r="AAB208" s="412"/>
      <c r="AAC208" s="412"/>
      <c r="AAD208" s="412"/>
      <c r="AAE208" s="412"/>
      <c r="AAF208" s="412"/>
      <c r="AAG208" s="412"/>
      <c r="AAH208" s="412"/>
      <c r="AAI208" s="412"/>
      <c r="AAJ208" s="412"/>
      <c r="AAK208" s="412"/>
      <c r="AAL208" s="412"/>
      <c r="AAM208" s="412"/>
      <c r="AAN208" s="412"/>
      <c r="AAO208" s="412"/>
      <c r="AAP208" s="412"/>
      <c r="AAQ208" s="412"/>
      <c r="AAR208" s="412"/>
      <c r="AAS208" s="412"/>
      <c r="AAT208" s="412"/>
      <c r="AAU208" s="412"/>
      <c r="AAV208" s="412"/>
      <c r="AAW208" s="412"/>
      <c r="AAX208" s="412"/>
      <c r="AAY208" s="412"/>
      <c r="AAZ208" s="412"/>
      <c r="ABA208" s="412"/>
      <c r="ABB208" s="412"/>
      <c r="ABC208" s="412"/>
      <c r="ABD208" s="412"/>
      <c r="ABE208" s="412"/>
      <c r="ABF208" s="412"/>
      <c r="ABG208" s="412"/>
      <c r="ABH208" s="412"/>
      <c r="ABI208" s="412"/>
      <c r="ABJ208" s="412"/>
      <c r="ABK208" s="412"/>
      <c r="ABL208" s="412"/>
      <c r="ABM208" s="412"/>
      <c r="ABN208" s="412"/>
      <c r="ABO208" s="412"/>
      <c r="ABP208" s="412"/>
      <c r="ABQ208" s="412"/>
      <c r="ABR208" s="412"/>
      <c r="ABS208" s="412"/>
      <c r="ABT208" s="412"/>
      <c r="ABU208" s="412"/>
      <c r="ABV208" s="412"/>
      <c r="ABW208" s="412"/>
      <c r="ABX208" s="412"/>
      <c r="ABY208" s="412"/>
      <c r="ABZ208" s="412"/>
      <c r="ACA208" s="412"/>
      <c r="ACB208" s="412"/>
      <c r="ACC208" s="412"/>
      <c r="ACD208" s="412"/>
      <c r="ACE208" s="412"/>
      <c r="ACF208" s="412"/>
      <c r="ACG208" s="412"/>
      <c r="ACH208" s="412"/>
      <c r="ACI208" s="412"/>
      <c r="ACJ208" s="412"/>
      <c r="ACK208" s="412"/>
      <c r="ACL208" s="412"/>
      <c r="ACM208" s="412"/>
      <c r="ACN208" s="412"/>
      <c r="ACO208" s="412"/>
      <c r="ACP208" s="412"/>
      <c r="ACQ208" s="412"/>
      <c r="ACR208" s="412"/>
      <c r="ACS208" s="412"/>
      <c r="ACT208" s="412"/>
      <c r="ACU208" s="412"/>
      <c r="ACV208" s="412"/>
      <c r="ACW208" s="412"/>
      <c r="ACX208" s="412"/>
      <c r="ACY208" s="412"/>
      <c r="ACZ208" s="412"/>
      <c r="ADA208" s="412"/>
      <c r="ADB208" s="412"/>
      <c r="ADC208" s="412"/>
      <c r="ADD208" s="412"/>
      <c r="ADE208" s="412"/>
      <c r="ADF208" s="412"/>
      <c r="ADG208" s="412"/>
      <c r="ADH208" s="412"/>
      <c r="ADI208" s="412"/>
      <c r="ADJ208" s="412"/>
      <c r="ADK208" s="412"/>
      <c r="ADL208" s="412"/>
      <c r="ADM208" s="412"/>
      <c r="ADN208" s="412"/>
      <c r="ADO208" s="412"/>
      <c r="ADP208" s="412"/>
      <c r="ADQ208" s="412"/>
      <c r="ADR208" s="412"/>
      <c r="ADS208" s="412"/>
      <c r="ADT208" s="412"/>
      <c r="ADU208" s="412"/>
      <c r="ADV208" s="412"/>
      <c r="ADW208" s="412"/>
      <c r="ADX208" s="412"/>
      <c r="ADY208" s="412"/>
      <c r="ADZ208" s="412"/>
      <c r="AEA208" s="412"/>
      <c r="AEB208" s="412"/>
      <c r="AEC208" s="412"/>
      <c r="AED208" s="412"/>
      <c r="AEE208" s="412"/>
      <c r="AEF208" s="412"/>
      <c r="AEG208" s="412"/>
      <c r="AEH208" s="412"/>
      <c r="AEI208" s="412"/>
      <c r="AEJ208" s="412"/>
      <c r="AEK208" s="412"/>
      <c r="AEL208" s="412"/>
      <c r="AEM208" s="412"/>
      <c r="AEN208" s="412"/>
      <c r="AEO208" s="412"/>
      <c r="AEP208" s="412"/>
      <c r="AEQ208" s="412"/>
      <c r="AER208" s="412"/>
      <c r="AES208" s="412"/>
      <c r="AET208" s="412"/>
      <c r="AEU208" s="412"/>
      <c r="AEV208" s="412"/>
      <c r="AEW208" s="412"/>
      <c r="AEX208" s="412"/>
      <c r="AEY208" s="412"/>
      <c r="AEZ208" s="412"/>
      <c r="AFA208" s="412"/>
      <c r="AFB208" s="412"/>
      <c r="AFC208" s="412"/>
      <c r="AFD208" s="412"/>
      <c r="AFE208" s="412"/>
      <c r="AFF208" s="412"/>
      <c r="AFG208" s="412"/>
      <c r="AFH208" s="412"/>
      <c r="AFI208" s="412"/>
      <c r="AFJ208" s="412"/>
      <c r="AFK208" s="412"/>
      <c r="AFL208" s="412"/>
      <c r="AFM208" s="412"/>
      <c r="AFN208" s="412"/>
      <c r="AFO208" s="412"/>
      <c r="AFP208" s="412"/>
      <c r="AFQ208" s="412"/>
      <c r="AFR208" s="412"/>
      <c r="AFS208" s="412"/>
      <c r="AFT208" s="412"/>
      <c r="AFU208" s="412"/>
      <c r="AFV208" s="412"/>
      <c r="AFW208" s="412"/>
      <c r="AFX208" s="412"/>
      <c r="AFY208" s="412"/>
      <c r="AFZ208" s="412"/>
      <c r="AGA208" s="412"/>
      <c r="AGB208" s="412"/>
      <c r="AGC208" s="412"/>
      <c r="AGD208" s="412"/>
      <c r="AGE208" s="412"/>
      <c r="AGF208" s="412"/>
      <c r="AGG208" s="412"/>
      <c r="AGH208" s="412"/>
      <c r="AGI208" s="412"/>
      <c r="AGJ208" s="412"/>
      <c r="AGK208" s="412"/>
      <c r="AGL208" s="412"/>
      <c r="AGM208" s="412"/>
      <c r="AGN208" s="412"/>
      <c r="AGO208" s="412"/>
      <c r="AGP208" s="412"/>
      <c r="AGQ208" s="412"/>
      <c r="AGR208" s="412"/>
      <c r="AGS208" s="412"/>
      <c r="AGT208" s="412"/>
      <c r="AGU208" s="412"/>
      <c r="AGV208" s="412"/>
      <c r="AGW208" s="412"/>
      <c r="AGX208" s="412"/>
      <c r="AGY208" s="412"/>
      <c r="AGZ208" s="412"/>
      <c r="AHA208" s="412"/>
      <c r="AHB208" s="412"/>
      <c r="AHC208" s="412"/>
      <c r="AHD208" s="412"/>
      <c r="AHE208" s="412"/>
      <c r="AHF208" s="412"/>
      <c r="AHG208" s="412"/>
      <c r="AHH208" s="412"/>
      <c r="AHI208" s="412"/>
      <c r="AHJ208" s="412"/>
      <c r="AHK208" s="412"/>
      <c r="AHL208" s="412"/>
      <c r="AHM208" s="412"/>
      <c r="AHN208" s="412"/>
      <c r="AHO208" s="412"/>
      <c r="AHP208" s="412"/>
      <c r="AHQ208" s="412"/>
      <c r="AHR208" s="412"/>
      <c r="AHS208" s="412"/>
      <c r="AHT208" s="412"/>
      <c r="AHU208" s="412"/>
      <c r="AHV208" s="412"/>
      <c r="AHW208" s="412"/>
      <c r="AHX208" s="412"/>
      <c r="AHY208" s="412"/>
      <c r="AHZ208" s="412"/>
      <c r="AIA208" s="412"/>
      <c r="AIB208" s="412"/>
      <c r="AIC208" s="412"/>
      <c r="AID208" s="412"/>
      <c r="AIE208" s="412"/>
      <c r="AIF208" s="412"/>
      <c r="AIG208" s="412"/>
      <c r="AIH208" s="412"/>
      <c r="AII208" s="412"/>
      <c r="AIJ208" s="412"/>
      <c r="AIK208" s="412"/>
      <c r="AIL208" s="412"/>
      <c r="AIM208" s="412"/>
      <c r="AIN208" s="412"/>
      <c r="AIO208" s="412"/>
      <c r="AIP208" s="412"/>
      <c r="AIQ208" s="412"/>
      <c r="AIR208" s="412"/>
      <c r="AIS208" s="412"/>
      <c r="AIT208" s="412"/>
      <c r="AIU208" s="412"/>
      <c r="AIV208" s="412"/>
      <c r="AIW208" s="412"/>
      <c r="AIX208" s="412"/>
      <c r="AIY208" s="412"/>
      <c r="AIZ208" s="412"/>
      <c r="AJA208" s="412"/>
      <c r="AJB208" s="412"/>
      <c r="AJC208" s="412"/>
      <c r="AJD208" s="412"/>
      <c r="AJE208" s="412"/>
      <c r="AJF208" s="412"/>
      <c r="AJG208" s="412"/>
      <c r="AJH208" s="412"/>
      <c r="AJI208" s="412"/>
      <c r="AJJ208" s="412"/>
      <c r="AJK208" s="412"/>
      <c r="AJL208" s="412"/>
      <c r="AJM208" s="412"/>
      <c r="AJN208" s="412"/>
      <c r="AJO208" s="412"/>
      <c r="AJP208" s="412"/>
      <c r="AJQ208" s="412"/>
      <c r="AJR208" s="412"/>
      <c r="AJS208" s="412"/>
      <c r="AJT208" s="412"/>
      <c r="AJU208" s="412"/>
      <c r="AJV208" s="412"/>
      <c r="AJW208" s="412"/>
      <c r="AJX208" s="412"/>
      <c r="AJY208" s="412"/>
      <c r="AJZ208" s="412"/>
      <c r="AKA208" s="412"/>
      <c r="AKB208" s="412"/>
      <c r="AKC208" s="412"/>
      <c r="AKD208" s="412"/>
      <c r="AKE208" s="412"/>
      <c r="AKF208" s="412"/>
      <c r="AKG208" s="412"/>
      <c r="AKH208" s="412"/>
      <c r="AKI208" s="412"/>
      <c r="AKJ208" s="412"/>
      <c r="AKK208" s="412"/>
      <c r="AKL208" s="412"/>
      <c r="AKM208" s="412"/>
      <c r="AKN208" s="412"/>
      <c r="AKO208" s="412"/>
      <c r="AKP208" s="412"/>
      <c r="AKQ208" s="412"/>
      <c r="AKR208" s="412"/>
      <c r="AKS208" s="412"/>
      <c r="AKT208" s="412"/>
      <c r="AKU208" s="412"/>
      <c r="AKV208" s="412"/>
      <c r="AKW208" s="412"/>
      <c r="AKX208" s="412"/>
      <c r="AKY208" s="412"/>
      <c r="AKZ208" s="412"/>
      <c r="ALA208" s="412"/>
      <c r="ALB208" s="412"/>
      <c r="ALC208" s="412"/>
      <c r="ALD208" s="412"/>
      <c r="ALE208" s="412"/>
      <c r="ALF208" s="412"/>
      <c r="ALG208" s="412"/>
      <c r="ALH208" s="412"/>
      <c r="ALI208" s="412"/>
      <c r="ALJ208" s="412"/>
      <c r="ALK208" s="412"/>
      <c r="ALL208" s="412"/>
      <c r="ALM208" s="412"/>
      <c r="ALN208" s="412"/>
      <c r="ALO208" s="412"/>
      <c r="ALP208" s="412"/>
      <c r="ALQ208" s="412"/>
      <c r="ALR208" s="412"/>
      <c r="ALS208" s="412"/>
      <c r="ALT208" s="412"/>
      <c r="ALU208" s="412"/>
      <c r="ALV208" s="412"/>
      <c r="ALW208" s="412"/>
      <c r="ALX208" s="412"/>
      <c r="ALY208" s="412"/>
      <c r="ALZ208" s="412"/>
      <c r="AMA208" s="412"/>
      <c r="AMB208" s="412"/>
      <c r="AMC208" s="412"/>
      <c r="AMD208" s="412"/>
      <c r="AME208" s="412"/>
      <c r="AMF208" s="412"/>
      <c r="AMG208" s="412"/>
      <c r="AMH208" s="412"/>
      <c r="AMI208" s="412"/>
      <c r="AMJ208" s="412"/>
      <c r="AMK208" s="412"/>
      <c r="AML208" s="412"/>
      <c r="AMM208" s="412"/>
      <c r="AMN208" s="412"/>
      <c r="AMO208" s="412"/>
      <c r="AMP208" s="412"/>
      <c r="AMQ208" s="412"/>
      <c r="AMR208" s="412"/>
      <c r="AMS208" s="412"/>
      <c r="AMT208" s="412"/>
      <c r="AMU208" s="412"/>
      <c r="AMV208" s="412"/>
      <c r="AMW208" s="412"/>
      <c r="AMX208" s="412"/>
      <c r="AMY208" s="412"/>
      <c r="AMZ208" s="412"/>
      <c r="ANA208" s="412"/>
      <c r="ANB208" s="412"/>
      <c r="ANC208" s="412"/>
      <c r="AND208" s="412"/>
      <c r="ANE208" s="412"/>
      <c r="ANF208" s="412"/>
      <c r="ANG208" s="412"/>
      <c r="ANH208" s="412"/>
      <c r="ANI208" s="412"/>
      <c r="ANJ208" s="412"/>
      <c r="ANK208" s="412"/>
      <c r="ANL208" s="412"/>
      <c r="ANM208" s="412"/>
      <c r="ANN208" s="412"/>
      <c r="ANO208" s="412"/>
      <c r="ANP208" s="412"/>
      <c r="ANQ208" s="412"/>
      <c r="ANR208" s="412"/>
      <c r="ANS208" s="412"/>
      <c r="ANT208" s="412"/>
      <c r="ANU208" s="412"/>
      <c r="ANV208" s="412"/>
      <c r="ANW208" s="412"/>
      <c r="ANX208" s="412"/>
      <c r="ANY208" s="412"/>
      <c r="ANZ208" s="412"/>
      <c r="AOA208" s="412"/>
      <c r="AOB208" s="412"/>
      <c r="AOC208" s="412"/>
      <c r="AOD208" s="412"/>
      <c r="AOE208" s="412"/>
      <c r="AOF208" s="412"/>
      <c r="AOG208" s="412"/>
      <c r="AOH208" s="412"/>
      <c r="AOI208" s="412"/>
      <c r="AOJ208" s="412"/>
      <c r="AOK208" s="412"/>
      <c r="AOL208" s="412"/>
      <c r="AOM208" s="412"/>
      <c r="AON208" s="412"/>
      <c r="AOO208" s="412"/>
      <c r="AOP208" s="412"/>
      <c r="AOQ208" s="412"/>
      <c r="AOR208" s="412"/>
      <c r="AOS208" s="412"/>
      <c r="AOT208" s="412"/>
      <c r="AOU208" s="412"/>
      <c r="AOV208" s="412"/>
      <c r="AOW208" s="412"/>
      <c r="AOX208" s="412"/>
      <c r="AOY208" s="412"/>
      <c r="AOZ208" s="412"/>
      <c r="APA208" s="412"/>
      <c r="APB208" s="412"/>
      <c r="APC208" s="412"/>
      <c r="APD208" s="412"/>
      <c r="APE208" s="412"/>
      <c r="APF208" s="412"/>
      <c r="APG208" s="412"/>
      <c r="APH208" s="412"/>
      <c r="API208" s="412"/>
      <c r="APJ208" s="412"/>
      <c r="APK208" s="412"/>
      <c r="APL208" s="412"/>
      <c r="APM208" s="412"/>
      <c r="APN208" s="412"/>
      <c r="APO208" s="412"/>
      <c r="APP208" s="412"/>
      <c r="APQ208" s="412"/>
      <c r="APR208" s="412"/>
      <c r="APS208" s="412"/>
      <c r="APT208" s="412"/>
      <c r="APU208" s="412"/>
      <c r="APV208" s="412"/>
      <c r="APW208" s="412"/>
      <c r="APX208" s="412"/>
      <c r="APY208" s="412"/>
      <c r="APZ208" s="412"/>
      <c r="AQA208" s="412"/>
      <c r="AQB208" s="412"/>
      <c r="AQC208" s="412"/>
      <c r="AQD208" s="412"/>
      <c r="AQE208" s="412"/>
      <c r="AQF208" s="412"/>
      <c r="AQG208" s="412"/>
      <c r="AQH208" s="412"/>
      <c r="AQI208" s="412"/>
      <c r="AQJ208" s="412"/>
      <c r="AQK208" s="412"/>
      <c r="AQL208" s="412"/>
      <c r="AQM208" s="412"/>
      <c r="AQN208" s="412"/>
      <c r="AQO208" s="412"/>
      <c r="AQP208" s="412"/>
      <c r="AQQ208" s="412"/>
      <c r="AQR208" s="412"/>
      <c r="AQS208" s="412"/>
      <c r="AQT208" s="412"/>
      <c r="AQU208" s="412"/>
      <c r="AQV208" s="412"/>
      <c r="AQW208" s="412"/>
      <c r="AQX208" s="412"/>
      <c r="AQY208" s="412"/>
      <c r="AQZ208" s="412"/>
      <c r="ARA208" s="412"/>
      <c r="ARB208" s="412"/>
      <c r="ARC208" s="412"/>
      <c r="ARD208" s="412"/>
      <c r="ARE208" s="412"/>
      <c r="ARF208" s="412"/>
      <c r="ARG208" s="412"/>
      <c r="ARH208" s="412"/>
      <c r="ARI208" s="412"/>
      <c r="ARJ208" s="412"/>
      <c r="ARK208" s="412"/>
      <c r="ARL208" s="412"/>
      <c r="ARM208" s="412"/>
      <c r="ARN208" s="412"/>
      <c r="ARO208" s="412"/>
      <c r="ARP208" s="412"/>
      <c r="ARQ208" s="412"/>
      <c r="ARR208" s="412"/>
      <c r="ARS208" s="412"/>
      <c r="ART208" s="412"/>
      <c r="ARU208" s="412"/>
      <c r="ARV208" s="412"/>
      <c r="ARW208" s="412"/>
      <c r="ARX208" s="412"/>
      <c r="ARY208" s="412"/>
      <c r="ARZ208" s="412"/>
      <c r="ASA208" s="412"/>
      <c r="ASB208" s="412"/>
      <c r="ASC208" s="412"/>
      <c r="ASD208" s="412"/>
      <c r="ASE208" s="412"/>
      <c r="ASF208" s="412"/>
      <c r="ASG208" s="412"/>
      <c r="ASH208" s="412"/>
      <c r="ASI208" s="412"/>
      <c r="ASJ208" s="412"/>
      <c r="ASK208" s="412"/>
      <c r="ASL208" s="412"/>
      <c r="ASM208" s="412"/>
      <c r="ASN208" s="412"/>
      <c r="ASO208" s="412"/>
      <c r="ASP208" s="412"/>
      <c r="ASQ208" s="412"/>
      <c r="ASR208" s="412"/>
      <c r="ASS208" s="412"/>
      <c r="AST208" s="412"/>
      <c r="ASU208" s="412"/>
      <c r="ASV208" s="412"/>
      <c r="ASW208" s="412"/>
      <c r="ASX208" s="412"/>
      <c r="ASY208" s="412"/>
      <c r="ASZ208" s="412"/>
      <c r="ATA208" s="412"/>
      <c r="ATB208" s="412"/>
      <c r="ATC208" s="412"/>
      <c r="ATD208" s="412"/>
      <c r="ATE208" s="412"/>
      <c r="ATF208" s="412"/>
      <c r="ATG208" s="412"/>
      <c r="ATH208" s="412"/>
      <c r="ATI208" s="412"/>
      <c r="ATJ208" s="412"/>
      <c r="ATK208" s="412"/>
      <c r="ATL208" s="412"/>
      <c r="ATM208" s="412"/>
      <c r="ATN208" s="412"/>
      <c r="ATO208" s="412"/>
      <c r="ATP208" s="412"/>
      <c r="ATQ208" s="412"/>
      <c r="ATR208" s="412"/>
      <c r="ATS208" s="412"/>
      <c r="ATT208" s="412"/>
      <c r="ATU208" s="412"/>
      <c r="ATV208" s="412"/>
      <c r="ATW208" s="412"/>
      <c r="ATX208" s="412"/>
      <c r="ATY208" s="412"/>
      <c r="ATZ208" s="412"/>
      <c r="AUA208" s="412"/>
      <c r="AUB208" s="412"/>
      <c r="AUC208" s="412"/>
      <c r="AUD208" s="412"/>
      <c r="AUE208" s="412"/>
      <c r="AUF208" s="412"/>
      <c r="AUG208" s="412"/>
      <c r="AUH208" s="412"/>
      <c r="AUI208" s="412"/>
      <c r="AUJ208" s="412"/>
      <c r="AUK208" s="412"/>
      <c r="AUL208" s="412"/>
      <c r="AUM208" s="412"/>
      <c r="AUN208" s="412"/>
      <c r="AUO208" s="412"/>
      <c r="AUP208" s="412"/>
      <c r="AUQ208" s="412"/>
      <c r="AUR208" s="412"/>
      <c r="AUS208" s="412"/>
      <c r="AUT208" s="412"/>
      <c r="AUU208" s="412"/>
      <c r="AUV208" s="412"/>
      <c r="AUW208" s="412"/>
      <c r="AUX208" s="412"/>
      <c r="AUY208" s="412"/>
      <c r="AUZ208" s="412"/>
      <c r="AVA208" s="412"/>
      <c r="AVB208" s="412"/>
      <c r="AVC208" s="412"/>
      <c r="AVD208" s="412"/>
      <c r="AVE208" s="412"/>
      <c r="AVF208" s="412"/>
      <c r="AVG208" s="412"/>
      <c r="AVH208" s="412"/>
      <c r="AVI208" s="412"/>
      <c r="AVJ208" s="412"/>
      <c r="AVK208" s="412"/>
      <c r="AVL208" s="412"/>
      <c r="AVM208" s="412"/>
      <c r="AVN208" s="412"/>
      <c r="AVO208" s="412"/>
      <c r="AVP208" s="412"/>
      <c r="AVQ208" s="412"/>
      <c r="AVR208" s="412"/>
      <c r="AVS208" s="412"/>
      <c r="AVT208" s="412"/>
      <c r="AVU208" s="412"/>
      <c r="AVV208" s="412"/>
      <c r="AVW208" s="412"/>
      <c r="AVX208" s="412"/>
      <c r="AVY208" s="412"/>
      <c r="AVZ208" s="412"/>
      <c r="AWA208" s="412"/>
      <c r="AWB208" s="412"/>
      <c r="AWC208" s="412"/>
      <c r="AWD208" s="412"/>
      <c r="AWE208" s="412"/>
      <c r="AWF208" s="412"/>
      <c r="AWG208" s="412"/>
      <c r="AWH208" s="412"/>
      <c r="AWI208" s="412"/>
      <c r="AWJ208" s="412"/>
      <c r="AWK208" s="412"/>
      <c r="AWL208" s="412"/>
      <c r="AWM208" s="412"/>
      <c r="AWN208" s="412"/>
      <c r="AWO208" s="412"/>
      <c r="AWP208" s="412"/>
      <c r="AWQ208" s="412"/>
      <c r="AWR208" s="412"/>
      <c r="AWS208" s="412"/>
      <c r="AWT208" s="412"/>
      <c r="AWU208" s="412"/>
      <c r="AWV208" s="412"/>
      <c r="AWW208" s="412"/>
      <c r="AWX208" s="412"/>
      <c r="AWY208" s="412"/>
      <c r="AWZ208" s="412"/>
      <c r="AXA208" s="412"/>
      <c r="AXB208" s="412"/>
      <c r="AXC208" s="412"/>
      <c r="AXD208" s="412"/>
      <c r="AXE208" s="412"/>
      <c r="AXF208" s="412"/>
      <c r="AXG208" s="412"/>
      <c r="AXH208" s="412"/>
      <c r="AXI208" s="412"/>
      <c r="AXJ208" s="412"/>
      <c r="AXK208" s="412"/>
      <c r="AXL208" s="412"/>
      <c r="AXM208" s="412"/>
      <c r="AXN208" s="412"/>
      <c r="AXO208" s="412"/>
      <c r="AXP208" s="412"/>
      <c r="AXQ208" s="412"/>
      <c r="AXR208" s="412"/>
      <c r="AXS208" s="412"/>
      <c r="AXT208" s="412"/>
      <c r="AXU208" s="412"/>
      <c r="AXV208" s="412"/>
      <c r="AXW208" s="412"/>
      <c r="AXX208" s="412"/>
      <c r="AXY208" s="412"/>
      <c r="AXZ208" s="412"/>
      <c r="AYA208" s="412"/>
      <c r="AYB208" s="412"/>
      <c r="AYC208" s="412"/>
      <c r="AYD208" s="412"/>
      <c r="AYE208" s="412"/>
      <c r="AYF208" s="412"/>
      <c r="AYG208" s="412"/>
      <c r="AYH208" s="412"/>
      <c r="AYI208" s="412"/>
      <c r="AYJ208" s="412"/>
      <c r="AYK208" s="412"/>
      <c r="AYL208" s="412"/>
      <c r="AYM208" s="412"/>
      <c r="AYN208" s="412"/>
      <c r="AYO208" s="412"/>
      <c r="AYP208" s="412"/>
      <c r="AYQ208" s="412"/>
      <c r="AYR208" s="412"/>
      <c r="AYS208" s="412"/>
      <c r="AYT208" s="412"/>
      <c r="AYU208" s="412"/>
      <c r="AYV208" s="412"/>
      <c r="AYW208" s="412"/>
      <c r="AYX208" s="412"/>
      <c r="AYY208" s="412"/>
      <c r="AYZ208" s="412"/>
      <c r="AZA208" s="412"/>
      <c r="AZB208" s="412"/>
      <c r="AZC208" s="412"/>
      <c r="AZD208" s="412"/>
      <c r="AZE208" s="412"/>
      <c r="AZF208" s="412"/>
      <c r="AZG208" s="412"/>
      <c r="AZH208" s="412"/>
      <c r="AZI208" s="412"/>
      <c r="AZJ208" s="412"/>
      <c r="AZK208" s="412"/>
      <c r="AZL208" s="412"/>
      <c r="AZM208" s="412"/>
      <c r="AZN208" s="412"/>
      <c r="AZO208" s="412"/>
      <c r="AZP208" s="412"/>
      <c r="AZQ208" s="412"/>
      <c r="AZR208" s="412"/>
      <c r="AZS208" s="412"/>
      <c r="AZT208" s="412"/>
      <c r="AZU208" s="412"/>
      <c r="AZV208" s="412"/>
      <c r="AZW208" s="412"/>
      <c r="AZX208" s="412"/>
      <c r="AZY208" s="412"/>
      <c r="AZZ208" s="412"/>
      <c r="BAA208" s="412"/>
      <c r="BAB208" s="412"/>
      <c r="BAC208" s="412"/>
      <c r="BAD208" s="412"/>
      <c r="BAE208" s="412"/>
      <c r="BAF208" s="412"/>
      <c r="BAG208" s="412"/>
      <c r="BAH208" s="412"/>
      <c r="BAI208" s="412"/>
      <c r="BAJ208" s="412"/>
      <c r="BAK208" s="412"/>
      <c r="BAL208" s="412"/>
      <c r="BAM208" s="412"/>
      <c r="BAN208" s="412"/>
      <c r="BAO208" s="412"/>
      <c r="BAP208" s="412"/>
      <c r="BAQ208" s="412"/>
      <c r="BAR208" s="412"/>
      <c r="BAS208" s="412"/>
      <c r="BAT208" s="412"/>
      <c r="BAU208" s="412"/>
      <c r="BAV208" s="412"/>
      <c r="BAW208" s="412"/>
      <c r="BAX208" s="412"/>
      <c r="BAY208" s="412"/>
      <c r="BAZ208" s="412"/>
      <c r="BBA208" s="412"/>
      <c r="BBB208" s="412"/>
      <c r="BBC208" s="412"/>
      <c r="BBD208" s="412"/>
      <c r="BBE208" s="412"/>
      <c r="BBF208" s="412"/>
      <c r="BBG208" s="412"/>
      <c r="BBH208" s="412"/>
      <c r="BBI208" s="412"/>
      <c r="BBJ208" s="412"/>
      <c r="BBK208" s="412"/>
      <c r="BBL208" s="412"/>
      <c r="BBM208" s="412"/>
      <c r="BBN208" s="412"/>
      <c r="BBO208" s="412"/>
      <c r="BBP208" s="412"/>
      <c r="BBQ208" s="412"/>
      <c r="BBR208" s="412"/>
      <c r="BBS208" s="412"/>
      <c r="BBT208" s="412"/>
      <c r="BBU208" s="412"/>
      <c r="BBV208" s="412"/>
      <c r="BBW208" s="412"/>
      <c r="BBX208" s="412"/>
      <c r="BBY208" s="412"/>
      <c r="BBZ208" s="412"/>
      <c r="BCA208" s="412"/>
      <c r="BCB208" s="412"/>
      <c r="BCC208" s="412"/>
      <c r="BCD208" s="412"/>
      <c r="BCE208" s="412"/>
      <c r="BCF208" s="412"/>
      <c r="BCG208" s="412"/>
      <c r="BCH208" s="412"/>
      <c r="BCI208" s="412"/>
      <c r="BCJ208" s="412"/>
      <c r="BCK208" s="412"/>
      <c r="BCL208" s="412"/>
      <c r="BCM208" s="412"/>
      <c r="BCN208" s="412"/>
      <c r="BCO208" s="412"/>
      <c r="BCP208" s="412"/>
      <c r="BCQ208" s="412"/>
      <c r="BCR208" s="412"/>
      <c r="BCS208" s="412"/>
      <c r="BCT208" s="412"/>
      <c r="BCU208" s="412"/>
      <c r="BCV208" s="412"/>
      <c r="BCW208" s="412"/>
      <c r="BCX208" s="412"/>
      <c r="BCY208" s="412"/>
      <c r="BCZ208" s="412"/>
      <c r="BDA208" s="412"/>
      <c r="BDB208" s="412"/>
      <c r="BDC208" s="412"/>
      <c r="BDD208" s="412"/>
      <c r="BDE208" s="412"/>
      <c r="BDF208" s="412"/>
      <c r="BDG208" s="412"/>
      <c r="BDH208" s="412"/>
      <c r="BDI208" s="412"/>
      <c r="BDJ208" s="412"/>
      <c r="BDK208" s="412"/>
      <c r="BDL208" s="412"/>
      <c r="BDM208" s="412"/>
      <c r="BDN208" s="412"/>
      <c r="BDO208" s="412"/>
      <c r="BDP208" s="412"/>
      <c r="BDQ208" s="412"/>
      <c r="BDR208" s="412"/>
      <c r="BDS208" s="412"/>
      <c r="BDT208" s="412"/>
      <c r="BDU208" s="412"/>
      <c r="BDV208" s="412"/>
      <c r="BDW208" s="412"/>
      <c r="BDX208" s="412"/>
      <c r="BDY208" s="412"/>
      <c r="BDZ208" s="412"/>
      <c r="BEA208" s="412"/>
      <c r="BEB208" s="412"/>
      <c r="BEC208" s="412"/>
      <c r="BED208" s="412"/>
      <c r="BEE208" s="412"/>
      <c r="BEF208" s="412"/>
      <c r="BEG208" s="412"/>
      <c r="BEH208" s="412"/>
      <c r="BEI208" s="412"/>
      <c r="BEJ208" s="412"/>
      <c r="BEK208" s="412"/>
      <c r="BEL208" s="412"/>
      <c r="BEM208" s="412"/>
      <c r="BEN208" s="412"/>
      <c r="BEO208" s="412"/>
      <c r="BEP208" s="412"/>
      <c r="BEQ208" s="412"/>
      <c r="BER208" s="412"/>
      <c r="BES208" s="412"/>
      <c r="BET208" s="412"/>
      <c r="BEU208" s="412"/>
      <c r="BEV208" s="412"/>
      <c r="BEW208" s="412"/>
      <c r="BEX208" s="412"/>
      <c r="BEY208" s="412"/>
      <c r="BEZ208" s="412"/>
      <c r="BFA208" s="412"/>
      <c r="BFB208" s="412"/>
      <c r="BFC208" s="412"/>
      <c r="BFD208" s="412"/>
      <c r="BFE208" s="412"/>
      <c r="BFF208" s="412"/>
      <c r="BFG208" s="412"/>
      <c r="BFH208" s="412"/>
      <c r="BFI208" s="412"/>
      <c r="BFJ208" s="412"/>
      <c r="BFK208" s="412"/>
      <c r="BFL208" s="412"/>
      <c r="BFM208" s="412"/>
      <c r="BFN208" s="412"/>
      <c r="BFO208" s="412"/>
      <c r="BFP208" s="412"/>
      <c r="BFQ208" s="412"/>
      <c r="BFR208" s="412"/>
      <c r="BFS208" s="412"/>
      <c r="BFT208" s="412"/>
      <c r="BFU208" s="412"/>
      <c r="BFV208" s="412"/>
      <c r="BFW208" s="412"/>
      <c r="BFX208" s="412"/>
      <c r="BFY208" s="412"/>
      <c r="BFZ208" s="412"/>
      <c r="BGA208" s="412"/>
      <c r="BGB208" s="412"/>
      <c r="BGC208" s="412"/>
      <c r="BGD208" s="412"/>
      <c r="BGE208" s="412"/>
      <c r="BGF208" s="412"/>
      <c r="BGG208" s="412"/>
      <c r="BGH208" s="412"/>
      <c r="BGI208" s="412"/>
      <c r="BGJ208" s="412"/>
      <c r="BGK208" s="412"/>
      <c r="BGL208" s="412"/>
      <c r="BGM208" s="412"/>
      <c r="BGN208" s="412"/>
      <c r="BGO208" s="412"/>
      <c r="BGP208" s="412"/>
      <c r="BGQ208" s="412"/>
      <c r="BGR208" s="412"/>
      <c r="BGS208" s="412"/>
      <c r="BGT208" s="412"/>
      <c r="BGU208" s="412"/>
      <c r="BGV208" s="412"/>
      <c r="BGW208" s="412"/>
      <c r="BGX208" s="412"/>
      <c r="BGY208" s="412"/>
      <c r="BGZ208" s="412"/>
      <c r="BHA208" s="412"/>
      <c r="BHB208" s="412"/>
      <c r="BHC208" s="412"/>
      <c r="BHD208" s="412"/>
      <c r="BHE208" s="412"/>
      <c r="BHF208" s="412"/>
      <c r="BHG208" s="412"/>
      <c r="BHH208" s="412"/>
      <c r="BHI208" s="412"/>
      <c r="BHJ208" s="412"/>
      <c r="BHK208" s="412"/>
      <c r="BHL208" s="412"/>
      <c r="BHM208" s="412"/>
      <c r="BHN208" s="412"/>
      <c r="BHO208" s="412"/>
      <c r="BHP208" s="412"/>
      <c r="BHQ208" s="412"/>
      <c r="BHR208" s="412"/>
      <c r="BHS208" s="412"/>
      <c r="BHT208" s="412"/>
      <c r="BHU208" s="412"/>
      <c r="BHV208" s="412"/>
      <c r="BHW208" s="412"/>
      <c r="BHX208" s="412"/>
      <c r="BHY208" s="412"/>
      <c r="BHZ208" s="412"/>
      <c r="BIA208" s="412"/>
      <c r="BIB208" s="412"/>
      <c r="BIC208" s="412"/>
      <c r="BID208" s="412"/>
      <c r="BIE208" s="412"/>
      <c r="BIF208" s="412"/>
      <c r="BIG208" s="412"/>
      <c r="BIH208" s="412"/>
      <c r="BII208" s="412"/>
      <c r="BIJ208" s="412"/>
      <c r="BIK208" s="412"/>
      <c r="BIL208" s="412"/>
      <c r="BIM208" s="412"/>
      <c r="BIN208" s="412"/>
      <c r="BIO208" s="412"/>
      <c r="BIP208" s="412"/>
      <c r="BIQ208" s="412"/>
      <c r="BIR208" s="412"/>
      <c r="BIS208" s="412"/>
      <c r="BIT208" s="412"/>
      <c r="BIU208" s="412"/>
      <c r="BIV208" s="412"/>
      <c r="BIW208" s="412"/>
      <c r="BIX208" s="412"/>
      <c r="BIY208" s="412"/>
      <c r="BIZ208" s="412"/>
      <c r="BJA208" s="412"/>
      <c r="BJB208" s="412"/>
      <c r="BJC208" s="412"/>
      <c r="BJD208" s="412"/>
      <c r="BJE208" s="412"/>
      <c r="BJF208" s="412"/>
      <c r="BJG208" s="412"/>
      <c r="BJH208" s="412"/>
      <c r="BJI208" s="412"/>
      <c r="BJJ208" s="412"/>
      <c r="BJK208" s="412"/>
      <c r="BJL208" s="412"/>
      <c r="BJM208" s="412"/>
      <c r="BJN208" s="412"/>
      <c r="BJO208" s="412"/>
      <c r="BJP208" s="412"/>
      <c r="BJQ208" s="412"/>
      <c r="BJR208" s="412"/>
      <c r="BJS208" s="412"/>
      <c r="BJT208" s="412"/>
      <c r="BJU208" s="412"/>
      <c r="BJV208" s="412"/>
      <c r="BJW208" s="412"/>
      <c r="BJX208" s="412"/>
      <c r="BJY208" s="412"/>
      <c r="BJZ208" s="412"/>
      <c r="BKA208" s="412"/>
      <c r="BKB208" s="412"/>
      <c r="BKC208" s="412"/>
      <c r="BKD208" s="412"/>
      <c r="BKE208" s="412"/>
      <c r="BKF208" s="412"/>
      <c r="BKG208" s="412"/>
      <c r="BKH208" s="412"/>
      <c r="BKI208" s="412"/>
      <c r="BKJ208" s="412"/>
      <c r="BKK208" s="412"/>
      <c r="BKL208" s="412"/>
      <c r="BKM208" s="412"/>
      <c r="BKN208" s="412"/>
      <c r="BKO208" s="412"/>
      <c r="BKP208" s="412"/>
      <c r="BKQ208" s="412"/>
      <c r="BKR208" s="412"/>
      <c r="BKS208" s="412"/>
      <c r="BKT208" s="412"/>
      <c r="BKU208" s="412"/>
      <c r="BKV208" s="412"/>
      <c r="BKW208" s="412"/>
      <c r="BKX208" s="412"/>
      <c r="BKY208" s="412"/>
      <c r="BKZ208" s="412"/>
      <c r="BLA208" s="412"/>
      <c r="BLB208" s="412"/>
      <c r="BLC208" s="412"/>
      <c r="BLD208" s="412"/>
      <c r="BLE208" s="412"/>
      <c r="BLF208" s="412"/>
      <c r="BLG208" s="412"/>
      <c r="BLH208" s="412"/>
      <c r="BLI208" s="412"/>
      <c r="BLJ208" s="412"/>
      <c r="BLK208" s="412"/>
      <c r="BLL208" s="412"/>
      <c r="BLM208" s="412"/>
      <c r="BLN208" s="412"/>
      <c r="BLO208" s="412"/>
      <c r="BLP208" s="412"/>
      <c r="BLQ208" s="412"/>
      <c r="BLR208" s="412"/>
      <c r="BLS208" s="412"/>
      <c r="BLT208" s="412"/>
      <c r="BLU208" s="412"/>
      <c r="BLV208" s="412"/>
      <c r="BLW208" s="412"/>
      <c r="BLX208" s="412"/>
      <c r="BLY208" s="412"/>
      <c r="BLZ208" s="412"/>
      <c r="BMA208" s="412"/>
      <c r="BMB208" s="412"/>
      <c r="BMC208" s="412"/>
      <c r="BMD208" s="412"/>
      <c r="BME208" s="412"/>
      <c r="BMF208" s="412"/>
      <c r="BMG208" s="412"/>
      <c r="BMH208" s="412"/>
      <c r="BMI208" s="412"/>
      <c r="BMJ208" s="412"/>
      <c r="BMK208" s="412"/>
      <c r="BML208" s="412"/>
      <c r="BMM208" s="412"/>
      <c r="BMN208" s="412"/>
      <c r="BMO208" s="412"/>
      <c r="BMP208" s="412"/>
      <c r="BMQ208" s="412"/>
      <c r="BMR208" s="412"/>
      <c r="BMS208" s="412"/>
      <c r="BMT208" s="412"/>
      <c r="BMU208" s="412"/>
      <c r="BMV208" s="412"/>
      <c r="BMW208" s="412"/>
      <c r="BMX208" s="412"/>
      <c r="BMY208" s="412"/>
      <c r="BMZ208" s="412"/>
      <c r="BNA208" s="412"/>
      <c r="BNB208" s="412"/>
      <c r="BNC208" s="412"/>
      <c r="BND208" s="412"/>
      <c r="BNE208" s="412"/>
      <c r="BNF208" s="412"/>
      <c r="BNG208" s="412"/>
      <c r="BNH208" s="412"/>
      <c r="BNI208" s="412"/>
      <c r="BNJ208" s="412"/>
      <c r="BNK208" s="412"/>
      <c r="BNL208" s="412"/>
      <c r="BNM208" s="412"/>
      <c r="BNN208" s="412"/>
      <c r="BNO208" s="412"/>
      <c r="BNP208" s="412"/>
      <c r="BNQ208" s="412"/>
      <c r="BNR208" s="412"/>
      <c r="BNS208" s="412"/>
      <c r="BNT208" s="412"/>
      <c r="BNU208" s="412"/>
      <c r="BNV208" s="412"/>
      <c r="BNW208" s="412"/>
      <c r="BNX208" s="412"/>
      <c r="BNY208" s="412"/>
      <c r="BNZ208" s="412"/>
      <c r="BOA208" s="412"/>
      <c r="BOB208" s="412"/>
      <c r="BOC208" s="412"/>
      <c r="BOD208" s="412"/>
      <c r="BOE208" s="412"/>
      <c r="BOF208" s="412"/>
      <c r="BOG208" s="412"/>
      <c r="BOH208" s="412"/>
      <c r="BOI208" s="412"/>
      <c r="BOJ208" s="412"/>
      <c r="BOK208" s="412"/>
      <c r="BOL208" s="412"/>
      <c r="BOM208" s="412"/>
      <c r="BON208" s="412"/>
      <c r="BOO208" s="412"/>
      <c r="BOP208" s="412"/>
      <c r="BOQ208" s="412"/>
      <c r="BOR208" s="412"/>
      <c r="BOS208" s="412"/>
      <c r="BOT208" s="412"/>
      <c r="BOU208" s="412"/>
      <c r="BOV208" s="412"/>
      <c r="BOW208" s="412"/>
      <c r="BOX208" s="412"/>
      <c r="BOY208" s="412"/>
      <c r="BOZ208" s="412"/>
      <c r="BPA208" s="412"/>
      <c r="BPB208" s="412"/>
      <c r="BPC208" s="412"/>
      <c r="BPD208" s="412"/>
      <c r="BPE208" s="412"/>
      <c r="BPF208" s="412"/>
      <c r="BPG208" s="412"/>
      <c r="BPH208" s="412"/>
      <c r="BPI208" s="412"/>
      <c r="BPJ208" s="412"/>
      <c r="BPK208" s="412"/>
      <c r="BPL208" s="412"/>
      <c r="BPM208" s="412"/>
      <c r="BPN208" s="412"/>
      <c r="BPO208" s="412"/>
      <c r="BPP208" s="412"/>
      <c r="BPQ208" s="412"/>
      <c r="BPR208" s="412"/>
      <c r="BPS208" s="412"/>
      <c r="BPT208" s="412"/>
      <c r="BPU208" s="412"/>
      <c r="BPV208" s="412"/>
      <c r="BPW208" s="412"/>
      <c r="BPX208" s="412"/>
      <c r="BPY208" s="412"/>
      <c r="BPZ208" s="412"/>
      <c r="BQA208" s="412"/>
      <c r="BQB208" s="412"/>
      <c r="BQC208" s="412"/>
      <c r="BQD208" s="412"/>
      <c r="BQE208" s="412"/>
      <c r="BQF208" s="412"/>
      <c r="BQG208" s="412"/>
      <c r="BQH208" s="412"/>
      <c r="BQI208" s="412"/>
      <c r="BQJ208" s="412"/>
      <c r="BQK208" s="412"/>
      <c r="BQL208" s="412"/>
      <c r="BQM208" s="412"/>
      <c r="BQN208" s="412"/>
      <c r="BQO208" s="412"/>
      <c r="BQP208" s="412"/>
      <c r="BQQ208" s="412"/>
      <c r="BQR208" s="412"/>
      <c r="BQS208" s="412"/>
      <c r="BQT208" s="412"/>
      <c r="BQU208" s="412"/>
      <c r="BQV208" s="412"/>
      <c r="BQW208" s="412"/>
      <c r="BQX208" s="412"/>
      <c r="BQY208" s="412"/>
      <c r="BQZ208" s="412"/>
      <c r="BRA208" s="412"/>
      <c r="BRB208" s="412"/>
      <c r="BRC208" s="412"/>
      <c r="BRD208" s="412"/>
      <c r="BRE208" s="412"/>
      <c r="BRF208" s="412"/>
      <c r="BRG208" s="412"/>
      <c r="BRH208" s="412"/>
      <c r="BRI208" s="412"/>
      <c r="BRJ208" s="412"/>
      <c r="BRK208" s="412"/>
      <c r="BRL208" s="412"/>
      <c r="BRM208" s="412"/>
      <c r="BRN208" s="412"/>
      <c r="BRO208" s="412"/>
      <c r="BRP208" s="412"/>
      <c r="BRQ208" s="412"/>
      <c r="BRR208" s="412"/>
      <c r="BRS208" s="412"/>
      <c r="BRT208" s="412"/>
      <c r="BRU208" s="412"/>
      <c r="BRV208" s="412"/>
      <c r="BRW208" s="412"/>
      <c r="BRX208" s="412"/>
      <c r="BRY208" s="412"/>
      <c r="BRZ208" s="412"/>
      <c r="BSA208" s="412"/>
      <c r="BSB208" s="412"/>
      <c r="BSC208" s="412"/>
      <c r="BSD208" s="412"/>
      <c r="BSE208" s="412"/>
      <c r="BSF208" s="412"/>
      <c r="BSG208" s="412"/>
      <c r="BSH208" s="412"/>
      <c r="BSI208" s="412"/>
      <c r="BSJ208" s="412"/>
      <c r="BSK208" s="412"/>
      <c r="BSL208" s="412"/>
      <c r="BSM208" s="412"/>
      <c r="BSN208" s="412"/>
      <c r="BSO208" s="412"/>
      <c r="BSP208" s="412"/>
      <c r="BSQ208" s="412"/>
      <c r="BSR208" s="412"/>
      <c r="BSS208" s="412"/>
      <c r="BST208" s="412"/>
      <c r="BSU208" s="412"/>
      <c r="BSV208" s="412"/>
      <c r="BSW208" s="412"/>
      <c r="BSX208" s="412"/>
      <c r="BSY208" s="412"/>
      <c r="BSZ208" s="412"/>
      <c r="BTA208" s="412"/>
      <c r="BTB208" s="412"/>
      <c r="BTC208" s="412"/>
      <c r="BTD208" s="412"/>
      <c r="BTE208" s="412"/>
      <c r="BTF208" s="412"/>
      <c r="BTG208" s="412"/>
      <c r="BTH208" s="412"/>
      <c r="BTI208" s="412"/>
    </row>
    <row r="209" spans="1:1881" s="408" customFormat="1" ht="81.75" customHeight="1" x14ac:dyDescent="0.25">
      <c r="A209" s="189">
        <v>598</v>
      </c>
      <c r="B209" s="151" t="s">
        <v>66</v>
      </c>
      <c r="C209" s="183" t="s">
        <v>603</v>
      </c>
      <c r="D209" s="233" t="s">
        <v>781</v>
      </c>
      <c r="E209" s="32" t="e">
        <f>HLOOKUP($D$2,'2019 Data(H)'!$C$1:$CG$300,258,FALSE)</f>
        <v>#N/A</v>
      </c>
      <c r="F209" s="609"/>
      <c r="G209" s="601">
        <f>IF(F209&lt;0,"Error: Enter as positive.",)</f>
        <v>0</v>
      </c>
      <c r="H209" s="70"/>
      <c r="I209" s="15"/>
      <c r="J209" s="368"/>
      <c r="K209" s="412"/>
      <c r="L209" s="412"/>
      <c r="M209" s="412"/>
      <c r="N209"/>
      <c r="O209" s="412"/>
      <c r="P209" s="412"/>
      <c r="Q209" s="412"/>
      <c r="R209" s="412"/>
      <c r="S209" s="412"/>
      <c r="T209" s="412"/>
      <c r="U209" s="412"/>
      <c r="V209" s="412"/>
      <c r="W209" s="412"/>
      <c r="X209" s="412"/>
      <c r="Y209" s="412"/>
      <c r="Z209" s="412"/>
      <c r="AA209" s="412"/>
      <c r="AB209" s="412"/>
      <c r="AC209" s="412"/>
      <c r="AD209" s="412"/>
      <c r="AE209" s="412"/>
      <c r="AF209" s="412"/>
      <c r="AG209" s="412"/>
      <c r="AH209" s="412"/>
      <c r="AI209" s="412"/>
      <c r="AJ209" s="412"/>
      <c r="AK209" s="412"/>
      <c r="AL209" s="412"/>
      <c r="AM209" s="412"/>
      <c r="AN209" s="412"/>
      <c r="AO209" s="412"/>
      <c r="AP209" s="412"/>
      <c r="AQ209" s="412"/>
      <c r="AR209" s="412"/>
      <c r="AS209" s="412"/>
      <c r="AT209" s="412"/>
      <c r="AU209" s="412"/>
      <c r="AV209" s="412"/>
      <c r="AW209" s="412"/>
      <c r="AX209" s="412"/>
      <c r="AY209" s="412"/>
      <c r="AZ209" s="412"/>
      <c r="BA209" s="412"/>
      <c r="BB209" s="412"/>
      <c r="BC209" s="412"/>
      <c r="BD209" s="412"/>
      <c r="BE209" s="412"/>
      <c r="BF209" s="412"/>
      <c r="BG209" s="412"/>
      <c r="BH209" s="412"/>
      <c r="BI209" s="412"/>
      <c r="BJ209" s="412"/>
      <c r="BK209" s="412"/>
      <c r="BL209" s="412"/>
      <c r="BM209" s="412"/>
      <c r="BN209" s="412"/>
      <c r="BO209" s="412"/>
      <c r="BP209" s="412"/>
      <c r="BQ209" s="412"/>
      <c r="BR209" s="412"/>
      <c r="BS209" s="412"/>
      <c r="BT209" s="412"/>
      <c r="BU209" s="412"/>
      <c r="BV209" s="412"/>
      <c r="BW209" s="412"/>
      <c r="BX209" s="412"/>
      <c r="BY209" s="412"/>
      <c r="BZ209" s="412"/>
      <c r="CA209" s="412"/>
      <c r="CB209" s="412"/>
      <c r="CC209" s="412"/>
      <c r="CD209" s="412"/>
      <c r="CE209" s="412"/>
      <c r="CF209" s="412"/>
      <c r="CG209" s="412"/>
      <c r="CH209" s="412"/>
      <c r="CI209" s="412"/>
      <c r="CJ209" s="412"/>
      <c r="CK209" s="412"/>
      <c r="CL209" s="412"/>
      <c r="CM209" s="412"/>
      <c r="CN209" s="412"/>
      <c r="CO209" s="412"/>
      <c r="CP209" s="412"/>
      <c r="CQ209" s="412"/>
      <c r="CR209" s="412"/>
      <c r="CS209" s="412"/>
      <c r="CT209" s="412"/>
      <c r="CU209" s="412"/>
      <c r="CV209" s="412"/>
      <c r="CW209" s="412"/>
      <c r="CX209" s="412"/>
      <c r="CY209" s="412"/>
      <c r="CZ209" s="412"/>
      <c r="DA209" s="412"/>
      <c r="DB209" s="412"/>
      <c r="DC209" s="412"/>
      <c r="DD209" s="412"/>
      <c r="DE209" s="412"/>
      <c r="DF209" s="412"/>
      <c r="DG209" s="412"/>
      <c r="DH209" s="412"/>
      <c r="DI209" s="412"/>
      <c r="DJ209" s="412"/>
      <c r="DK209" s="412"/>
      <c r="DL209" s="412"/>
      <c r="DM209" s="412"/>
      <c r="DN209" s="412"/>
      <c r="DO209" s="412"/>
      <c r="DP209" s="412"/>
      <c r="DQ209" s="412"/>
      <c r="DR209" s="412"/>
      <c r="DS209" s="412"/>
      <c r="DT209" s="412"/>
      <c r="DU209" s="412"/>
      <c r="DV209" s="412"/>
      <c r="DW209" s="412"/>
      <c r="DX209" s="412"/>
      <c r="DY209" s="412"/>
      <c r="DZ209" s="412"/>
      <c r="EA209" s="412"/>
      <c r="EB209" s="412"/>
      <c r="EC209" s="412"/>
      <c r="ED209" s="412"/>
      <c r="EE209" s="412"/>
      <c r="EF209" s="412"/>
      <c r="EG209" s="412"/>
      <c r="EH209" s="412"/>
      <c r="EI209" s="412"/>
      <c r="EJ209" s="412"/>
      <c r="EK209" s="412"/>
      <c r="EL209" s="412"/>
      <c r="EM209" s="412"/>
      <c r="EN209" s="412"/>
      <c r="EO209" s="412"/>
      <c r="EP209" s="412"/>
      <c r="EQ209" s="412"/>
      <c r="ER209" s="412"/>
      <c r="ES209" s="412"/>
      <c r="ET209" s="412"/>
      <c r="EU209" s="412"/>
      <c r="EV209" s="412"/>
      <c r="EW209" s="412"/>
      <c r="EX209" s="412"/>
      <c r="EY209" s="412"/>
      <c r="EZ209" s="412"/>
      <c r="FA209" s="412"/>
      <c r="FB209" s="412"/>
      <c r="FC209" s="412"/>
      <c r="FD209" s="412"/>
      <c r="FE209" s="412"/>
      <c r="FF209" s="412"/>
      <c r="FG209" s="412"/>
      <c r="FH209" s="412"/>
      <c r="FI209" s="412"/>
      <c r="FJ209" s="412"/>
      <c r="FK209" s="412"/>
      <c r="FL209" s="412"/>
      <c r="FM209" s="412"/>
      <c r="FN209" s="412"/>
      <c r="FO209" s="412"/>
      <c r="FP209" s="412"/>
      <c r="FQ209" s="412"/>
      <c r="FR209" s="412"/>
      <c r="FS209" s="412"/>
      <c r="FT209" s="412"/>
      <c r="FU209" s="412"/>
      <c r="FV209" s="412"/>
      <c r="FW209" s="412"/>
      <c r="FX209" s="412"/>
      <c r="FY209" s="412"/>
      <c r="FZ209" s="412"/>
      <c r="GA209" s="412"/>
      <c r="GB209" s="412"/>
      <c r="GC209" s="412"/>
      <c r="GD209" s="412"/>
      <c r="GE209" s="412"/>
      <c r="GF209" s="412"/>
      <c r="GG209" s="412"/>
      <c r="GH209" s="412"/>
      <c r="GI209" s="412"/>
      <c r="GJ209" s="412"/>
      <c r="GK209" s="412"/>
      <c r="GL209" s="412"/>
      <c r="GM209" s="412"/>
      <c r="GN209" s="412"/>
      <c r="GO209" s="412"/>
      <c r="GP209" s="412"/>
      <c r="GQ209" s="412"/>
      <c r="GR209" s="412"/>
      <c r="GS209" s="412"/>
      <c r="GT209" s="412"/>
      <c r="GU209" s="412"/>
      <c r="GV209" s="412"/>
      <c r="GW209" s="412"/>
      <c r="GX209" s="412"/>
      <c r="GY209" s="412"/>
      <c r="GZ209" s="412"/>
      <c r="HA209" s="412"/>
      <c r="HB209" s="412"/>
      <c r="HC209" s="412"/>
      <c r="HD209" s="412"/>
      <c r="HE209" s="412"/>
      <c r="HF209" s="412"/>
      <c r="HG209" s="412"/>
      <c r="HH209" s="412"/>
      <c r="HI209" s="412"/>
      <c r="HJ209" s="412"/>
      <c r="HK209" s="412"/>
      <c r="HL209" s="412"/>
      <c r="HM209" s="412"/>
      <c r="HN209" s="412"/>
      <c r="HO209" s="412"/>
      <c r="HP209" s="412"/>
      <c r="HQ209" s="412"/>
      <c r="HR209" s="412"/>
      <c r="HS209" s="412"/>
      <c r="HT209" s="412"/>
      <c r="HU209" s="412"/>
      <c r="HV209" s="412"/>
      <c r="HW209" s="412"/>
      <c r="HX209" s="412"/>
      <c r="HY209" s="412"/>
      <c r="HZ209" s="412"/>
      <c r="IA209" s="412"/>
      <c r="IB209" s="412"/>
      <c r="IC209" s="412"/>
      <c r="ID209" s="412"/>
      <c r="IE209" s="412"/>
      <c r="IF209" s="412"/>
      <c r="IG209" s="412"/>
      <c r="IH209" s="412"/>
      <c r="II209" s="412"/>
      <c r="IJ209" s="412"/>
      <c r="IK209" s="412"/>
      <c r="IL209" s="412"/>
      <c r="IM209" s="412"/>
      <c r="IN209" s="412"/>
      <c r="IO209" s="412"/>
      <c r="IP209" s="412"/>
      <c r="IQ209" s="412"/>
      <c r="IR209" s="412"/>
      <c r="IS209" s="412"/>
      <c r="IT209" s="412"/>
      <c r="IU209" s="412"/>
      <c r="IV209" s="412"/>
      <c r="IW209" s="412"/>
      <c r="IX209" s="412"/>
      <c r="IY209" s="412"/>
      <c r="IZ209" s="412"/>
      <c r="JA209" s="412"/>
      <c r="JB209" s="412"/>
      <c r="JC209" s="412"/>
      <c r="JD209" s="412"/>
      <c r="JE209" s="412"/>
      <c r="JF209" s="412"/>
      <c r="JG209" s="412"/>
      <c r="JH209" s="412"/>
      <c r="JI209" s="412"/>
      <c r="JJ209" s="412"/>
      <c r="JK209" s="412"/>
      <c r="JL209" s="412"/>
      <c r="JM209" s="412"/>
      <c r="JN209" s="412"/>
      <c r="JO209" s="412"/>
      <c r="JP209" s="412"/>
      <c r="JQ209" s="412"/>
      <c r="JR209" s="412"/>
      <c r="JS209" s="412"/>
      <c r="JT209" s="412"/>
      <c r="JU209" s="412"/>
      <c r="JV209" s="412"/>
      <c r="JW209" s="412"/>
      <c r="JX209" s="412"/>
      <c r="JY209" s="412"/>
      <c r="JZ209" s="412"/>
      <c r="KA209" s="412"/>
      <c r="KB209" s="412"/>
      <c r="KC209" s="412"/>
      <c r="KD209" s="412"/>
      <c r="KE209" s="412"/>
      <c r="KF209" s="412"/>
      <c r="KG209" s="412"/>
      <c r="KH209" s="412"/>
      <c r="KI209" s="412"/>
      <c r="KJ209" s="412"/>
      <c r="KK209" s="412"/>
      <c r="KL209" s="412"/>
      <c r="KM209" s="412"/>
      <c r="KN209" s="412"/>
      <c r="KO209" s="412"/>
      <c r="KP209" s="412"/>
      <c r="KQ209" s="412"/>
      <c r="KR209" s="412"/>
      <c r="KS209" s="412"/>
      <c r="KT209" s="412"/>
      <c r="KU209" s="412"/>
      <c r="KV209" s="412"/>
      <c r="KW209" s="412"/>
      <c r="KX209" s="412"/>
      <c r="KY209" s="412"/>
      <c r="KZ209" s="412"/>
      <c r="LA209" s="412"/>
      <c r="LB209" s="412"/>
      <c r="LC209" s="412"/>
      <c r="LD209" s="412"/>
      <c r="LE209" s="412"/>
      <c r="LF209" s="412"/>
      <c r="LG209" s="412"/>
      <c r="LH209" s="412"/>
      <c r="LI209" s="412"/>
      <c r="LJ209" s="412"/>
      <c r="LK209" s="412"/>
      <c r="LL209" s="412"/>
      <c r="LM209" s="412"/>
      <c r="LN209" s="412"/>
      <c r="LO209" s="412"/>
      <c r="LP209" s="412"/>
      <c r="LQ209" s="412"/>
      <c r="LR209" s="412"/>
      <c r="LS209" s="412"/>
      <c r="LT209" s="412"/>
      <c r="LU209" s="412"/>
      <c r="LV209" s="412"/>
      <c r="LW209" s="412"/>
      <c r="LX209" s="412"/>
      <c r="LY209" s="412"/>
      <c r="LZ209" s="412"/>
      <c r="MA209" s="412"/>
      <c r="MB209" s="412"/>
      <c r="MC209" s="412"/>
      <c r="MD209" s="412"/>
      <c r="ME209" s="412"/>
      <c r="MF209" s="412"/>
      <c r="MG209" s="412"/>
      <c r="MH209" s="412"/>
      <c r="MI209" s="412"/>
      <c r="MJ209" s="412"/>
      <c r="MK209" s="412"/>
      <c r="ML209" s="412"/>
      <c r="MM209" s="412"/>
      <c r="MN209" s="412"/>
      <c r="MO209" s="412"/>
      <c r="MP209" s="412"/>
      <c r="MQ209" s="412"/>
      <c r="MR209" s="412"/>
      <c r="MS209" s="412"/>
      <c r="MT209" s="412"/>
      <c r="MU209" s="412"/>
      <c r="MV209" s="412"/>
      <c r="MW209" s="412"/>
      <c r="MX209" s="412"/>
      <c r="MY209" s="412"/>
      <c r="MZ209" s="412"/>
      <c r="NA209" s="412"/>
      <c r="NB209" s="412"/>
      <c r="NC209" s="412"/>
      <c r="ND209" s="412"/>
      <c r="NE209" s="412"/>
      <c r="NF209" s="412"/>
      <c r="NG209" s="412"/>
      <c r="NH209" s="412"/>
      <c r="NI209" s="412"/>
      <c r="NJ209" s="412"/>
      <c r="NK209" s="412"/>
      <c r="NL209" s="412"/>
      <c r="NM209" s="412"/>
      <c r="NN209" s="412"/>
      <c r="NO209" s="412"/>
      <c r="NP209" s="412"/>
      <c r="NQ209" s="412"/>
      <c r="NR209" s="412"/>
      <c r="NS209" s="412"/>
      <c r="NT209" s="412"/>
      <c r="NU209" s="412"/>
      <c r="NV209" s="412"/>
      <c r="NW209" s="412"/>
      <c r="NX209" s="412"/>
      <c r="NY209" s="412"/>
      <c r="NZ209" s="412"/>
      <c r="OA209" s="412"/>
      <c r="OB209" s="412"/>
      <c r="OC209" s="412"/>
      <c r="OD209" s="412"/>
      <c r="OE209" s="412"/>
      <c r="OF209" s="412"/>
      <c r="OG209" s="412"/>
      <c r="OH209" s="412"/>
      <c r="OI209" s="412"/>
      <c r="OJ209" s="412"/>
      <c r="OK209" s="412"/>
      <c r="OL209" s="412"/>
      <c r="OM209" s="412"/>
      <c r="ON209" s="412"/>
      <c r="OO209" s="412"/>
      <c r="OP209" s="412"/>
      <c r="OQ209" s="412"/>
      <c r="OR209" s="412"/>
      <c r="OS209" s="412"/>
      <c r="OT209" s="412"/>
      <c r="OU209" s="412"/>
      <c r="OV209" s="412"/>
      <c r="OW209" s="412"/>
      <c r="OX209" s="412"/>
      <c r="OY209" s="412"/>
      <c r="OZ209" s="412"/>
      <c r="PA209" s="412"/>
      <c r="PB209" s="412"/>
      <c r="PC209" s="412"/>
      <c r="PD209" s="412"/>
      <c r="PE209" s="412"/>
      <c r="PF209" s="412"/>
      <c r="PG209" s="412"/>
      <c r="PH209" s="412"/>
      <c r="PI209" s="412"/>
      <c r="PJ209" s="412"/>
      <c r="PK209" s="412"/>
      <c r="PL209" s="412"/>
      <c r="PM209" s="412"/>
      <c r="PN209" s="412"/>
      <c r="PO209" s="412"/>
      <c r="PP209" s="412"/>
      <c r="PQ209" s="412"/>
      <c r="PR209" s="412"/>
      <c r="PS209" s="412"/>
      <c r="PT209" s="412"/>
      <c r="PU209" s="412"/>
      <c r="PV209" s="412"/>
      <c r="PW209" s="412"/>
      <c r="PX209" s="412"/>
      <c r="PY209" s="412"/>
      <c r="PZ209" s="412"/>
      <c r="QA209" s="412"/>
      <c r="QB209" s="412"/>
      <c r="QC209" s="412"/>
      <c r="QD209" s="412"/>
      <c r="QE209" s="412"/>
      <c r="QF209" s="412"/>
      <c r="QG209" s="412"/>
      <c r="QH209" s="412"/>
      <c r="QI209" s="412"/>
      <c r="QJ209" s="412"/>
      <c r="QK209" s="412"/>
      <c r="QL209" s="412"/>
      <c r="QM209" s="412"/>
      <c r="QN209" s="412"/>
      <c r="QO209" s="412"/>
      <c r="QP209" s="412"/>
      <c r="QQ209" s="412"/>
      <c r="QR209" s="412"/>
      <c r="QS209" s="412"/>
      <c r="QT209" s="412"/>
      <c r="QU209" s="412"/>
      <c r="QV209" s="412"/>
      <c r="QW209" s="412"/>
      <c r="QX209" s="412"/>
      <c r="QY209" s="412"/>
      <c r="QZ209" s="412"/>
      <c r="RA209" s="412"/>
      <c r="RB209" s="412"/>
      <c r="RC209" s="412"/>
      <c r="RD209" s="412"/>
      <c r="RE209" s="412"/>
      <c r="RF209" s="412"/>
      <c r="RG209" s="412"/>
      <c r="RH209" s="412"/>
      <c r="RI209" s="412"/>
      <c r="RJ209" s="412"/>
      <c r="RK209" s="412"/>
      <c r="RL209" s="412"/>
      <c r="RM209" s="412"/>
      <c r="RN209" s="412"/>
      <c r="RO209" s="412"/>
      <c r="RP209" s="412"/>
      <c r="RQ209" s="412"/>
      <c r="RR209" s="412"/>
      <c r="RS209" s="412"/>
      <c r="RT209" s="412"/>
      <c r="RU209" s="412"/>
      <c r="RV209" s="412"/>
      <c r="RW209" s="412"/>
      <c r="RX209" s="412"/>
      <c r="RY209" s="412"/>
      <c r="RZ209" s="412"/>
      <c r="SA209" s="412"/>
      <c r="SB209" s="412"/>
      <c r="SC209" s="412"/>
      <c r="SD209" s="412"/>
      <c r="SE209" s="412"/>
      <c r="SF209" s="412"/>
      <c r="SG209" s="412"/>
      <c r="SH209" s="412"/>
      <c r="SI209" s="412"/>
      <c r="SJ209" s="412"/>
      <c r="SK209" s="412"/>
      <c r="SL209" s="412"/>
      <c r="SM209" s="412"/>
      <c r="SN209" s="412"/>
      <c r="SO209" s="412"/>
      <c r="SP209" s="412"/>
      <c r="SQ209" s="412"/>
      <c r="SR209" s="412"/>
      <c r="SS209" s="412"/>
      <c r="ST209" s="412"/>
      <c r="SU209" s="412"/>
      <c r="SV209" s="412"/>
      <c r="SW209" s="412"/>
      <c r="SX209" s="412"/>
      <c r="SY209" s="412"/>
      <c r="SZ209" s="412"/>
      <c r="TA209" s="412"/>
      <c r="TB209" s="412"/>
      <c r="TC209" s="412"/>
      <c r="TD209" s="412"/>
      <c r="TE209" s="412"/>
      <c r="TF209" s="412"/>
      <c r="TG209" s="412"/>
      <c r="TH209" s="412"/>
      <c r="TI209" s="412"/>
      <c r="TJ209" s="412"/>
      <c r="TK209" s="412"/>
      <c r="TL209" s="412"/>
      <c r="TM209" s="412"/>
      <c r="TN209" s="412"/>
      <c r="TO209" s="412"/>
      <c r="TP209" s="412"/>
      <c r="TQ209" s="412"/>
      <c r="TR209" s="412"/>
      <c r="TS209" s="412"/>
      <c r="TT209" s="412"/>
      <c r="TU209" s="412"/>
      <c r="TV209" s="412"/>
      <c r="TW209" s="412"/>
      <c r="TX209" s="412"/>
      <c r="TY209" s="412"/>
      <c r="TZ209" s="412"/>
      <c r="UA209" s="412"/>
      <c r="UB209" s="412"/>
      <c r="UC209" s="412"/>
      <c r="UD209" s="412"/>
      <c r="UE209" s="412"/>
      <c r="UF209" s="412"/>
      <c r="UG209" s="412"/>
      <c r="UH209" s="412"/>
      <c r="UI209" s="412"/>
      <c r="UJ209" s="412"/>
      <c r="UK209" s="412"/>
      <c r="UL209" s="412"/>
      <c r="UM209" s="412"/>
      <c r="UN209" s="412"/>
      <c r="UO209" s="412"/>
      <c r="UP209" s="412"/>
      <c r="UQ209" s="412"/>
      <c r="UR209" s="412"/>
      <c r="US209" s="412"/>
      <c r="UT209" s="412"/>
      <c r="UU209" s="412"/>
      <c r="UV209" s="412"/>
      <c r="UW209" s="412"/>
      <c r="UX209" s="412"/>
      <c r="UY209" s="412"/>
      <c r="UZ209" s="412"/>
      <c r="VA209" s="412"/>
      <c r="VB209" s="412"/>
      <c r="VC209" s="412"/>
      <c r="VD209" s="412"/>
      <c r="VE209" s="412"/>
      <c r="VF209" s="412"/>
      <c r="VG209" s="412"/>
      <c r="VH209" s="412"/>
      <c r="VI209" s="412"/>
      <c r="VJ209" s="412"/>
      <c r="VK209" s="412"/>
      <c r="VL209" s="412"/>
      <c r="VM209" s="412"/>
      <c r="VN209" s="412"/>
      <c r="VO209" s="412"/>
      <c r="VP209" s="412"/>
      <c r="VQ209" s="412"/>
      <c r="VR209" s="412"/>
      <c r="VS209" s="412"/>
      <c r="VT209" s="412"/>
      <c r="VU209" s="412"/>
      <c r="VV209" s="412"/>
      <c r="VW209" s="412"/>
      <c r="VX209" s="412"/>
      <c r="VY209" s="412"/>
      <c r="VZ209" s="412"/>
      <c r="WA209" s="412"/>
      <c r="WB209" s="412"/>
      <c r="WC209" s="412"/>
      <c r="WD209" s="412"/>
      <c r="WE209" s="412"/>
      <c r="WF209" s="412"/>
      <c r="WG209" s="412"/>
      <c r="WH209" s="412"/>
      <c r="WI209" s="412"/>
      <c r="WJ209" s="412"/>
      <c r="WK209" s="412"/>
      <c r="WL209" s="412"/>
      <c r="WM209" s="412"/>
      <c r="WN209" s="412"/>
      <c r="WO209" s="412"/>
      <c r="WP209" s="412"/>
      <c r="WQ209" s="412"/>
      <c r="WR209" s="412"/>
      <c r="WS209" s="412"/>
      <c r="WT209" s="412"/>
      <c r="WU209" s="412"/>
      <c r="WV209" s="412"/>
      <c r="WW209" s="412"/>
      <c r="WX209" s="412"/>
      <c r="WY209" s="412"/>
      <c r="WZ209" s="412"/>
      <c r="XA209" s="412"/>
      <c r="XB209" s="412"/>
      <c r="XC209" s="412"/>
      <c r="XD209" s="412"/>
      <c r="XE209" s="412"/>
      <c r="XF209" s="412"/>
      <c r="XG209" s="412"/>
      <c r="XH209" s="412"/>
      <c r="XI209" s="412"/>
      <c r="XJ209" s="412"/>
      <c r="XK209" s="412"/>
      <c r="XL209" s="412"/>
      <c r="XM209" s="412"/>
      <c r="XN209" s="412"/>
      <c r="XO209" s="412"/>
      <c r="XP209" s="412"/>
      <c r="XQ209" s="412"/>
      <c r="XR209" s="412"/>
      <c r="XS209" s="412"/>
      <c r="XT209" s="412"/>
      <c r="XU209" s="412"/>
      <c r="XV209" s="412"/>
      <c r="XW209" s="412"/>
      <c r="XX209" s="412"/>
      <c r="XY209" s="412"/>
      <c r="XZ209" s="412"/>
      <c r="YA209" s="412"/>
      <c r="YB209" s="412"/>
      <c r="YC209" s="412"/>
      <c r="YD209" s="412"/>
      <c r="YE209" s="412"/>
      <c r="YF209" s="412"/>
      <c r="YG209" s="412"/>
      <c r="YH209" s="412"/>
      <c r="YI209" s="412"/>
      <c r="YJ209" s="412"/>
      <c r="YK209" s="412"/>
      <c r="YL209" s="412"/>
      <c r="YM209" s="412"/>
      <c r="YN209" s="412"/>
      <c r="YO209" s="412"/>
      <c r="YP209" s="412"/>
      <c r="YQ209" s="412"/>
      <c r="YR209" s="412"/>
      <c r="YS209" s="412"/>
      <c r="YT209" s="412"/>
      <c r="YU209" s="412"/>
      <c r="YV209" s="412"/>
      <c r="YW209" s="412"/>
      <c r="YX209" s="412"/>
      <c r="YY209" s="412"/>
      <c r="YZ209" s="412"/>
      <c r="ZA209" s="412"/>
      <c r="ZB209" s="412"/>
      <c r="ZC209" s="412"/>
      <c r="ZD209" s="412"/>
      <c r="ZE209" s="412"/>
      <c r="ZF209" s="412"/>
      <c r="ZG209" s="412"/>
      <c r="ZH209" s="412"/>
      <c r="ZI209" s="412"/>
      <c r="ZJ209" s="412"/>
      <c r="ZK209" s="412"/>
      <c r="ZL209" s="412"/>
      <c r="ZM209" s="412"/>
      <c r="ZN209" s="412"/>
      <c r="ZO209" s="412"/>
      <c r="ZP209" s="412"/>
      <c r="ZQ209" s="412"/>
      <c r="ZR209" s="412"/>
      <c r="ZS209" s="412"/>
      <c r="ZT209" s="412"/>
      <c r="ZU209" s="412"/>
      <c r="ZV209" s="412"/>
      <c r="ZW209" s="412"/>
      <c r="ZX209" s="412"/>
      <c r="ZY209" s="412"/>
      <c r="ZZ209" s="412"/>
      <c r="AAA209" s="412"/>
      <c r="AAB209" s="412"/>
      <c r="AAC209" s="412"/>
      <c r="AAD209" s="412"/>
      <c r="AAE209" s="412"/>
      <c r="AAF209" s="412"/>
      <c r="AAG209" s="412"/>
      <c r="AAH209" s="412"/>
      <c r="AAI209" s="412"/>
      <c r="AAJ209" s="412"/>
      <c r="AAK209" s="412"/>
      <c r="AAL209" s="412"/>
      <c r="AAM209" s="412"/>
      <c r="AAN209" s="412"/>
      <c r="AAO209" s="412"/>
      <c r="AAP209" s="412"/>
      <c r="AAQ209" s="412"/>
      <c r="AAR209" s="412"/>
      <c r="AAS209" s="412"/>
      <c r="AAT209" s="412"/>
      <c r="AAU209" s="412"/>
      <c r="AAV209" s="412"/>
      <c r="AAW209" s="412"/>
      <c r="AAX209" s="412"/>
      <c r="AAY209" s="412"/>
      <c r="AAZ209" s="412"/>
      <c r="ABA209" s="412"/>
      <c r="ABB209" s="412"/>
      <c r="ABC209" s="412"/>
      <c r="ABD209" s="412"/>
      <c r="ABE209" s="412"/>
      <c r="ABF209" s="412"/>
      <c r="ABG209" s="412"/>
      <c r="ABH209" s="412"/>
      <c r="ABI209" s="412"/>
      <c r="ABJ209" s="412"/>
      <c r="ABK209" s="412"/>
      <c r="ABL209" s="412"/>
      <c r="ABM209" s="412"/>
      <c r="ABN209" s="412"/>
      <c r="ABO209" s="412"/>
      <c r="ABP209" s="412"/>
      <c r="ABQ209" s="412"/>
      <c r="ABR209" s="412"/>
      <c r="ABS209" s="412"/>
      <c r="ABT209" s="412"/>
      <c r="ABU209" s="412"/>
      <c r="ABV209" s="412"/>
      <c r="ABW209" s="412"/>
      <c r="ABX209" s="412"/>
      <c r="ABY209" s="412"/>
      <c r="ABZ209" s="412"/>
      <c r="ACA209" s="412"/>
      <c r="ACB209" s="412"/>
      <c r="ACC209" s="412"/>
      <c r="ACD209" s="412"/>
      <c r="ACE209" s="412"/>
      <c r="ACF209" s="412"/>
      <c r="ACG209" s="412"/>
      <c r="ACH209" s="412"/>
      <c r="ACI209" s="412"/>
      <c r="ACJ209" s="412"/>
      <c r="ACK209" s="412"/>
      <c r="ACL209" s="412"/>
      <c r="ACM209" s="412"/>
      <c r="ACN209" s="412"/>
      <c r="ACO209" s="412"/>
      <c r="ACP209" s="412"/>
      <c r="ACQ209" s="412"/>
      <c r="ACR209" s="412"/>
      <c r="ACS209" s="412"/>
      <c r="ACT209" s="412"/>
      <c r="ACU209" s="412"/>
      <c r="ACV209" s="412"/>
      <c r="ACW209" s="412"/>
      <c r="ACX209" s="412"/>
      <c r="ACY209" s="412"/>
      <c r="ACZ209" s="412"/>
      <c r="ADA209" s="412"/>
      <c r="ADB209" s="412"/>
      <c r="ADC209" s="412"/>
      <c r="ADD209" s="412"/>
      <c r="ADE209" s="412"/>
      <c r="ADF209" s="412"/>
      <c r="ADG209" s="412"/>
      <c r="ADH209" s="412"/>
      <c r="ADI209" s="412"/>
      <c r="ADJ209" s="412"/>
      <c r="ADK209" s="412"/>
      <c r="ADL209" s="412"/>
      <c r="ADM209" s="412"/>
      <c r="ADN209" s="412"/>
      <c r="ADO209" s="412"/>
      <c r="ADP209" s="412"/>
      <c r="ADQ209" s="412"/>
      <c r="ADR209" s="412"/>
      <c r="ADS209" s="412"/>
      <c r="ADT209" s="412"/>
      <c r="ADU209" s="412"/>
      <c r="ADV209" s="412"/>
      <c r="ADW209" s="412"/>
      <c r="ADX209" s="412"/>
      <c r="ADY209" s="412"/>
      <c r="ADZ209" s="412"/>
      <c r="AEA209" s="412"/>
      <c r="AEB209" s="412"/>
      <c r="AEC209" s="412"/>
      <c r="AED209" s="412"/>
      <c r="AEE209" s="412"/>
      <c r="AEF209" s="412"/>
      <c r="AEG209" s="412"/>
      <c r="AEH209" s="412"/>
      <c r="AEI209" s="412"/>
      <c r="AEJ209" s="412"/>
      <c r="AEK209" s="412"/>
      <c r="AEL209" s="412"/>
      <c r="AEM209" s="412"/>
      <c r="AEN209" s="412"/>
      <c r="AEO209" s="412"/>
      <c r="AEP209" s="412"/>
      <c r="AEQ209" s="412"/>
      <c r="AER209" s="412"/>
      <c r="AES209" s="412"/>
      <c r="AET209" s="412"/>
      <c r="AEU209" s="412"/>
      <c r="AEV209" s="412"/>
      <c r="AEW209" s="412"/>
      <c r="AEX209" s="412"/>
      <c r="AEY209" s="412"/>
      <c r="AEZ209" s="412"/>
      <c r="AFA209" s="412"/>
      <c r="AFB209" s="412"/>
      <c r="AFC209" s="412"/>
      <c r="AFD209" s="412"/>
      <c r="AFE209" s="412"/>
      <c r="AFF209" s="412"/>
      <c r="AFG209" s="412"/>
      <c r="AFH209" s="412"/>
      <c r="AFI209" s="412"/>
      <c r="AFJ209" s="412"/>
      <c r="AFK209" s="412"/>
      <c r="AFL209" s="412"/>
      <c r="AFM209" s="412"/>
      <c r="AFN209" s="412"/>
      <c r="AFO209" s="412"/>
      <c r="AFP209" s="412"/>
      <c r="AFQ209" s="412"/>
      <c r="AFR209" s="412"/>
      <c r="AFS209" s="412"/>
      <c r="AFT209" s="412"/>
      <c r="AFU209" s="412"/>
      <c r="AFV209" s="412"/>
      <c r="AFW209" s="412"/>
      <c r="AFX209" s="412"/>
      <c r="AFY209" s="412"/>
      <c r="AFZ209" s="412"/>
      <c r="AGA209" s="412"/>
      <c r="AGB209" s="412"/>
      <c r="AGC209" s="412"/>
      <c r="AGD209" s="412"/>
      <c r="AGE209" s="412"/>
      <c r="AGF209" s="412"/>
      <c r="AGG209" s="412"/>
      <c r="AGH209" s="412"/>
      <c r="AGI209" s="412"/>
      <c r="AGJ209" s="412"/>
      <c r="AGK209" s="412"/>
      <c r="AGL209" s="412"/>
      <c r="AGM209" s="412"/>
      <c r="AGN209" s="412"/>
      <c r="AGO209" s="412"/>
      <c r="AGP209" s="412"/>
      <c r="AGQ209" s="412"/>
      <c r="AGR209" s="412"/>
      <c r="AGS209" s="412"/>
      <c r="AGT209" s="412"/>
      <c r="AGU209" s="412"/>
      <c r="AGV209" s="412"/>
      <c r="AGW209" s="412"/>
      <c r="AGX209" s="412"/>
      <c r="AGY209" s="412"/>
      <c r="AGZ209" s="412"/>
      <c r="AHA209" s="412"/>
      <c r="AHB209" s="412"/>
      <c r="AHC209" s="412"/>
      <c r="AHD209" s="412"/>
      <c r="AHE209" s="412"/>
      <c r="AHF209" s="412"/>
      <c r="AHG209" s="412"/>
      <c r="AHH209" s="412"/>
      <c r="AHI209" s="412"/>
      <c r="AHJ209" s="412"/>
      <c r="AHK209" s="412"/>
      <c r="AHL209" s="412"/>
      <c r="AHM209" s="412"/>
      <c r="AHN209" s="412"/>
      <c r="AHO209" s="412"/>
      <c r="AHP209" s="412"/>
      <c r="AHQ209" s="412"/>
      <c r="AHR209" s="412"/>
      <c r="AHS209" s="412"/>
      <c r="AHT209" s="412"/>
      <c r="AHU209" s="412"/>
      <c r="AHV209" s="412"/>
      <c r="AHW209" s="412"/>
      <c r="AHX209" s="412"/>
      <c r="AHY209" s="412"/>
      <c r="AHZ209" s="412"/>
      <c r="AIA209" s="412"/>
      <c r="AIB209" s="412"/>
      <c r="AIC209" s="412"/>
      <c r="AID209" s="412"/>
      <c r="AIE209" s="412"/>
      <c r="AIF209" s="412"/>
      <c r="AIG209" s="412"/>
      <c r="AIH209" s="412"/>
      <c r="AII209" s="412"/>
      <c r="AIJ209" s="412"/>
      <c r="AIK209" s="412"/>
      <c r="AIL209" s="412"/>
      <c r="AIM209" s="412"/>
      <c r="AIN209" s="412"/>
      <c r="AIO209" s="412"/>
      <c r="AIP209" s="412"/>
      <c r="AIQ209" s="412"/>
      <c r="AIR209" s="412"/>
      <c r="AIS209" s="412"/>
      <c r="AIT209" s="412"/>
      <c r="AIU209" s="412"/>
      <c r="AIV209" s="412"/>
      <c r="AIW209" s="412"/>
      <c r="AIX209" s="412"/>
      <c r="AIY209" s="412"/>
      <c r="AIZ209" s="412"/>
      <c r="AJA209" s="412"/>
      <c r="AJB209" s="412"/>
      <c r="AJC209" s="412"/>
      <c r="AJD209" s="412"/>
      <c r="AJE209" s="412"/>
      <c r="AJF209" s="412"/>
      <c r="AJG209" s="412"/>
      <c r="AJH209" s="412"/>
      <c r="AJI209" s="412"/>
      <c r="AJJ209" s="412"/>
      <c r="AJK209" s="412"/>
      <c r="AJL209" s="412"/>
      <c r="AJM209" s="412"/>
      <c r="AJN209" s="412"/>
      <c r="AJO209" s="412"/>
      <c r="AJP209" s="412"/>
      <c r="AJQ209" s="412"/>
      <c r="AJR209" s="412"/>
      <c r="AJS209" s="412"/>
      <c r="AJT209" s="412"/>
      <c r="AJU209" s="412"/>
      <c r="AJV209" s="412"/>
      <c r="AJW209" s="412"/>
      <c r="AJX209" s="412"/>
      <c r="AJY209" s="412"/>
      <c r="AJZ209" s="412"/>
      <c r="AKA209" s="412"/>
      <c r="AKB209" s="412"/>
      <c r="AKC209" s="412"/>
      <c r="AKD209" s="412"/>
      <c r="AKE209" s="412"/>
      <c r="AKF209" s="412"/>
      <c r="AKG209" s="412"/>
      <c r="AKH209" s="412"/>
      <c r="AKI209" s="412"/>
      <c r="AKJ209" s="412"/>
      <c r="AKK209" s="412"/>
      <c r="AKL209" s="412"/>
      <c r="AKM209" s="412"/>
      <c r="AKN209" s="412"/>
      <c r="AKO209" s="412"/>
      <c r="AKP209" s="412"/>
      <c r="AKQ209" s="412"/>
      <c r="AKR209" s="412"/>
      <c r="AKS209" s="412"/>
      <c r="AKT209" s="412"/>
      <c r="AKU209" s="412"/>
      <c r="AKV209" s="412"/>
      <c r="AKW209" s="412"/>
      <c r="AKX209" s="412"/>
      <c r="AKY209" s="412"/>
      <c r="AKZ209" s="412"/>
      <c r="ALA209" s="412"/>
      <c r="ALB209" s="412"/>
      <c r="ALC209" s="412"/>
      <c r="ALD209" s="412"/>
      <c r="ALE209" s="412"/>
      <c r="ALF209" s="412"/>
      <c r="ALG209" s="412"/>
      <c r="ALH209" s="412"/>
      <c r="ALI209" s="412"/>
      <c r="ALJ209" s="412"/>
      <c r="ALK209" s="412"/>
      <c r="ALL209" s="412"/>
      <c r="ALM209" s="412"/>
      <c r="ALN209" s="412"/>
      <c r="ALO209" s="412"/>
      <c r="ALP209" s="412"/>
      <c r="ALQ209" s="412"/>
      <c r="ALR209" s="412"/>
      <c r="ALS209" s="412"/>
      <c r="ALT209" s="412"/>
      <c r="ALU209" s="412"/>
      <c r="ALV209" s="412"/>
      <c r="ALW209" s="412"/>
      <c r="ALX209" s="412"/>
      <c r="ALY209" s="412"/>
      <c r="ALZ209" s="412"/>
      <c r="AMA209" s="412"/>
      <c r="AMB209" s="412"/>
      <c r="AMC209" s="412"/>
      <c r="AMD209" s="412"/>
      <c r="AME209" s="412"/>
      <c r="AMF209" s="412"/>
      <c r="AMG209" s="412"/>
      <c r="AMH209" s="412"/>
      <c r="AMI209" s="412"/>
      <c r="AMJ209" s="412"/>
      <c r="AMK209" s="412"/>
      <c r="AML209" s="412"/>
      <c r="AMM209" s="412"/>
      <c r="AMN209" s="412"/>
      <c r="AMO209" s="412"/>
      <c r="AMP209" s="412"/>
      <c r="AMQ209" s="412"/>
      <c r="AMR209" s="412"/>
      <c r="AMS209" s="412"/>
      <c r="AMT209" s="412"/>
      <c r="AMU209" s="412"/>
      <c r="AMV209" s="412"/>
      <c r="AMW209" s="412"/>
      <c r="AMX209" s="412"/>
      <c r="AMY209" s="412"/>
      <c r="AMZ209" s="412"/>
      <c r="ANA209" s="412"/>
      <c r="ANB209" s="412"/>
      <c r="ANC209" s="412"/>
      <c r="AND209" s="412"/>
      <c r="ANE209" s="412"/>
      <c r="ANF209" s="412"/>
      <c r="ANG209" s="412"/>
      <c r="ANH209" s="412"/>
      <c r="ANI209" s="412"/>
      <c r="ANJ209" s="412"/>
      <c r="ANK209" s="412"/>
      <c r="ANL209" s="412"/>
      <c r="ANM209" s="412"/>
      <c r="ANN209" s="412"/>
      <c r="ANO209" s="412"/>
      <c r="ANP209" s="412"/>
      <c r="ANQ209" s="412"/>
      <c r="ANR209" s="412"/>
      <c r="ANS209" s="412"/>
      <c r="ANT209" s="412"/>
      <c r="ANU209" s="412"/>
      <c r="ANV209" s="412"/>
      <c r="ANW209" s="412"/>
      <c r="ANX209" s="412"/>
      <c r="ANY209" s="412"/>
      <c r="ANZ209" s="412"/>
      <c r="AOA209" s="412"/>
      <c r="AOB209" s="412"/>
      <c r="AOC209" s="412"/>
      <c r="AOD209" s="412"/>
      <c r="AOE209" s="412"/>
      <c r="AOF209" s="412"/>
      <c r="AOG209" s="412"/>
      <c r="AOH209" s="412"/>
      <c r="AOI209" s="412"/>
      <c r="AOJ209" s="412"/>
      <c r="AOK209" s="412"/>
      <c r="AOL209" s="412"/>
      <c r="AOM209" s="412"/>
      <c r="AON209" s="412"/>
      <c r="AOO209" s="412"/>
      <c r="AOP209" s="412"/>
      <c r="AOQ209" s="412"/>
      <c r="AOR209" s="412"/>
      <c r="AOS209" s="412"/>
      <c r="AOT209" s="412"/>
      <c r="AOU209" s="412"/>
      <c r="AOV209" s="412"/>
      <c r="AOW209" s="412"/>
      <c r="AOX209" s="412"/>
      <c r="AOY209" s="412"/>
      <c r="AOZ209" s="412"/>
      <c r="APA209" s="412"/>
      <c r="APB209" s="412"/>
      <c r="APC209" s="412"/>
      <c r="APD209" s="412"/>
      <c r="APE209" s="412"/>
      <c r="APF209" s="412"/>
      <c r="APG209" s="412"/>
      <c r="APH209" s="412"/>
      <c r="API209" s="412"/>
      <c r="APJ209" s="412"/>
      <c r="APK209" s="412"/>
      <c r="APL209" s="412"/>
      <c r="APM209" s="412"/>
      <c r="APN209" s="412"/>
      <c r="APO209" s="412"/>
      <c r="APP209" s="412"/>
      <c r="APQ209" s="412"/>
      <c r="APR209" s="412"/>
      <c r="APS209" s="412"/>
      <c r="APT209" s="412"/>
      <c r="APU209" s="412"/>
      <c r="APV209" s="412"/>
      <c r="APW209" s="412"/>
      <c r="APX209" s="412"/>
      <c r="APY209" s="412"/>
      <c r="APZ209" s="412"/>
      <c r="AQA209" s="412"/>
      <c r="AQB209" s="412"/>
      <c r="AQC209" s="412"/>
      <c r="AQD209" s="412"/>
      <c r="AQE209" s="412"/>
      <c r="AQF209" s="412"/>
      <c r="AQG209" s="412"/>
      <c r="AQH209" s="412"/>
      <c r="AQI209" s="412"/>
      <c r="AQJ209" s="412"/>
      <c r="AQK209" s="412"/>
      <c r="AQL209" s="412"/>
      <c r="AQM209" s="412"/>
      <c r="AQN209" s="412"/>
      <c r="AQO209" s="412"/>
      <c r="AQP209" s="412"/>
      <c r="AQQ209" s="412"/>
      <c r="AQR209" s="412"/>
      <c r="AQS209" s="412"/>
      <c r="AQT209" s="412"/>
      <c r="AQU209" s="412"/>
      <c r="AQV209" s="412"/>
      <c r="AQW209" s="412"/>
      <c r="AQX209" s="412"/>
      <c r="AQY209" s="412"/>
      <c r="AQZ209" s="412"/>
      <c r="ARA209" s="412"/>
      <c r="ARB209" s="412"/>
      <c r="ARC209" s="412"/>
      <c r="ARD209" s="412"/>
      <c r="ARE209" s="412"/>
      <c r="ARF209" s="412"/>
      <c r="ARG209" s="412"/>
      <c r="ARH209" s="412"/>
      <c r="ARI209" s="412"/>
      <c r="ARJ209" s="412"/>
      <c r="ARK209" s="412"/>
      <c r="ARL209" s="412"/>
      <c r="ARM209" s="412"/>
      <c r="ARN209" s="412"/>
      <c r="ARO209" s="412"/>
      <c r="ARP209" s="412"/>
      <c r="ARQ209" s="412"/>
      <c r="ARR209" s="412"/>
      <c r="ARS209" s="412"/>
      <c r="ART209" s="412"/>
      <c r="ARU209" s="412"/>
      <c r="ARV209" s="412"/>
      <c r="ARW209" s="412"/>
      <c r="ARX209" s="412"/>
      <c r="ARY209" s="412"/>
      <c r="ARZ209" s="412"/>
      <c r="ASA209" s="412"/>
      <c r="ASB209" s="412"/>
      <c r="ASC209" s="412"/>
      <c r="ASD209" s="412"/>
      <c r="ASE209" s="412"/>
      <c r="ASF209" s="412"/>
      <c r="ASG209" s="412"/>
      <c r="ASH209" s="412"/>
      <c r="ASI209" s="412"/>
      <c r="ASJ209" s="412"/>
      <c r="ASK209" s="412"/>
      <c r="ASL209" s="412"/>
      <c r="ASM209" s="412"/>
      <c r="ASN209" s="412"/>
      <c r="ASO209" s="412"/>
      <c r="ASP209" s="412"/>
      <c r="ASQ209" s="412"/>
      <c r="ASR209" s="412"/>
      <c r="ASS209" s="412"/>
      <c r="AST209" s="412"/>
      <c r="ASU209" s="412"/>
      <c r="ASV209" s="412"/>
      <c r="ASW209" s="412"/>
      <c r="ASX209" s="412"/>
      <c r="ASY209" s="412"/>
      <c r="ASZ209" s="412"/>
      <c r="ATA209" s="412"/>
      <c r="ATB209" s="412"/>
      <c r="ATC209" s="412"/>
      <c r="ATD209" s="412"/>
      <c r="ATE209" s="412"/>
      <c r="ATF209" s="412"/>
      <c r="ATG209" s="412"/>
      <c r="ATH209" s="412"/>
      <c r="ATI209" s="412"/>
      <c r="ATJ209" s="412"/>
      <c r="ATK209" s="412"/>
      <c r="ATL209" s="412"/>
      <c r="ATM209" s="412"/>
      <c r="ATN209" s="412"/>
      <c r="ATO209" s="412"/>
      <c r="ATP209" s="412"/>
      <c r="ATQ209" s="412"/>
      <c r="ATR209" s="412"/>
      <c r="ATS209" s="412"/>
      <c r="ATT209" s="412"/>
      <c r="ATU209" s="412"/>
      <c r="ATV209" s="412"/>
      <c r="ATW209" s="412"/>
      <c r="ATX209" s="412"/>
      <c r="ATY209" s="412"/>
      <c r="ATZ209" s="412"/>
      <c r="AUA209" s="412"/>
      <c r="AUB209" s="412"/>
      <c r="AUC209" s="412"/>
      <c r="AUD209" s="412"/>
      <c r="AUE209" s="412"/>
      <c r="AUF209" s="412"/>
      <c r="AUG209" s="412"/>
      <c r="AUH209" s="412"/>
      <c r="AUI209" s="412"/>
      <c r="AUJ209" s="412"/>
      <c r="AUK209" s="412"/>
      <c r="AUL209" s="412"/>
      <c r="AUM209" s="412"/>
      <c r="AUN209" s="412"/>
      <c r="AUO209" s="412"/>
      <c r="AUP209" s="412"/>
      <c r="AUQ209" s="412"/>
      <c r="AUR209" s="412"/>
      <c r="AUS209" s="412"/>
      <c r="AUT209" s="412"/>
      <c r="AUU209" s="412"/>
      <c r="AUV209" s="412"/>
      <c r="AUW209" s="412"/>
      <c r="AUX209" s="412"/>
      <c r="AUY209" s="412"/>
      <c r="AUZ209" s="412"/>
      <c r="AVA209" s="412"/>
      <c r="AVB209" s="412"/>
      <c r="AVC209" s="412"/>
      <c r="AVD209" s="412"/>
      <c r="AVE209" s="412"/>
      <c r="AVF209" s="412"/>
      <c r="AVG209" s="412"/>
      <c r="AVH209" s="412"/>
      <c r="AVI209" s="412"/>
      <c r="AVJ209" s="412"/>
      <c r="AVK209" s="412"/>
      <c r="AVL209" s="412"/>
      <c r="AVM209" s="412"/>
      <c r="AVN209" s="412"/>
      <c r="AVO209" s="412"/>
      <c r="AVP209" s="412"/>
      <c r="AVQ209" s="412"/>
      <c r="AVR209" s="412"/>
      <c r="AVS209" s="412"/>
      <c r="AVT209" s="412"/>
      <c r="AVU209" s="412"/>
      <c r="AVV209" s="412"/>
      <c r="AVW209" s="412"/>
      <c r="AVX209" s="412"/>
      <c r="AVY209" s="412"/>
      <c r="AVZ209" s="412"/>
      <c r="AWA209" s="412"/>
      <c r="AWB209" s="412"/>
      <c r="AWC209" s="412"/>
      <c r="AWD209" s="412"/>
      <c r="AWE209" s="412"/>
      <c r="AWF209" s="412"/>
      <c r="AWG209" s="412"/>
      <c r="AWH209" s="412"/>
      <c r="AWI209" s="412"/>
      <c r="AWJ209" s="412"/>
      <c r="AWK209" s="412"/>
      <c r="AWL209" s="412"/>
      <c r="AWM209" s="412"/>
      <c r="AWN209" s="412"/>
      <c r="AWO209" s="412"/>
      <c r="AWP209" s="412"/>
      <c r="AWQ209" s="412"/>
      <c r="AWR209" s="412"/>
      <c r="AWS209" s="412"/>
      <c r="AWT209" s="412"/>
      <c r="AWU209" s="412"/>
      <c r="AWV209" s="412"/>
      <c r="AWW209" s="412"/>
      <c r="AWX209" s="412"/>
      <c r="AWY209" s="412"/>
      <c r="AWZ209" s="412"/>
      <c r="AXA209" s="412"/>
      <c r="AXB209" s="412"/>
      <c r="AXC209" s="412"/>
      <c r="AXD209" s="412"/>
      <c r="AXE209" s="412"/>
      <c r="AXF209" s="412"/>
      <c r="AXG209" s="412"/>
      <c r="AXH209" s="412"/>
      <c r="AXI209" s="412"/>
      <c r="AXJ209" s="412"/>
      <c r="AXK209" s="412"/>
      <c r="AXL209" s="412"/>
      <c r="AXM209" s="412"/>
      <c r="AXN209" s="412"/>
      <c r="AXO209" s="412"/>
      <c r="AXP209" s="412"/>
      <c r="AXQ209" s="412"/>
      <c r="AXR209" s="412"/>
      <c r="AXS209" s="412"/>
      <c r="AXT209" s="412"/>
      <c r="AXU209" s="412"/>
      <c r="AXV209" s="412"/>
      <c r="AXW209" s="412"/>
      <c r="AXX209" s="412"/>
      <c r="AXY209" s="412"/>
      <c r="AXZ209" s="412"/>
      <c r="AYA209" s="412"/>
      <c r="AYB209" s="412"/>
      <c r="AYC209" s="412"/>
      <c r="AYD209" s="412"/>
      <c r="AYE209" s="412"/>
      <c r="AYF209" s="412"/>
      <c r="AYG209" s="412"/>
      <c r="AYH209" s="412"/>
      <c r="AYI209" s="412"/>
      <c r="AYJ209" s="412"/>
      <c r="AYK209" s="412"/>
      <c r="AYL209" s="412"/>
      <c r="AYM209" s="412"/>
      <c r="AYN209" s="412"/>
      <c r="AYO209" s="412"/>
      <c r="AYP209" s="412"/>
      <c r="AYQ209" s="412"/>
      <c r="AYR209" s="412"/>
      <c r="AYS209" s="412"/>
      <c r="AYT209" s="412"/>
      <c r="AYU209" s="412"/>
      <c r="AYV209" s="412"/>
      <c r="AYW209" s="412"/>
      <c r="AYX209" s="412"/>
      <c r="AYY209" s="412"/>
      <c r="AYZ209" s="412"/>
      <c r="AZA209" s="412"/>
      <c r="AZB209" s="412"/>
      <c r="AZC209" s="412"/>
      <c r="AZD209" s="412"/>
      <c r="AZE209" s="412"/>
      <c r="AZF209" s="412"/>
      <c r="AZG209" s="412"/>
      <c r="AZH209" s="412"/>
      <c r="AZI209" s="412"/>
      <c r="AZJ209" s="412"/>
      <c r="AZK209" s="412"/>
      <c r="AZL209" s="412"/>
      <c r="AZM209" s="412"/>
      <c r="AZN209" s="412"/>
      <c r="AZO209" s="412"/>
      <c r="AZP209" s="412"/>
      <c r="AZQ209" s="412"/>
      <c r="AZR209" s="412"/>
      <c r="AZS209" s="412"/>
      <c r="AZT209" s="412"/>
      <c r="AZU209" s="412"/>
      <c r="AZV209" s="412"/>
      <c r="AZW209" s="412"/>
      <c r="AZX209" s="412"/>
      <c r="AZY209" s="412"/>
      <c r="AZZ209" s="412"/>
      <c r="BAA209" s="412"/>
      <c r="BAB209" s="412"/>
      <c r="BAC209" s="412"/>
      <c r="BAD209" s="412"/>
      <c r="BAE209" s="412"/>
      <c r="BAF209" s="412"/>
      <c r="BAG209" s="412"/>
      <c r="BAH209" s="412"/>
      <c r="BAI209" s="412"/>
      <c r="BAJ209" s="412"/>
      <c r="BAK209" s="412"/>
      <c r="BAL209" s="412"/>
      <c r="BAM209" s="412"/>
      <c r="BAN209" s="412"/>
      <c r="BAO209" s="412"/>
      <c r="BAP209" s="412"/>
      <c r="BAQ209" s="412"/>
      <c r="BAR209" s="412"/>
      <c r="BAS209" s="412"/>
      <c r="BAT209" s="412"/>
      <c r="BAU209" s="412"/>
      <c r="BAV209" s="412"/>
      <c r="BAW209" s="412"/>
      <c r="BAX209" s="412"/>
      <c r="BAY209" s="412"/>
      <c r="BAZ209" s="412"/>
      <c r="BBA209" s="412"/>
      <c r="BBB209" s="412"/>
      <c r="BBC209" s="412"/>
      <c r="BBD209" s="412"/>
      <c r="BBE209" s="412"/>
      <c r="BBF209" s="412"/>
      <c r="BBG209" s="412"/>
      <c r="BBH209" s="412"/>
      <c r="BBI209" s="412"/>
      <c r="BBJ209" s="412"/>
      <c r="BBK209" s="412"/>
      <c r="BBL209" s="412"/>
      <c r="BBM209" s="412"/>
      <c r="BBN209" s="412"/>
      <c r="BBO209" s="412"/>
      <c r="BBP209" s="412"/>
      <c r="BBQ209" s="412"/>
      <c r="BBR209" s="412"/>
      <c r="BBS209" s="412"/>
      <c r="BBT209" s="412"/>
      <c r="BBU209" s="412"/>
      <c r="BBV209" s="412"/>
      <c r="BBW209" s="412"/>
      <c r="BBX209" s="412"/>
      <c r="BBY209" s="412"/>
      <c r="BBZ209" s="412"/>
      <c r="BCA209" s="412"/>
      <c r="BCB209" s="412"/>
      <c r="BCC209" s="412"/>
      <c r="BCD209" s="412"/>
      <c r="BCE209" s="412"/>
      <c r="BCF209" s="412"/>
      <c r="BCG209" s="412"/>
      <c r="BCH209" s="412"/>
      <c r="BCI209" s="412"/>
      <c r="BCJ209" s="412"/>
      <c r="BCK209" s="412"/>
      <c r="BCL209" s="412"/>
      <c r="BCM209" s="412"/>
      <c r="BCN209" s="412"/>
      <c r="BCO209" s="412"/>
      <c r="BCP209" s="412"/>
      <c r="BCQ209" s="412"/>
      <c r="BCR209" s="412"/>
      <c r="BCS209" s="412"/>
      <c r="BCT209" s="412"/>
      <c r="BCU209" s="412"/>
      <c r="BCV209" s="412"/>
      <c r="BCW209" s="412"/>
      <c r="BCX209" s="412"/>
      <c r="BCY209" s="412"/>
      <c r="BCZ209" s="412"/>
      <c r="BDA209" s="412"/>
      <c r="BDB209" s="412"/>
      <c r="BDC209" s="412"/>
      <c r="BDD209" s="412"/>
      <c r="BDE209" s="412"/>
      <c r="BDF209" s="412"/>
      <c r="BDG209" s="412"/>
      <c r="BDH209" s="412"/>
      <c r="BDI209" s="412"/>
      <c r="BDJ209" s="412"/>
      <c r="BDK209" s="412"/>
      <c r="BDL209" s="412"/>
      <c r="BDM209" s="412"/>
      <c r="BDN209" s="412"/>
      <c r="BDO209" s="412"/>
      <c r="BDP209" s="412"/>
      <c r="BDQ209" s="412"/>
      <c r="BDR209" s="412"/>
      <c r="BDS209" s="412"/>
      <c r="BDT209" s="412"/>
      <c r="BDU209" s="412"/>
      <c r="BDV209" s="412"/>
      <c r="BDW209" s="412"/>
      <c r="BDX209" s="412"/>
      <c r="BDY209" s="412"/>
      <c r="BDZ209" s="412"/>
      <c r="BEA209" s="412"/>
      <c r="BEB209" s="412"/>
      <c r="BEC209" s="412"/>
      <c r="BED209" s="412"/>
      <c r="BEE209" s="412"/>
      <c r="BEF209" s="412"/>
      <c r="BEG209" s="412"/>
      <c r="BEH209" s="412"/>
      <c r="BEI209" s="412"/>
      <c r="BEJ209" s="412"/>
      <c r="BEK209" s="412"/>
      <c r="BEL209" s="412"/>
      <c r="BEM209" s="412"/>
      <c r="BEN209" s="412"/>
      <c r="BEO209" s="412"/>
      <c r="BEP209" s="412"/>
      <c r="BEQ209" s="412"/>
      <c r="BER209" s="412"/>
      <c r="BES209" s="412"/>
      <c r="BET209" s="412"/>
      <c r="BEU209" s="412"/>
      <c r="BEV209" s="412"/>
      <c r="BEW209" s="412"/>
      <c r="BEX209" s="412"/>
      <c r="BEY209" s="412"/>
      <c r="BEZ209" s="412"/>
      <c r="BFA209" s="412"/>
      <c r="BFB209" s="412"/>
      <c r="BFC209" s="412"/>
      <c r="BFD209" s="412"/>
      <c r="BFE209" s="412"/>
      <c r="BFF209" s="412"/>
      <c r="BFG209" s="412"/>
      <c r="BFH209" s="412"/>
      <c r="BFI209" s="412"/>
      <c r="BFJ209" s="412"/>
      <c r="BFK209" s="412"/>
      <c r="BFL209" s="412"/>
      <c r="BFM209" s="412"/>
      <c r="BFN209" s="412"/>
      <c r="BFO209" s="412"/>
      <c r="BFP209" s="412"/>
      <c r="BFQ209" s="412"/>
      <c r="BFR209" s="412"/>
      <c r="BFS209" s="412"/>
      <c r="BFT209" s="412"/>
      <c r="BFU209" s="412"/>
      <c r="BFV209" s="412"/>
      <c r="BFW209" s="412"/>
      <c r="BFX209" s="412"/>
      <c r="BFY209" s="412"/>
      <c r="BFZ209" s="412"/>
      <c r="BGA209" s="412"/>
      <c r="BGB209" s="412"/>
      <c r="BGC209" s="412"/>
      <c r="BGD209" s="412"/>
      <c r="BGE209" s="412"/>
      <c r="BGF209" s="412"/>
      <c r="BGG209" s="412"/>
      <c r="BGH209" s="412"/>
      <c r="BGI209" s="412"/>
      <c r="BGJ209" s="412"/>
      <c r="BGK209" s="412"/>
      <c r="BGL209" s="412"/>
      <c r="BGM209" s="412"/>
      <c r="BGN209" s="412"/>
      <c r="BGO209" s="412"/>
      <c r="BGP209" s="412"/>
      <c r="BGQ209" s="412"/>
      <c r="BGR209" s="412"/>
      <c r="BGS209" s="412"/>
      <c r="BGT209" s="412"/>
      <c r="BGU209" s="412"/>
      <c r="BGV209" s="412"/>
      <c r="BGW209" s="412"/>
      <c r="BGX209" s="412"/>
      <c r="BGY209" s="412"/>
      <c r="BGZ209" s="412"/>
      <c r="BHA209" s="412"/>
      <c r="BHB209" s="412"/>
      <c r="BHC209" s="412"/>
      <c r="BHD209" s="412"/>
      <c r="BHE209" s="412"/>
      <c r="BHF209" s="412"/>
      <c r="BHG209" s="412"/>
      <c r="BHH209" s="412"/>
      <c r="BHI209" s="412"/>
      <c r="BHJ209" s="412"/>
      <c r="BHK209" s="412"/>
      <c r="BHL209" s="412"/>
      <c r="BHM209" s="412"/>
      <c r="BHN209" s="412"/>
      <c r="BHO209" s="412"/>
      <c r="BHP209" s="412"/>
      <c r="BHQ209" s="412"/>
      <c r="BHR209" s="412"/>
      <c r="BHS209" s="412"/>
      <c r="BHT209" s="412"/>
      <c r="BHU209" s="412"/>
      <c r="BHV209" s="412"/>
      <c r="BHW209" s="412"/>
      <c r="BHX209" s="412"/>
      <c r="BHY209" s="412"/>
      <c r="BHZ209" s="412"/>
      <c r="BIA209" s="412"/>
      <c r="BIB209" s="412"/>
      <c r="BIC209" s="412"/>
      <c r="BID209" s="412"/>
      <c r="BIE209" s="412"/>
      <c r="BIF209" s="412"/>
      <c r="BIG209" s="412"/>
      <c r="BIH209" s="412"/>
      <c r="BII209" s="412"/>
      <c r="BIJ209" s="412"/>
      <c r="BIK209" s="412"/>
      <c r="BIL209" s="412"/>
      <c r="BIM209" s="412"/>
      <c r="BIN209" s="412"/>
      <c r="BIO209" s="412"/>
      <c r="BIP209" s="412"/>
      <c r="BIQ209" s="412"/>
      <c r="BIR209" s="412"/>
      <c r="BIS209" s="412"/>
      <c r="BIT209" s="412"/>
      <c r="BIU209" s="412"/>
      <c r="BIV209" s="412"/>
      <c r="BIW209" s="412"/>
      <c r="BIX209" s="412"/>
      <c r="BIY209" s="412"/>
      <c r="BIZ209" s="412"/>
      <c r="BJA209" s="412"/>
      <c r="BJB209" s="412"/>
      <c r="BJC209" s="412"/>
      <c r="BJD209" s="412"/>
      <c r="BJE209" s="412"/>
      <c r="BJF209" s="412"/>
      <c r="BJG209" s="412"/>
      <c r="BJH209" s="412"/>
      <c r="BJI209" s="412"/>
      <c r="BJJ209" s="412"/>
      <c r="BJK209" s="412"/>
      <c r="BJL209" s="412"/>
      <c r="BJM209" s="412"/>
      <c r="BJN209" s="412"/>
      <c r="BJO209" s="412"/>
      <c r="BJP209" s="412"/>
      <c r="BJQ209" s="412"/>
      <c r="BJR209" s="412"/>
      <c r="BJS209" s="412"/>
      <c r="BJT209" s="412"/>
      <c r="BJU209" s="412"/>
      <c r="BJV209" s="412"/>
      <c r="BJW209" s="412"/>
      <c r="BJX209" s="412"/>
      <c r="BJY209" s="412"/>
      <c r="BJZ209" s="412"/>
      <c r="BKA209" s="412"/>
      <c r="BKB209" s="412"/>
      <c r="BKC209" s="412"/>
      <c r="BKD209" s="412"/>
      <c r="BKE209" s="412"/>
      <c r="BKF209" s="412"/>
      <c r="BKG209" s="412"/>
      <c r="BKH209" s="412"/>
      <c r="BKI209" s="412"/>
      <c r="BKJ209" s="412"/>
      <c r="BKK209" s="412"/>
      <c r="BKL209" s="412"/>
      <c r="BKM209" s="412"/>
      <c r="BKN209" s="412"/>
      <c r="BKO209" s="412"/>
      <c r="BKP209" s="412"/>
      <c r="BKQ209" s="412"/>
      <c r="BKR209" s="412"/>
      <c r="BKS209" s="412"/>
      <c r="BKT209" s="412"/>
      <c r="BKU209" s="412"/>
      <c r="BKV209" s="412"/>
      <c r="BKW209" s="412"/>
      <c r="BKX209" s="412"/>
      <c r="BKY209" s="412"/>
      <c r="BKZ209" s="412"/>
      <c r="BLA209" s="412"/>
      <c r="BLB209" s="412"/>
      <c r="BLC209" s="412"/>
      <c r="BLD209" s="412"/>
      <c r="BLE209" s="412"/>
      <c r="BLF209" s="412"/>
      <c r="BLG209" s="412"/>
      <c r="BLH209" s="412"/>
      <c r="BLI209" s="412"/>
      <c r="BLJ209" s="412"/>
      <c r="BLK209" s="412"/>
      <c r="BLL209" s="412"/>
      <c r="BLM209" s="412"/>
      <c r="BLN209" s="412"/>
      <c r="BLO209" s="412"/>
      <c r="BLP209" s="412"/>
      <c r="BLQ209" s="412"/>
      <c r="BLR209" s="412"/>
      <c r="BLS209" s="412"/>
      <c r="BLT209" s="412"/>
      <c r="BLU209" s="412"/>
      <c r="BLV209" s="412"/>
      <c r="BLW209" s="412"/>
      <c r="BLX209" s="412"/>
      <c r="BLY209" s="412"/>
      <c r="BLZ209" s="412"/>
      <c r="BMA209" s="412"/>
      <c r="BMB209" s="412"/>
      <c r="BMC209" s="412"/>
      <c r="BMD209" s="412"/>
      <c r="BME209" s="412"/>
      <c r="BMF209" s="412"/>
      <c r="BMG209" s="412"/>
      <c r="BMH209" s="412"/>
      <c r="BMI209" s="412"/>
      <c r="BMJ209" s="412"/>
      <c r="BMK209" s="412"/>
      <c r="BML209" s="412"/>
      <c r="BMM209" s="412"/>
      <c r="BMN209" s="412"/>
      <c r="BMO209" s="412"/>
      <c r="BMP209" s="412"/>
      <c r="BMQ209" s="412"/>
      <c r="BMR209" s="412"/>
      <c r="BMS209" s="412"/>
      <c r="BMT209" s="412"/>
      <c r="BMU209" s="412"/>
      <c r="BMV209" s="412"/>
      <c r="BMW209" s="412"/>
      <c r="BMX209" s="412"/>
      <c r="BMY209" s="412"/>
      <c r="BMZ209" s="412"/>
      <c r="BNA209" s="412"/>
      <c r="BNB209" s="412"/>
      <c r="BNC209" s="412"/>
      <c r="BND209" s="412"/>
      <c r="BNE209" s="412"/>
      <c r="BNF209" s="412"/>
      <c r="BNG209" s="412"/>
      <c r="BNH209" s="412"/>
      <c r="BNI209" s="412"/>
      <c r="BNJ209" s="412"/>
      <c r="BNK209" s="412"/>
      <c r="BNL209" s="412"/>
      <c r="BNM209" s="412"/>
      <c r="BNN209" s="412"/>
      <c r="BNO209" s="412"/>
      <c r="BNP209" s="412"/>
      <c r="BNQ209" s="412"/>
      <c r="BNR209" s="412"/>
      <c r="BNS209" s="412"/>
      <c r="BNT209" s="412"/>
      <c r="BNU209" s="412"/>
      <c r="BNV209" s="412"/>
      <c r="BNW209" s="412"/>
      <c r="BNX209" s="412"/>
      <c r="BNY209" s="412"/>
      <c r="BNZ209" s="412"/>
      <c r="BOA209" s="412"/>
      <c r="BOB209" s="412"/>
      <c r="BOC209" s="412"/>
      <c r="BOD209" s="412"/>
      <c r="BOE209" s="412"/>
      <c r="BOF209" s="412"/>
      <c r="BOG209" s="412"/>
      <c r="BOH209" s="412"/>
      <c r="BOI209" s="412"/>
      <c r="BOJ209" s="412"/>
      <c r="BOK209" s="412"/>
      <c r="BOL209" s="412"/>
      <c r="BOM209" s="412"/>
      <c r="BON209" s="412"/>
      <c r="BOO209" s="412"/>
      <c r="BOP209" s="412"/>
      <c r="BOQ209" s="412"/>
      <c r="BOR209" s="412"/>
      <c r="BOS209" s="412"/>
      <c r="BOT209" s="412"/>
      <c r="BOU209" s="412"/>
      <c r="BOV209" s="412"/>
      <c r="BOW209" s="412"/>
      <c r="BOX209" s="412"/>
      <c r="BOY209" s="412"/>
      <c r="BOZ209" s="412"/>
      <c r="BPA209" s="412"/>
      <c r="BPB209" s="412"/>
      <c r="BPC209" s="412"/>
      <c r="BPD209" s="412"/>
      <c r="BPE209" s="412"/>
      <c r="BPF209" s="412"/>
      <c r="BPG209" s="412"/>
      <c r="BPH209" s="412"/>
      <c r="BPI209" s="412"/>
      <c r="BPJ209" s="412"/>
      <c r="BPK209" s="412"/>
      <c r="BPL209" s="412"/>
      <c r="BPM209" s="412"/>
      <c r="BPN209" s="412"/>
      <c r="BPO209" s="412"/>
      <c r="BPP209" s="412"/>
      <c r="BPQ209" s="412"/>
      <c r="BPR209" s="412"/>
      <c r="BPS209" s="412"/>
      <c r="BPT209" s="412"/>
      <c r="BPU209" s="412"/>
      <c r="BPV209" s="412"/>
      <c r="BPW209" s="412"/>
      <c r="BPX209" s="412"/>
      <c r="BPY209" s="412"/>
      <c r="BPZ209" s="412"/>
      <c r="BQA209" s="412"/>
      <c r="BQB209" s="412"/>
      <c r="BQC209" s="412"/>
      <c r="BQD209" s="412"/>
      <c r="BQE209" s="412"/>
      <c r="BQF209" s="412"/>
      <c r="BQG209" s="412"/>
      <c r="BQH209" s="412"/>
      <c r="BQI209" s="412"/>
      <c r="BQJ209" s="412"/>
      <c r="BQK209" s="412"/>
      <c r="BQL209" s="412"/>
      <c r="BQM209" s="412"/>
      <c r="BQN209" s="412"/>
      <c r="BQO209" s="412"/>
      <c r="BQP209" s="412"/>
      <c r="BQQ209" s="412"/>
      <c r="BQR209" s="412"/>
      <c r="BQS209" s="412"/>
      <c r="BQT209" s="412"/>
      <c r="BQU209" s="412"/>
      <c r="BQV209" s="412"/>
      <c r="BQW209" s="412"/>
      <c r="BQX209" s="412"/>
      <c r="BQY209" s="412"/>
      <c r="BQZ209" s="412"/>
      <c r="BRA209" s="412"/>
      <c r="BRB209" s="412"/>
      <c r="BRC209" s="412"/>
      <c r="BRD209" s="412"/>
      <c r="BRE209" s="412"/>
      <c r="BRF209" s="412"/>
      <c r="BRG209" s="412"/>
      <c r="BRH209" s="412"/>
      <c r="BRI209" s="412"/>
      <c r="BRJ209" s="412"/>
      <c r="BRK209" s="412"/>
      <c r="BRL209" s="412"/>
      <c r="BRM209" s="412"/>
      <c r="BRN209" s="412"/>
      <c r="BRO209" s="412"/>
      <c r="BRP209" s="412"/>
      <c r="BRQ209" s="412"/>
      <c r="BRR209" s="412"/>
      <c r="BRS209" s="412"/>
      <c r="BRT209" s="412"/>
      <c r="BRU209" s="412"/>
      <c r="BRV209" s="412"/>
      <c r="BRW209" s="412"/>
      <c r="BRX209" s="412"/>
      <c r="BRY209" s="412"/>
      <c r="BRZ209" s="412"/>
      <c r="BSA209" s="412"/>
      <c r="BSB209" s="412"/>
      <c r="BSC209" s="412"/>
      <c r="BSD209" s="412"/>
      <c r="BSE209" s="412"/>
      <c r="BSF209" s="412"/>
      <c r="BSG209" s="412"/>
      <c r="BSH209" s="412"/>
      <c r="BSI209" s="412"/>
      <c r="BSJ209" s="412"/>
      <c r="BSK209" s="412"/>
      <c r="BSL209" s="412"/>
      <c r="BSM209" s="412"/>
      <c r="BSN209" s="412"/>
      <c r="BSO209" s="412"/>
      <c r="BSP209" s="412"/>
      <c r="BSQ209" s="412"/>
      <c r="BSR209" s="412"/>
      <c r="BSS209" s="412"/>
      <c r="BST209" s="412"/>
      <c r="BSU209" s="412"/>
      <c r="BSV209" s="412"/>
      <c r="BSW209" s="412"/>
      <c r="BSX209" s="412"/>
      <c r="BSY209" s="412"/>
      <c r="BSZ209" s="412"/>
      <c r="BTA209" s="412"/>
      <c r="BTB209" s="412"/>
      <c r="BTC209" s="412"/>
      <c r="BTD209" s="412"/>
      <c r="BTE209" s="412"/>
      <c r="BTF209" s="412"/>
      <c r="BTG209" s="412"/>
      <c r="BTH209" s="412"/>
      <c r="BTI209" s="412"/>
    </row>
    <row r="210" spans="1:1881" s="408" customFormat="1" ht="53.25" customHeight="1" x14ac:dyDescent="0.25">
      <c r="A210" s="189">
        <v>599</v>
      </c>
      <c r="B210" s="151" t="s">
        <v>66</v>
      </c>
      <c r="C210" s="151" t="s">
        <v>603</v>
      </c>
      <c r="D210" s="176" t="s">
        <v>782</v>
      </c>
      <c r="E210" s="32" t="e">
        <f>HLOOKUP($D$2,'2019 Data(H)'!$C$1:$CG$300,259,FALSE)</f>
        <v>#N/A</v>
      </c>
      <c r="F210" s="609"/>
      <c r="G210" s="581" t="str">
        <f>IF(ISBLANK(F210),"Please do not leave blank","")</f>
        <v>Please do not leave blank</v>
      </c>
      <c r="H210" s="70">
        <f>IF(F210&lt;0,"Error: Enter as positive.",)</f>
        <v>0</v>
      </c>
      <c r="I210" s="31"/>
      <c r="J210" s="362"/>
      <c r="K210" s="412"/>
      <c r="L210" s="412"/>
      <c r="M210" s="412"/>
      <c r="N210"/>
      <c r="O210" s="412"/>
      <c r="P210" s="412"/>
      <c r="Q210" s="412"/>
      <c r="R210" s="412"/>
      <c r="S210" s="412"/>
      <c r="T210" s="412"/>
      <c r="U210" s="412"/>
      <c r="V210" s="412"/>
      <c r="W210" s="412"/>
      <c r="X210" s="412"/>
      <c r="Y210" s="412"/>
      <c r="Z210" s="412"/>
      <c r="AA210" s="412"/>
      <c r="AB210" s="412"/>
      <c r="AC210" s="412"/>
      <c r="AD210" s="412"/>
      <c r="AE210" s="412"/>
      <c r="AF210" s="412"/>
      <c r="AG210" s="412"/>
      <c r="AH210" s="412"/>
      <c r="AI210" s="412"/>
      <c r="AJ210" s="412"/>
      <c r="AK210" s="412"/>
      <c r="AL210" s="412"/>
      <c r="AM210" s="412"/>
      <c r="AN210" s="412"/>
      <c r="AO210" s="412"/>
      <c r="AP210" s="412"/>
      <c r="AQ210" s="412"/>
      <c r="AR210" s="412"/>
      <c r="AS210" s="412"/>
      <c r="AT210" s="412"/>
      <c r="AU210" s="412"/>
      <c r="AV210" s="412"/>
      <c r="AW210" s="412"/>
      <c r="AX210" s="412"/>
      <c r="AY210" s="412"/>
      <c r="AZ210" s="412"/>
      <c r="BA210" s="412"/>
      <c r="BB210" s="412"/>
      <c r="BC210" s="412"/>
      <c r="BD210" s="412"/>
      <c r="BE210" s="412"/>
      <c r="BF210" s="412"/>
      <c r="BG210" s="412"/>
      <c r="BH210" s="412"/>
      <c r="BI210" s="412"/>
      <c r="BJ210" s="412"/>
      <c r="BK210" s="412"/>
      <c r="BL210" s="412"/>
      <c r="BM210" s="412"/>
      <c r="BN210" s="412"/>
      <c r="BO210" s="412"/>
      <c r="BP210" s="412"/>
      <c r="BQ210" s="412"/>
      <c r="BR210" s="412"/>
      <c r="BS210" s="412"/>
      <c r="BT210" s="412"/>
      <c r="BU210" s="412"/>
      <c r="BV210" s="412"/>
      <c r="BW210" s="412"/>
      <c r="BX210" s="412"/>
      <c r="BY210" s="412"/>
      <c r="BZ210" s="412"/>
      <c r="CA210" s="412"/>
      <c r="CB210" s="412"/>
      <c r="CC210" s="412"/>
      <c r="CD210" s="412"/>
      <c r="CE210" s="412"/>
      <c r="CF210" s="412"/>
      <c r="CG210" s="412"/>
      <c r="CH210" s="412"/>
      <c r="CI210" s="412"/>
      <c r="CJ210" s="412"/>
      <c r="CK210" s="412"/>
      <c r="CL210" s="412"/>
      <c r="CM210" s="412"/>
      <c r="CN210" s="412"/>
      <c r="CO210" s="412"/>
      <c r="CP210" s="412"/>
      <c r="CQ210" s="412"/>
      <c r="CR210" s="412"/>
      <c r="CS210" s="412"/>
      <c r="CT210" s="412"/>
      <c r="CU210" s="412"/>
      <c r="CV210" s="412"/>
      <c r="CW210" s="412"/>
      <c r="CX210" s="412"/>
      <c r="CY210" s="412"/>
      <c r="CZ210" s="412"/>
      <c r="DA210" s="412"/>
      <c r="DB210" s="412"/>
      <c r="DC210" s="412"/>
      <c r="DD210" s="412"/>
      <c r="DE210" s="412"/>
      <c r="DF210" s="412"/>
      <c r="DG210" s="412"/>
      <c r="DH210" s="412"/>
      <c r="DI210" s="412"/>
      <c r="DJ210" s="412"/>
      <c r="DK210" s="412"/>
      <c r="DL210" s="412"/>
      <c r="DM210" s="412"/>
      <c r="DN210" s="412"/>
      <c r="DO210" s="412"/>
      <c r="DP210" s="412"/>
      <c r="DQ210" s="412"/>
      <c r="DR210" s="412"/>
      <c r="DS210" s="412"/>
      <c r="DT210" s="412"/>
      <c r="DU210" s="412"/>
      <c r="DV210" s="412"/>
      <c r="DW210" s="412"/>
      <c r="DX210" s="412"/>
      <c r="DY210" s="412"/>
      <c r="DZ210" s="412"/>
      <c r="EA210" s="412"/>
      <c r="EB210" s="412"/>
      <c r="EC210" s="412"/>
      <c r="ED210" s="412"/>
      <c r="EE210" s="412"/>
      <c r="EF210" s="412"/>
      <c r="EG210" s="412"/>
      <c r="EH210" s="412"/>
      <c r="EI210" s="412"/>
      <c r="EJ210" s="412"/>
      <c r="EK210" s="412"/>
      <c r="EL210" s="412"/>
      <c r="EM210" s="412"/>
      <c r="EN210" s="412"/>
      <c r="EO210" s="412"/>
      <c r="EP210" s="412"/>
      <c r="EQ210" s="412"/>
      <c r="ER210" s="412"/>
      <c r="ES210" s="412"/>
      <c r="ET210" s="412"/>
      <c r="EU210" s="412"/>
      <c r="EV210" s="412"/>
      <c r="EW210" s="412"/>
      <c r="EX210" s="412"/>
      <c r="EY210" s="412"/>
      <c r="EZ210" s="412"/>
      <c r="FA210" s="412"/>
      <c r="FB210" s="412"/>
      <c r="FC210" s="412"/>
      <c r="FD210" s="412"/>
      <c r="FE210" s="412"/>
      <c r="FF210" s="412"/>
      <c r="FG210" s="412"/>
      <c r="FH210" s="412"/>
      <c r="FI210" s="412"/>
      <c r="FJ210" s="412"/>
      <c r="FK210" s="412"/>
      <c r="FL210" s="412"/>
      <c r="FM210" s="412"/>
      <c r="FN210" s="412"/>
      <c r="FO210" s="412"/>
      <c r="FP210" s="412"/>
      <c r="FQ210" s="412"/>
      <c r="FR210" s="412"/>
      <c r="FS210" s="412"/>
      <c r="FT210" s="412"/>
      <c r="FU210" s="412"/>
      <c r="FV210" s="412"/>
      <c r="FW210" s="412"/>
      <c r="FX210" s="412"/>
      <c r="FY210" s="412"/>
      <c r="FZ210" s="412"/>
      <c r="GA210" s="412"/>
      <c r="GB210" s="412"/>
      <c r="GC210" s="412"/>
      <c r="GD210" s="412"/>
      <c r="GE210" s="412"/>
      <c r="GF210" s="412"/>
      <c r="GG210" s="412"/>
      <c r="GH210" s="412"/>
      <c r="GI210" s="412"/>
      <c r="GJ210" s="412"/>
      <c r="GK210" s="412"/>
      <c r="GL210" s="412"/>
      <c r="GM210" s="412"/>
      <c r="GN210" s="412"/>
      <c r="GO210" s="412"/>
      <c r="GP210" s="412"/>
      <c r="GQ210" s="412"/>
      <c r="GR210" s="412"/>
      <c r="GS210" s="412"/>
      <c r="GT210" s="412"/>
      <c r="GU210" s="412"/>
      <c r="GV210" s="412"/>
      <c r="GW210" s="412"/>
      <c r="GX210" s="412"/>
      <c r="GY210" s="412"/>
      <c r="GZ210" s="412"/>
      <c r="HA210" s="412"/>
      <c r="HB210" s="412"/>
      <c r="HC210" s="412"/>
      <c r="HD210" s="412"/>
      <c r="HE210" s="412"/>
      <c r="HF210" s="412"/>
      <c r="HG210" s="412"/>
      <c r="HH210" s="412"/>
      <c r="HI210" s="412"/>
      <c r="HJ210" s="412"/>
      <c r="HK210" s="412"/>
      <c r="HL210" s="412"/>
      <c r="HM210" s="412"/>
      <c r="HN210" s="412"/>
      <c r="HO210" s="412"/>
      <c r="HP210" s="412"/>
      <c r="HQ210" s="412"/>
      <c r="HR210" s="412"/>
      <c r="HS210" s="412"/>
      <c r="HT210" s="412"/>
      <c r="HU210" s="412"/>
      <c r="HV210" s="412"/>
      <c r="HW210" s="412"/>
      <c r="HX210" s="412"/>
      <c r="HY210" s="412"/>
      <c r="HZ210" s="412"/>
      <c r="IA210" s="412"/>
      <c r="IB210" s="412"/>
      <c r="IC210" s="412"/>
      <c r="ID210" s="412"/>
      <c r="IE210" s="412"/>
      <c r="IF210" s="412"/>
      <c r="IG210" s="412"/>
      <c r="IH210" s="412"/>
      <c r="II210" s="412"/>
      <c r="IJ210" s="412"/>
      <c r="IK210" s="412"/>
      <c r="IL210" s="412"/>
      <c r="IM210" s="412"/>
      <c r="IN210" s="412"/>
      <c r="IO210" s="412"/>
      <c r="IP210" s="412"/>
      <c r="IQ210" s="412"/>
      <c r="IR210" s="412"/>
      <c r="IS210" s="412"/>
      <c r="IT210" s="412"/>
      <c r="IU210" s="412"/>
      <c r="IV210" s="412"/>
      <c r="IW210" s="412"/>
      <c r="IX210" s="412"/>
      <c r="IY210" s="412"/>
      <c r="IZ210" s="412"/>
      <c r="JA210" s="412"/>
      <c r="JB210" s="412"/>
      <c r="JC210" s="412"/>
      <c r="JD210" s="412"/>
      <c r="JE210" s="412"/>
      <c r="JF210" s="412"/>
      <c r="JG210" s="412"/>
      <c r="JH210" s="412"/>
      <c r="JI210" s="412"/>
      <c r="JJ210" s="412"/>
      <c r="JK210" s="412"/>
      <c r="JL210" s="412"/>
      <c r="JM210" s="412"/>
      <c r="JN210" s="412"/>
      <c r="JO210" s="412"/>
      <c r="JP210" s="412"/>
      <c r="JQ210" s="412"/>
      <c r="JR210" s="412"/>
      <c r="JS210" s="412"/>
      <c r="JT210" s="412"/>
      <c r="JU210" s="412"/>
      <c r="JV210" s="412"/>
      <c r="JW210" s="412"/>
      <c r="JX210" s="412"/>
      <c r="JY210" s="412"/>
      <c r="JZ210" s="412"/>
      <c r="KA210" s="412"/>
      <c r="KB210" s="412"/>
      <c r="KC210" s="412"/>
      <c r="KD210" s="412"/>
      <c r="KE210" s="412"/>
      <c r="KF210" s="412"/>
      <c r="KG210" s="412"/>
      <c r="KH210" s="412"/>
      <c r="KI210" s="412"/>
      <c r="KJ210" s="412"/>
      <c r="KK210" s="412"/>
      <c r="KL210" s="412"/>
      <c r="KM210" s="412"/>
      <c r="KN210" s="412"/>
      <c r="KO210" s="412"/>
      <c r="KP210" s="412"/>
      <c r="KQ210" s="412"/>
      <c r="KR210" s="412"/>
      <c r="KS210" s="412"/>
      <c r="KT210" s="412"/>
      <c r="KU210" s="412"/>
      <c r="KV210" s="412"/>
      <c r="KW210" s="412"/>
      <c r="KX210" s="412"/>
      <c r="KY210" s="412"/>
      <c r="KZ210" s="412"/>
      <c r="LA210" s="412"/>
      <c r="LB210" s="412"/>
      <c r="LC210" s="412"/>
      <c r="LD210" s="412"/>
      <c r="LE210" s="412"/>
      <c r="LF210" s="412"/>
      <c r="LG210" s="412"/>
      <c r="LH210" s="412"/>
      <c r="LI210" s="412"/>
      <c r="LJ210" s="412"/>
      <c r="LK210" s="412"/>
      <c r="LL210" s="412"/>
      <c r="LM210" s="412"/>
      <c r="LN210" s="412"/>
      <c r="LO210" s="412"/>
      <c r="LP210" s="412"/>
      <c r="LQ210" s="412"/>
      <c r="LR210" s="412"/>
      <c r="LS210" s="412"/>
      <c r="LT210" s="412"/>
      <c r="LU210" s="412"/>
      <c r="LV210" s="412"/>
      <c r="LW210" s="412"/>
      <c r="LX210" s="412"/>
      <c r="LY210" s="412"/>
      <c r="LZ210" s="412"/>
      <c r="MA210" s="412"/>
      <c r="MB210" s="412"/>
      <c r="MC210" s="412"/>
      <c r="MD210" s="412"/>
      <c r="ME210" s="412"/>
      <c r="MF210" s="412"/>
      <c r="MG210" s="412"/>
      <c r="MH210" s="412"/>
      <c r="MI210" s="412"/>
      <c r="MJ210" s="412"/>
      <c r="MK210" s="412"/>
      <c r="ML210" s="412"/>
      <c r="MM210" s="412"/>
      <c r="MN210" s="412"/>
      <c r="MO210" s="412"/>
      <c r="MP210" s="412"/>
      <c r="MQ210" s="412"/>
      <c r="MR210" s="412"/>
      <c r="MS210" s="412"/>
      <c r="MT210" s="412"/>
      <c r="MU210" s="412"/>
      <c r="MV210" s="412"/>
      <c r="MW210" s="412"/>
      <c r="MX210" s="412"/>
      <c r="MY210" s="412"/>
      <c r="MZ210" s="412"/>
      <c r="NA210" s="412"/>
      <c r="NB210" s="412"/>
      <c r="NC210" s="412"/>
      <c r="ND210" s="412"/>
      <c r="NE210" s="412"/>
      <c r="NF210" s="412"/>
      <c r="NG210" s="412"/>
      <c r="NH210" s="412"/>
      <c r="NI210" s="412"/>
      <c r="NJ210" s="412"/>
      <c r="NK210" s="412"/>
      <c r="NL210" s="412"/>
      <c r="NM210" s="412"/>
      <c r="NN210" s="412"/>
      <c r="NO210" s="412"/>
      <c r="NP210" s="412"/>
      <c r="NQ210" s="412"/>
      <c r="NR210" s="412"/>
      <c r="NS210" s="412"/>
      <c r="NT210" s="412"/>
      <c r="NU210" s="412"/>
      <c r="NV210" s="412"/>
      <c r="NW210" s="412"/>
      <c r="NX210" s="412"/>
      <c r="NY210" s="412"/>
      <c r="NZ210" s="412"/>
      <c r="OA210" s="412"/>
      <c r="OB210" s="412"/>
      <c r="OC210" s="412"/>
      <c r="OD210" s="412"/>
      <c r="OE210" s="412"/>
      <c r="OF210" s="412"/>
      <c r="OG210" s="412"/>
      <c r="OH210" s="412"/>
      <c r="OI210" s="412"/>
      <c r="OJ210" s="412"/>
      <c r="OK210" s="412"/>
      <c r="OL210" s="412"/>
      <c r="OM210" s="412"/>
      <c r="ON210" s="412"/>
      <c r="OO210" s="412"/>
      <c r="OP210" s="412"/>
      <c r="OQ210" s="412"/>
      <c r="OR210" s="412"/>
      <c r="OS210" s="412"/>
      <c r="OT210" s="412"/>
      <c r="OU210" s="412"/>
      <c r="OV210" s="412"/>
      <c r="OW210" s="412"/>
      <c r="OX210" s="412"/>
      <c r="OY210" s="412"/>
      <c r="OZ210" s="412"/>
      <c r="PA210" s="412"/>
      <c r="PB210" s="412"/>
      <c r="PC210" s="412"/>
      <c r="PD210" s="412"/>
      <c r="PE210" s="412"/>
      <c r="PF210" s="412"/>
      <c r="PG210" s="412"/>
      <c r="PH210" s="412"/>
      <c r="PI210" s="412"/>
      <c r="PJ210" s="412"/>
      <c r="PK210" s="412"/>
      <c r="PL210" s="412"/>
      <c r="PM210" s="412"/>
      <c r="PN210" s="412"/>
      <c r="PO210" s="412"/>
      <c r="PP210" s="412"/>
      <c r="PQ210" s="412"/>
      <c r="PR210" s="412"/>
      <c r="PS210" s="412"/>
      <c r="PT210" s="412"/>
      <c r="PU210" s="412"/>
      <c r="PV210" s="412"/>
      <c r="PW210" s="412"/>
      <c r="PX210" s="412"/>
      <c r="PY210" s="412"/>
      <c r="PZ210" s="412"/>
      <c r="QA210" s="412"/>
      <c r="QB210" s="412"/>
      <c r="QC210" s="412"/>
      <c r="QD210" s="412"/>
      <c r="QE210" s="412"/>
      <c r="QF210" s="412"/>
      <c r="QG210" s="412"/>
      <c r="QH210" s="412"/>
      <c r="QI210" s="412"/>
      <c r="QJ210" s="412"/>
      <c r="QK210" s="412"/>
      <c r="QL210" s="412"/>
      <c r="QM210" s="412"/>
      <c r="QN210" s="412"/>
      <c r="QO210" s="412"/>
      <c r="QP210" s="412"/>
      <c r="QQ210" s="412"/>
      <c r="QR210" s="412"/>
      <c r="QS210" s="412"/>
      <c r="QT210" s="412"/>
      <c r="QU210" s="412"/>
      <c r="QV210" s="412"/>
      <c r="QW210" s="412"/>
      <c r="QX210" s="412"/>
      <c r="QY210" s="412"/>
      <c r="QZ210" s="412"/>
      <c r="RA210" s="412"/>
      <c r="RB210" s="412"/>
      <c r="RC210" s="412"/>
      <c r="RD210" s="412"/>
      <c r="RE210" s="412"/>
      <c r="RF210" s="412"/>
      <c r="RG210" s="412"/>
      <c r="RH210" s="412"/>
      <c r="RI210" s="412"/>
      <c r="RJ210" s="412"/>
      <c r="RK210" s="412"/>
      <c r="RL210" s="412"/>
      <c r="RM210" s="412"/>
      <c r="RN210" s="412"/>
      <c r="RO210" s="412"/>
      <c r="RP210" s="412"/>
      <c r="RQ210" s="412"/>
      <c r="RR210" s="412"/>
      <c r="RS210" s="412"/>
      <c r="RT210" s="412"/>
      <c r="RU210" s="412"/>
      <c r="RV210" s="412"/>
      <c r="RW210" s="412"/>
      <c r="RX210" s="412"/>
      <c r="RY210" s="412"/>
      <c r="RZ210" s="412"/>
      <c r="SA210" s="412"/>
      <c r="SB210" s="412"/>
      <c r="SC210" s="412"/>
      <c r="SD210" s="412"/>
      <c r="SE210" s="412"/>
      <c r="SF210" s="412"/>
      <c r="SG210" s="412"/>
      <c r="SH210" s="412"/>
      <c r="SI210" s="412"/>
      <c r="SJ210" s="412"/>
      <c r="SK210" s="412"/>
      <c r="SL210" s="412"/>
      <c r="SM210" s="412"/>
      <c r="SN210" s="412"/>
      <c r="SO210" s="412"/>
      <c r="SP210" s="412"/>
      <c r="SQ210" s="412"/>
      <c r="SR210" s="412"/>
      <c r="SS210" s="412"/>
      <c r="ST210" s="412"/>
      <c r="SU210" s="412"/>
      <c r="SV210" s="412"/>
      <c r="SW210" s="412"/>
      <c r="SX210" s="412"/>
      <c r="SY210" s="412"/>
      <c r="SZ210" s="412"/>
      <c r="TA210" s="412"/>
      <c r="TB210" s="412"/>
      <c r="TC210" s="412"/>
      <c r="TD210" s="412"/>
      <c r="TE210" s="412"/>
      <c r="TF210" s="412"/>
      <c r="TG210" s="412"/>
      <c r="TH210" s="412"/>
      <c r="TI210" s="412"/>
      <c r="TJ210" s="412"/>
      <c r="TK210" s="412"/>
      <c r="TL210" s="412"/>
      <c r="TM210" s="412"/>
      <c r="TN210" s="412"/>
      <c r="TO210" s="412"/>
      <c r="TP210" s="412"/>
      <c r="TQ210" s="412"/>
      <c r="TR210" s="412"/>
      <c r="TS210" s="412"/>
      <c r="TT210" s="412"/>
      <c r="TU210" s="412"/>
      <c r="TV210" s="412"/>
      <c r="TW210" s="412"/>
      <c r="TX210" s="412"/>
      <c r="TY210" s="412"/>
      <c r="TZ210" s="412"/>
      <c r="UA210" s="412"/>
      <c r="UB210" s="412"/>
      <c r="UC210" s="412"/>
      <c r="UD210" s="412"/>
      <c r="UE210" s="412"/>
      <c r="UF210" s="412"/>
      <c r="UG210" s="412"/>
      <c r="UH210" s="412"/>
      <c r="UI210" s="412"/>
      <c r="UJ210" s="412"/>
      <c r="UK210" s="412"/>
      <c r="UL210" s="412"/>
      <c r="UM210" s="412"/>
      <c r="UN210" s="412"/>
      <c r="UO210" s="412"/>
      <c r="UP210" s="412"/>
      <c r="UQ210" s="412"/>
      <c r="UR210" s="412"/>
      <c r="US210" s="412"/>
      <c r="UT210" s="412"/>
      <c r="UU210" s="412"/>
      <c r="UV210" s="412"/>
      <c r="UW210" s="412"/>
      <c r="UX210" s="412"/>
      <c r="UY210" s="412"/>
      <c r="UZ210" s="412"/>
      <c r="VA210" s="412"/>
      <c r="VB210" s="412"/>
      <c r="VC210" s="412"/>
      <c r="VD210" s="412"/>
      <c r="VE210" s="412"/>
      <c r="VF210" s="412"/>
      <c r="VG210" s="412"/>
      <c r="VH210" s="412"/>
      <c r="VI210" s="412"/>
      <c r="VJ210" s="412"/>
      <c r="VK210" s="412"/>
      <c r="VL210" s="412"/>
      <c r="VM210" s="412"/>
      <c r="VN210" s="412"/>
      <c r="VO210" s="412"/>
      <c r="VP210" s="412"/>
      <c r="VQ210" s="412"/>
      <c r="VR210" s="412"/>
      <c r="VS210" s="412"/>
      <c r="VT210" s="412"/>
      <c r="VU210" s="412"/>
      <c r="VV210" s="412"/>
      <c r="VW210" s="412"/>
      <c r="VX210" s="412"/>
      <c r="VY210" s="412"/>
      <c r="VZ210" s="412"/>
      <c r="WA210" s="412"/>
      <c r="WB210" s="412"/>
      <c r="WC210" s="412"/>
      <c r="WD210" s="412"/>
      <c r="WE210" s="412"/>
      <c r="WF210" s="412"/>
      <c r="WG210" s="412"/>
      <c r="WH210" s="412"/>
      <c r="WI210" s="412"/>
      <c r="WJ210" s="412"/>
      <c r="WK210" s="412"/>
      <c r="WL210" s="412"/>
      <c r="WM210" s="412"/>
      <c r="WN210" s="412"/>
      <c r="WO210" s="412"/>
      <c r="WP210" s="412"/>
      <c r="WQ210" s="412"/>
      <c r="WR210" s="412"/>
      <c r="WS210" s="412"/>
      <c r="WT210" s="412"/>
      <c r="WU210" s="412"/>
      <c r="WV210" s="412"/>
      <c r="WW210" s="412"/>
      <c r="WX210" s="412"/>
      <c r="WY210" s="412"/>
      <c r="WZ210" s="412"/>
      <c r="XA210" s="412"/>
      <c r="XB210" s="412"/>
      <c r="XC210" s="412"/>
      <c r="XD210" s="412"/>
      <c r="XE210" s="412"/>
      <c r="XF210" s="412"/>
      <c r="XG210" s="412"/>
      <c r="XH210" s="412"/>
      <c r="XI210" s="412"/>
      <c r="XJ210" s="412"/>
      <c r="XK210" s="412"/>
      <c r="XL210" s="412"/>
      <c r="XM210" s="412"/>
      <c r="XN210" s="412"/>
      <c r="XO210" s="412"/>
      <c r="XP210" s="412"/>
      <c r="XQ210" s="412"/>
      <c r="XR210" s="412"/>
      <c r="XS210" s="412"/>
      <c r="XT210" s="412"/>
      <c r="XU210" s="412"/>
      <c r="XV210" s="412"/>
      <c r="XW210" s="412"/>
      <c r="XX210" s="412"/>
      <c r="XY210" s="412"/>
      <c r="XZ210" s="412"/>
      <c r="YA210" s="412"/>
      <c r="YB210" s="412"/>
      <c r="YC210" s="412"/>
      <c r="YD210" s="412"/>
      <c r="YE210" s="412"/>
      <c r="YF210" s="412"/>
      <c r="YG210" s="412"/>
      <c r="YH210" s="412"/>
      <c r="YI210" s="412"/>
      <c r="YJ210" s="412"/>
      <c r="YK210" s="412"/>
      <c r="YL210" s="412"/>
      <c r="YM210" s="412"/>
      <c r="YN210" s="412"/>
      <c r="YO210" s="412"/>
      <c r="YP210" s="412"/>
      <c r="YQ210" s="412"/>
      <c r="YR210" s="412"/>
      <c r="YS210" s="412"/>
      <c r="YT210" s="412"/>
      <c r="YU210" s="412"/>
      <c r="YV210" s="412"/>
      <c r="YW210" s="412"/>
      <c r="YX210" s="412"/>
      <c r="YY210" s="412"/>
      <c r="YZ210" s="412"/>
      <c r="ZA210" s="412"/>
      <c r="ZB210" s="412"/>
      <c r="ZC210" s="412"/>
      <c r="ZD210" s="412"/>
      <c r="ZE210" s="412"/>
      <c r="ZF210" s="412"/>
      <c r="ZG210" s="412"/>
      <c r="ZH210" s="412"/>
      <c r="ZI210" s="412"/>
      <c r="ZJ210" s="412"/>
      <c r="ZK210" s="412"/>
      <c r="ZL210" s="412"/>
      <c r="ZM210" s="412"/>
      <c r="ZN210" s="412"/>
      <c r="ZO210" s="412"/>
      <c r="ZP210" s="412"/>
      <c r="ZQ210" s="412"/>
      <c r="ZR210" s="412"/>
      <c r="ZS210" s="412"/>
      <c r="ZT210" s="412"/>
      <c r="ZU210" s="412"/>
      <c r="ZV210" s="412"/>
      <c r="ZW210" s="412"/>
      <c r="ZX210" s="412"/>
      <c r="ZY210" s="412"/>
      <c r="ZZ210" s="412"/>
      <c r="AAA210" s="412"/>
      <c r="AAB210" s="412"/>
      <c r="AAC210" s="412"/>
      <c r="AAD210" s="412"/>
      <c r="AAE210" s="412"/>
      <c r="AAF210" s="412"/>
      <c r="AAG210" s="412"/>
      <c r="AAH210" s="412"/>
      <c r="AAI210" s="412"/>
      <c r="AAJ210" s="412"/>
      <c r="AAK210" s="412"/>
      <c r="AAL210" s="412"/>
      <c r="AAM210" s="412"/>
      <c r="AAN210" s="412"/>
      <c r="AAO210" s="412"/>
      <c r="AAP210" s="412"/>
      <c r="AAQ210" s="412"/>
      <c r="AAR210" s="412"/>
      <c r="AAS210" s="412"/>
      <c r="AAT210" s="412"/>
      <c r="AAU210" s="412"/>
      <c r="AAV210" s="412"/>
      <c r="AAW210" s="412"/>
      <c r="AAX210" s="412"/>
      <c r="AAY210" s="412"/>
      <c r="AAZ210" s="412"/>
      <c r="ABA210" s="412"/>
      <c r="ABB210" s="412"/>
      <c r="ABC210" s="412"/>
      <c r="ABD210" s="412"/>
      <c r="ABE210" s="412"/>
      <c r="ABF210" s="412"/>
      <c r="ABG210" s="412"/>
      <c r="ABH210" s="412"/>
      <c r="ABI210" s="412"/>
      <c r="ABJ210" s="412"/>
      <c r="ABK210" s="412"/>
      <c r="ABL210" s="412"/>
      <c r="ABM210" s="412"/>
      <c r="ABN210" s="412"/>
      <c r="ABO210" s="412"/>
      <c r="ABP210" s="412"/>
      <c r="ABQ210" s="412"/>
      <c r="ABR210" s="412"/>
      <c r="ABS210" s="412"/>
      <c r="ABT210" s="412"/>
      <c r="ABU210" s="412"/>
      <c r="ABV210" s="412"/>
      <c r="ABW210" s="412"/>
      <c r="ABX210" s="412"/>
      <c r="ABY210" s="412"/>
      <c r="ABZ210" s="412"/>
      <c r="ACA210" s="412"/>
      <c r="ACB210" s="412"/>
      <c r="ACC210" s="412"/>
      <c r="ACD210" s="412"/>
      <c r="ACE210" s="412"/>
      <c r="ACF210" s="412"/>
      <c r="ACG210" s="412"/>
      <c r="ACH210" s="412"/>
      <c r="ACI210" s="412"/>
      <c r="ACJ210" s="412"/>
      <c r="ACK210" s="412"/>
      <c r="ACL210" s="412"/>
      <c r="ACM210" s="412"/>
      <c r="ACN210" s="412"/>
      <c r="ACO210" s="412"/>
      <c r="ACP210" s="412"/>
      <c r="ACQ210" s="412"/>
      <c r="ACR210" s="412"/>
      <c r="ACS210" s="412"/>
      <c r="ACT210" s="412"/>
      <c r="ACU210" s="412"/>
      <c r="ACV210" s="412"/>
      <c r="ACW210" s="412"/>
      <c r="ACX210" s="412"/>
      <c r="ACY210" s="412"/>
      <c r="ACZ210" s="412"/>
      <c r="ADA210" s="412"/>
      <c r="ADB210" s="412"/>
      <c r="ADC210" s="412"/>
      <c r="ADD210" s="412"/>
      <c r="ADE210" s="412"/>
      <c r="ADF210" s="412"/>
      <c r="ADG210" s="412"/>
      <c r="ADH210" s="412"/>
      <c r="ADI210" s="412"/>
      <c r="ADJ210" s="412"/>
      <c r="ADK210" s="412"/>
      <c r="ADL210" s="412"/>
      <c r="ADM210" s="412"/>
      <c r="ADN210" s="412"/>
      <c r="ADO210" s="412"/>
      <c r="ADP210" s="412"/>
      <c r="ADQ210" s="412"/>
      <c r="ADR210" s="412"/>
      <c r="ADS210" s="412"/>
      <c r="ADT210" s="412"/>
      <c r="ADU210" s="412"/>
      <c r="ADV210" s="412"/>
      <c r="ADW210" s="412"/>
      <c r="ADX210" s="412"/>
      <c r="ADY210" s="412"/>
      <c r="ADZ210" s="412"/>
      <c r="AEA210" s="412"/>
      <c r="AEB210" s="412"/>
      <c r="AEC210" s="412"/>
      <c r="AED210" s="412"/>
      <c r="AEE210" s="412"/>
      <c r="AEF210" s="412"/>
      <c r="AEG210" s="412"/>
      <c r="AEH210" s="412"/>
      <c r="AEI210" s="412"/>
      <c r="AEJ210" s="412"/>
      <c r="AEK210" s="412"/>
      <c r="AEL210" s="412"/>
      <c r="AEM210" s="412"/>
      <c r="AEN210" s="412"/>
      <c r="AEO210" s="412"/>
      <c r="AEP210" s="412"/>
      <c r="AEQ210" s="412"/>
      <c r="AER210" s="412"/>
      <c r="AES210" s="412"/>
      <c r="AET210" s="412"/>
      <c r="AEU210" s="412"/>
      <c r="AEV210" s="412"/>
      <c r="AEW210" s="412"/>
      <c r="AEX210" s="412"/>
      <c r="AEY210" s="412"/>
      <c r="AEZ210" s="412"/>
      <c r="AFA210" s="412"/>
      <c r="AFB210" s="412"/>
      <c r="AFC210" s="412"/>
      <c r="AFD210" s="412"/>
      <c r="AFE210" s="412"/>
      <c r="AFF210" s="412"/>
      <c r="AFG210" s="412"/>
      <c r="AFH210" s="412"/>
      <c r="AFI210" s="412"/>
      <c r="AFJ210" s="412"/>
      <c r="AFK210" s="412"/>
      <c r="AFL210" s="412"/>
      <c r="AFM210" s="412"/>
      <c r="AFN210" s="412"/>
      <c r="AFO210" s="412"/>
      <c r="AFP210" s="412"/>
      <c r="AFQ210" s="412"/>
      <c r="AFR210" s="412"/>
      <c r="AFS210" s="412"/>
      <c r="AFT210" s="412"/>
      <c r="AFU210" s="412"/>
      <c r="AFV210" s="412"/>
      <c r="AFW210" s="412"/>
      <c r="AFX210" s="412"/>
      <c r="AFY210" s="412"/>
      <c r="AFZ210" s="412"/>
      <c r="AGA210" s="412"/>
      <c r="AGB210" s="412"/>
      <c r="AGC210" s="412"/>
      <c r="AGD210" s="412"/>
      <c r="AGE210" s="412"/>
      <c r="AGF210" s="412"/>
      <c r="AGG210" s="412"/>
      <c r="AGH210" s="412"/>
      <c r="AGI210" s="412"/>
      <c r="AGJ210" s="412"/>
      <c r="AGK210" s="412"/>
      <c r="AGL210" s="412"/>
      <c r="AGM210" s="412"/>
      <c r="AGN210" s="412"/>
      <c r="AGO210" s="412"/>
      <c r="AGP210" s="412"/>
      <c r="AGQ210" s="412"/>
      <c r="AGR210" s="412"/>
      <c r="AGS210" s="412"/>
      <c r="AGT210" s="412"/>
      <c r="AGU210" s="412"/>
      <c r="AGV210" s="412"/>
      <c r="AGW210" s="412"/>
      <c r="AGX210" s="412"/>
      <c r="AGY210" s="412"/>
      <c r="AGZ210" s="412"/>
      <c r="AHA210" s="412"/>
      <c r="AHB210" s="412"/>
      <c r="AHC210" s="412"/>
      <c r="AHD210" s="412"/>
      <c r="AHE210" s="412"/>
      <c r="AHF210" s="412"/>
      <c r="AHG210" s="412"/>
      <c r="AHH210" s="412"/>
      <c r="AHI210" s="412"/>
      <c r="AHJ210" s="412"/>
      <c r="AHK210" s="412"/>
      <c r="AHL210" s="412"/>
      <c r="AHM210" s="412"/>
      <c r="AHN210" s="412"/>
      <c r="AHO210" s="412"/>
      <c r="AHP210" s="412"/>
      <c r="AHQ210" s="412"/>
      <c r="AHR210" s="412"/>
      <c r="AHS210" s="412"/>
      <c r="AHT210" s="412"/>
      <c r="AHU210" s="412"/>
      <c r="AHV210" s="412"/>
      <c r="AHW210" s="412"/>
      <c r="AHX210" s="412"/>
      <c r="AHY210" s="412"/>
      <c r="AHZ210" s="412"/>
      <c r="AIA210" s="412"/>
      <c r="AIB210" s="412"/>
      <c r="AIC210" s="412"/>
      <c r="AID210" s="412"/>
      <c r="AIE210" s="412"/>
      <c r="AIF210" s="412"/>
      <c r="AIG210" s="412"/>
      <c r="AIH210" s="412"/>
      <c r="AII210" s="412"/>
      <c r="AIJ210" s="412"/>
      <c r="AIK210" s="412"/>
      <c r="AIL210" s="412"/>
      <c r="AIM210" s="412"/>
      <c r="AIN210" s="412"/>
      <c r="AIO210" s="412"/>
      <c r="AIP210" s="412"/>
      <c r="AIQ210" s="412"/>
      <c r="AIR210" s="412"/>
      <c r="AIS210" s="412"/>
      <c r="AIT210" s="412"/>
      <c r="AIU210" s="412"/>
      <c r="AIV210" s="412"/>
      <c r="AIW210" s="412"/>
      <c r="AIX210" s="412"/>
      <c r="AIY210" s="412"/>
      <c r="AIZ210" s="412"/>
      <c r="AJA210" s="412"/>
      <c r="AJB210" s="412"/>
      <c r="AJC210" s="412"/>
      <c r="AJD210" s="412"/>
      <c r="AJE210" s="412"/>
      <c r="AJF210" s="412"/>
      <c r="AJG210" s="412"/>
      <c r="AJH210" s="412"/>
      <c r="AJI210" s="412"/>
      <c r="AJJ210" s="412"/>
      <c r="AJK210" s="412"/>
      <c r="AJL210" s="412"/>
      <c r="AJM210" s="412"/>
      <c r="AJN210" s="412"/>
      <c r="AJO210" s="412"/>
      <c r="AJP210" s="412"/>
      <c r="AJQ210" s="412"/>
      <c r="AJR210" s="412"/>
      <c r="AJS210" s="412"/>
      <c r="AJT210" s="412"/>
      <c r="AJU210" s="412"/>
      <c r="AJV210" s="412"/>
      <c r="AJW210" s="412"/>
      <c r="AJX210" s="412"/>
      <c r="AJY210" s="412"/>
      <c r="AJZ210" s="412"/>
      <c r="AKA210" s="412"/>
      <c r="AKB210" s="412"/>
      <c r="AKC210" s="412"/>
      <c r="AKD210" s="412"/>
      <c r="AKE210" s="412"/>
      <c r="AKF210" s="412"/>
      <c r="AKG210" s="412"/>
      <c r="AKH210" s="412"/>
      <c r="AKI210" s="412"/>
      <c r="AKJ210" s="412"/>
      <c r="AKK210" s="412"/>
      <c r="AKL210" s="412"/>
      <c r="AKM210" s="412"/>
      <c r="AKN210" s="412"/>
      <c r="AKO210" s="412"/>
      <c r="AKP210" s="412"/>
      <c r="AKQ210" s="412"/>
      <c r="AKR210" s="412"/>
      <c r="AKS210" s="412"/>
      <c r="AKT210" s="412"/>
      <c r="AKU210" s="412"/>
      <c r="AKV210" s="412"/>
      <c r="AKW210" s="412"/>
      <c r="AKX210" s="412"/>
      <c r="AKY210" s="412"/>
      <c r="AKZ210" s="412"/>
      <c r="ALA210" s="412"/>
      <c r="ALB210" s="412"/>
      <c r="ALC210" s="412"/>
      <c r="ALD210" s="412"/>
      <c r="ALE210" s="412"/>
      <c r="ALF210" s="412"/>
      <c r="ALG210" s="412"/>
      <c r="ALH210" s="412"/>
      <c r="ALI210" s="412"/>
      <c r="ALJ210" s="412"/>
      <c r="ALK210" s="412"/>
      <c r="ALL210" s="412"/>
      <c r="ALM210" s="412"/>
      <c r="ALN210" s="412"/>
      <c r="ALO210" s="412"/>
      <c r="ALP210" s="412"/>
      <c r="ALQ210" s="412"/>
      <c r="ALR210" s="412"/>
      <c r="ALS210" s="412"/>
      <c r="ALT210" s="412"/>
      <c r="ALU210" s="412"/>
      <c r="ALV210" s="412"/>
      <c r="ALW210" s="412"/>
      <c r="ALX210" s="412"/>
      <c r="ALY210" s="412"/>
      <c r="ALZ210" s="412"/>
      <c r="AMA210" s="412"/>
      <c r="AMB210" s="412"/>
      <c r="AMC210" s="412"/>
      <c r="AMD210" s="412"/>
      <c r="AME210" s="412"/>
      <c r="AMF210" s="412"/>
      <c r="AMG210" s="412"/>
      <c r="AMH210" s="412"/>
      <c r="AMI210" s="412"/>
      <c r="AMJ210" s="412"/>
      <c r="AMK210" s="412"/>
      <c r="AML210" s="412"/>
      <c r="AMM210" s="412"/>
      <c r="AMN210" s="412"/>
      <c r="AMO210" s="412"/>
      <c r="AMP210" s="412"/>
      <c r="AMQ210" s="412"/>
      <c r="AMR210" s="412"/>
      <c r="AMS210" s="412"/>
      <c r="AMT210" s="412"/>
      <c r="AMU210" s="412"/>
      <c r="AMV210" s="412"/>
      <c r="AMW210" s="412"/>
      <c r="AMX210" s="412"/>
      <c r="AMY210" s="412"/>
      <c r="AMZ210" s="412"/>
      <c r="ANA210" s="412"/>
      <c r="ANB210" s="412"/>
      <c r="ANC210" s="412"/>
      <c r="AND210" s="412"/>
      <c r="ANE210" s="412"/>
      <c r="ANF210" s="412"/>
      <c r="ANG210" s="412"/>
      <c r="ANH210" s="412"/>
      <c r="ANI210" s="412"/>
      <c r="ANJ210" s="412"/>
      <c r="ANK210" s="412"/>
      <c r="ANL210" s="412"/>
      <c r="ANM210" s="412"/>
      <c r="ANN210" s="412"/>
      <c r="ANO210" s="412"/>
      <c r="ANP210" s="412"/>
      <c r="ANQ210" s="412"/>
      <c r="ANR210" s="412"/>
      <c r="ANS210" s="412"/>
      <c r="ANT210" s="412"/>
      <c r="ANU210" s="412"/>
      <c r="ANV210" s="412"/>
      <c r="ANW210" s="412"/>
      <c r="ANX210" s="412"/>
      <c r="ANY210" s="412"/>
      <c r="ANZ210" s="412"/>
      <c r="AOA210" s="412"/>
      <c r="AOB210" s="412"/>
      <c r="AOC210" s="412"/>
      <c r="AOD210" s="412"/>
      <c r="AOE210" s="412"/>
      <c r="AOF210" s="412"/>
      <c r="AOG210" s="412"/>
      <c r="AOH210" s="412"/>
      <c r="AOI210" s="412"/>
      <c r="AOJ210" s="412"/>
      <c r="AOK210" s="412"/>
      <c r="AOL210" s="412"/>
      <c r="AOM210" s="412"/>
      <c r="AON210" s="412"/>
      <c r="AOO210" s="412"/>
      <c r="AOP210" s="412"/>
      <c r="AOQ210" s="412"/>
      <c r="AOR210" s="412"/>
      <c r="AOS210" s="412"/>
      <c r="AOT210" s="412"/>
      <c r="AOU210" s="412"/>
      <c r="AOV210" s="412"/>
      <c r="AOW210" s="412"/>
      <c r="AOX210" s="412"/>
      <c r="AOY210" s="412"/>
      <c r="AOZ210" s="412"/>
      <c r="APA210" s="412"/>
      <c r="APB210" s="412"/>
      <c r="APC210" s="412"/>
      <c r="APD210" s="412"/>
      <c r="APE210" s="412"/>
      <c r="APF210" s="412"/>
      <c r="APG210" s="412"/>
      <c r="APH210" s="412"/>
      <c r="API210" s="412"/>
      <c r="APJ210" s="412"/>
      <c r="APK210" s="412"/>
      <c r="APL210" s="412"/>
      <c r="APM210" s="412"/>
      <c r="APN210" s="412"/>
      <c r="APO210" s="412"/>
      <c r="APP210" s="412"/>
      <c r="APQ210" s="412"/>
      <c r="APR210" s="412"/>
      <c r="APS210" s="412"/>
      <c r="APT210" s="412"/>
      <c r="APU210" s="412"/>
      <c r="APV210" s="412"/>
      <c r="APW210" s="412"/>
      <c r="APX210" s="412"/>
      <c r="APY210" s="412"/>
      <c r="APZ210" s="412"/>
      <c r="AQA210" s="412"/>
      <c r="AQB210" s="412"/>
      <c r="AQC210" s="412"/>
      <c r="AQD210" s="412"/>
      <c r="AQE210" s="412"/>
      <c r="AQF210" s="412"/>
      <c r="AQG210" s="412"/>
      <c r="AQH210" s="412"/>
      <c r="AQI210" s="412"/>
      <c r="AQJ210" s="412"/>
      <c r="AQK210" s="412"/>
      <c r="AQL210" s="412"/>
      <c r="AQM210" s="412"/>
      <c r="AQN210" s="412"/>
      <c r="AQO210" s="412"/>
      <c r="AQP210" s="412"/>
      <c r="AQQ210" s="412"/>
      <c r="AQR210" s="412"/>
      <c r="AQS210" s="412"/>
      <c r="AQT210" s="412"/>
      <c r="AQU210" s="412"/>
      <c r="AQV210" s="412"/>
      <c r="AQW210" s="412"/>
      <c r="AQX210" s="412"/>
      <c r="AQY210" s="412"/>
      <c r="AQZ210" s="412"/>
      <c r="ARA210" s="412"/>
      <c r="ARB210" s="412"/>
      <c r="ARC210" s="412"/>
      <c r="ARD210" s="412"/>
      <c r="ARE210" s="412"/>
      <c r="ARF210" s="412"/>
      <c r="ARG210" s="412"/>
      <c r="ARH210" s="412"/>
      <c r="ARI210" s="412"/>
      <c r="ARJ210" s="412"/>
      <c r="ARK210" s="412"/>
      <c r="ARL210" s="412"/>
      <c r="ARM210" s="412"/>
      <c r="ARN210" s="412"/>
      <c r="ARO210" s="412"/>
      <c r="ARP210" s="412"/>
      <c r="ARQ210" s="412"/>
      <c r="ARR210" s="412"/>
      <c r="ARS210" s="412"/>
      <c r="ART210" s="412"/>
      <c r="ARU210" s="412"/>
      <c r="ARV210" s="412"/>
      <c r="ARW210" s="412"/>
      <c r="ARX210" s="412"/>
      <c r="ARY210" s="412"/>
      <c r="ARZ210" s="412"/>
      <c r="ASA210" s="412"/>
      <c r="ASB210" s="412"/>
      <c r="ASC210" s="412"/>
      <c r="ASD210" s="412"/>
      <c r="ASE210" s="412"/>
      <c r="ASF210" s="412"/>
      <c r="ASG210" s="412"/>
      <c r="ASH210" s="412"/>
      <c r="ASI210" s="412"/>
      <c r="ASJ210" s="412"/>
      <c r="ASK210" s="412"/>
      <c r="ASL210" s="412"/>
      <c r="ASM210" s="412"/>
      <c r="ASN210" s="412"/>
      <c r="ASO210" s="412"/>
      <c r="ASP210" s="412"/>
      <c r="ASQ210" s="412"/>
      <c r="ASR210" s="412"/>
      <c r="ASS210" s="412"/>
      <c r="AST210" s="412"/>
      <c r="ASU210" s="412"/>
      <c r="ASV210" s="412"/>
      <c r="ASW210" s="412"/>
      <c r="ASX210" s="412"/>
      <c r="ASY210" s="412"/>
      <c r="ASZ210" s="412"/>
      <c r="ATA210" s="412"/>
      <c r="ATB210" s="412"/>
      <c r="ATC210" s="412"/>
      <c r="ATD210" s="412"/>
      <c r="ATE210" s="412"/>
      <c r="ATF210" s="412"/>
      <c r="ATG210" s="412"/>
      <c r="ATH210" s="412"/>
      <c r="ATI210" s="412"/>
      <c r="ATJ210" s="412"/>
      <c r="ATK210" s="412"/>
      <c r="ATL210" s="412"/>
      <c r="ATM210" s="412"/>
      <c r="ATN210" s="412"/>
      <c r="ATO210" s="412"/>
      <c r="ATP210" s="412"/>
      <c r="ATQ210" s="412"/>
      <c r="ATR210" s="412"/>
      <c r="ATS210" s="412"/>
      <c r="ATT210" s="412"/>
      <c r="ATU210" s="412"/>
      <c r="ATV210" s="412"/>
      <c r="ATW210" s="412"/>
      <c r="ATX210" s="412"/>
      <c r="ATY210" s="412"/>
      <c r="ATZ210" s="412"/>
      <c r="AUA210" s="412"/>
      <c r="AUB210" s="412"/>
      <c r="AUC210" s="412"/>
      <c r="AUD210" s="412"/>
      <c r="AUE210" s="412"/>
      <c r="AUF210" s="412"/>
      <c r="AUG210" s="412"/>
      <c r="AUH210" s="412"/>
      <c r="AUI210" s="412"/>
      <c r="AUJ210" s="412"/>
      <c r="AUK210" s="412"/>
      <c r="AUL210" s="412"/>
      <c r="AUM210" s="412"/>
      <c r="AUN210" s="412"/>
      <c r="AUO210" s="412"/>
      <c r="AUP210" s="412"/>
      <c r="AUQ210" s="412"/>
      <c r="AUR210" s="412"/>
      <c r="AUS210" s="412"/>
      <c r="AUT210" s="412"/>
      <c r="AUU210" s="412"/>
      <c r="AUV210" s="412"/>
      <c r="AUW210" s="412"/>
      <c r="AUX210" s="412"/>
      <c r="AUY210" s="412"/>
      <c r="AUZ210" s="412"/>
      <c r="AVA210" s="412"/>
      <c r="AVB210" s="412"/>
      <c r="AVC210" s="412"/>
      <c r="AVD210" s="412"/>
      <c r="AVE210" s="412"/>
      <c r="AVF210" s="412"/>
      <c r="AVG210" s="412"/>
      <c r="AVH210" s="412"/>
      <c r="AVI210" s="412"/>
      <c r="AVJ210" s="412"/>
      <c r="AVK210" s="412"/>
      <c r="AVL210" s="412"/>
      <c r="AVM210" s="412"/>
      <c r="AVN210" s="412"/>
      <c r="AVO210" s="412"/>
      <c r="AVP210" s="412"/>
      <c r="AVQ210" s="412"/>
      <c r="AVR210" s="412"/>
      <c r="AVS210" s="412"/>
      <c r="AVT210" s="412"/>
      <c r="AVU210" s="412"/>
      <c r="AVV210" s="412"/>
      <c r="AVW210" s="412"/>
      <c r="AVX210" s="412"/>
      <c r="AVY210" s="412"/>
      <c r="AVZ210" s="412"/>
      <c r="AWA210" s="412"/>
      <c r="AWB210" s="412"/>
      <c r="AWC210" s="412"/>
      <c r="AWD210" s="412"/>
      <c r="AWE210" s="412"/>
      <c r="AWF210" s="412"/>
      <c r="AWG210" s="412"/>
      <c r="AWH210" s="412"/>
      <c r="AWI210" s="412"/>
      <c r="AWJ210" s="412"/>
      <c r="AWK210" s="412"/>
      <c r="AWL210" s="412"/>
      <c r="AWM210" s="412"/>
      <c r="AWN210" s="412"/>
      <c r="AWO210" s="412"/>
      <c r="AWP210" s="412"/>
      <c r="AWQ210" s="412"/>
      <c r="AWR210" s="412"/>
      <c r="AWS210" s="412"/>
      <c r="AWT210" s="412"/>
      <c r="AWU210" s="412"/>
      <c r="AWV210" s="412"/>
      <c r="AWW210" s="412"/>
      <c r="AWX210" s="412"/>
      <c r="AWY210" s="412"/>
      <c r="AWZ210" s="412"/>
      <c r="AXA210" s="412"/>
      <c r="AXB210" s="412"/>
      <c r="AXC210" s="412"/>
      <c r="AXD210" s="412"/>
      <c r="AXE210" s="412"/>
      <c r="AXF210" s="412"/>
      <c r="AXG210" s="412"/>
      <c r="AXH210" s="412"/>
      <c r="AXI210" s="412"/>
      <c r="AXJ210" s="412"/>
      <c r="AXK210" s="412"/>
      <c r="AXL210" s="412"/>
      <c r="AXM210" s="412"/>
      <c r="AXN210" s="412"/>
      <c r="AXO210" s="412"/>
      <c r="AXP210" s="412"/>
      <c r="AXQ210" s="412"/>
      <c r="AXR210" s="412"/>
      <c r="AXS210" s="412"/>
      <c r="AXT210" s="412"/>
      <c r="AXU210" s="412"/>
      <c r="AXV210" s="412"/>
      <c r="AXW210" s="412"/>
      <c r="AXX210" s="412"/>
      <c r="AXY210" s="412"/>
      <c r="AXZ210" s="412"/>
      <c r="AYA210" s="412"/>
      <c r="AYB210" s="412"/>
      <c r="AYC210" s="412"/>
      <c r="AYD210" s="412"/>
      <c r="AYE210" s="412"/>
      <c r="AYF210" s="412"/>
      <c r="AYG210" s="412"/>
      <c r="AYH210" s="412"/>
      <c r="AYI210" s="412"/>
      <c r="AYJ210" s="412"/>
      <c r="AYK210" s="412"/>
      <c r="AYL210" s="412"/>
      <c r="AYM210" s="412"/>
      <c r="AYN210" s="412"/>
      <c r="AYO210" s="412"/>
      <c r="AYP210" s="412"/>
      <c r="AYQ210" s="412"/>
      <c r="AYR210" s="412"/>
      <c r="AYS210" s="412"/>
      <c r="AYT210" s="412"/>
      <c r="AYU210" s="412"/>
      <c r="AYV210" s="412"/>
      <c r="AYW210" s="412"/>
      <c r="AYX210" s="412"/>
      <c r="AYY210" s="412"/>
      <c r="AYZ210" s="412"/>
      <c r="AZA210" s="412"/>
      <c r="AZB210" s="412"/>
      <c r="AZC210" s="412"/>
      <c r="AZD210" s="412"/>
      <c r="AZE210" s="412"/>
      <c r="AZF210" s="412"/>
      <c r="AZG210" s="412"/>
      <c r="AZH210" s="412"/>
      <c r="AZI210" s="412"/>
      <c r="AZJ210" s="412"/>
      <c r="AZK210" s="412"/>
      <c r="AZL210" s="412"/>
      <c r="AZM210" s="412"/>
      <c r="AZN210" s="412"/>
      <c r="AZO210" s="412"/>
      <c r="AZP210" s="412"/>
      <c r="AZQ210" s="412"/>
      <c r="AZR210" s="412"/>
      <c r="AZS210" s="412"/>
      <c r="AZT210" s="412"/>
      <c r="AZU210" s="412"/>
      <c r="AZV210" s="412"/>
      <c r="AZW210" s="412"/>
      <c r="AZX210" s="412"/>
      <c r="AZY210" s="412"/>
      <c r="AZZ210" s="412"/>
      <c r="BAA210" s="412"/>
      <c r="BAB210" s="412"/>
      <c r="BAC210" s="412"/>
      <c r="BAD210" s="412"/>
      <c r="BAE210" s="412"/>
      <c r="BAF210" s="412"/>
      <c r="BAG210" s="412"/>
      <c r="BAH210" s="412"/>
      <c r="BAI210" s="412"/>
      <c r="BAJ210" s="412"/>
      <c r="BAK210" s="412"/>
      <c r="BAL210" s="412"/>
      <c r="BAM210" s="412"/>
      <c r="BAN210" s="412"/>
      <c r="BAO210" s="412"/>
      <c r="BAP210" s="412"/>
      <c r="BAQ210" s="412"/>
      <c r="BAR210" s="412"/>
      <c r="BAS210" s="412"/>
      <c r="BAT210" s="412"/>
      <c r="BAU210" s="412"/>
      <c r="BAV210" s="412"/>
      <c r="BAW210" s="412"/>
      <c r="BAX210" s="412"/>
      <c r="BAY210" s="412"/>
      <c r="BAZ210" s="412"/>
      <c r="BBA210" s="412"/>
      <c r="BBB210" s="412"/>
      <c r="BBC210" s="412"/>
      <c r="BBD210" s="412"/>
      <c r="BBE210" s="412"/>
      <c r="BBF210" s="412"/>
      <c r="BBG210" s="412"/>
      <c r="BBH210" s="412"/>
      <c r="BBI210" s="412"/>
      <c r="BBJ210" s="412"/>
      <c r="BBK210" s="412"/>
      <c r="BBL210" s="412"/>
      <c r="BBM210" s="412"/>
      <c r="BBN210" s="412"/>
      <c r="BBO210" s="412"/>
      <c r="BBP210" s="412"/>
      <c r="BBQ210" s="412"/>
      <c r="BBR210" s="412"/>
      <c r="BBS210" s="412"/>
      <c r="BBT210" s="412"/>
      <c r="BBU210" s="412"/>
      <c r="BBV210" s="412"/>
      <c r="BBW210" s="412"/>
      <c r="BBX210" s="412"/>
      <c r="BBY210" s="412"/>
      <c r="BBZ210" s="412"/>
      <c r="BCA210" s="412"/>
      <c r="BCB210" s="412"/>
      <c r="BCC210" s="412"/>
      <c r="BCD210" s="412"/>
      <c r="BCE210" s="412"/>
      <c r="BCF210" s="412"/>
      <c r="BCG210" s="412"/>
      <c r="BCH210" s="412"/>
      <c r="BCI210" s="412"/>
      <c r="BCJ210" s="412"/>
      <c r="BCK210" s="412"/>
      <c r="BCL210" s="412"/>
      <c r="BCM210" s="412"/>
      <c r="BCN210" s="412"/>
      <c r="BCO210" s="412"/>
      <c r="BCP210" s="412"/>
      <c r="BCQ210" s="412"/>
      <c r="BCR210" s="412"/>
      <c r="BCS210" s="412"/>
      <c r="BCT210" s="412"/>
      <c r="BCU210" s="412"/>
      <c r="BCV210" s="412"/>
      <c r="BCW210" s="412"/>
      <c r="BCX210" s="412"/>
      <c r="BCY210" s="412"/>
      <c r="BCZ210" s="412"/>
      <c r="BDA210" s="412"/>
      <c r="BDB210" s="412"/>
      <c r="BDC210" s="412"/>
      <c r="BDD210" s="412"/>
      <c r="BDE210" s="412"/>
      <c r="BDF210" s="412"/>
      <c r="BDG210" s="412"/>
      <c r="BDH210" s="412"/>
      <c r="BDI210" s="412"/>
      <c r="BDJ210" s="412"/>
      <c r="BDK210" s="412"/>
      <c r="BDL210" s="412"/>
      <c r="BDM210" s="412"/>
      <c r="BDN210" s="412"/>
      <c r="BDO210" s="412"/>
      <c r="BDP210" s="412"/>
      <c r="BDQ210" s="412"/>
      <c r="BDR210" s="412"/>
      <c r="BDS210" s="412"/>
      <c r="BDT210" s="412"/>
      <c r="BDU210" s="412"/>
      <c r="BDV210" s="412"/>
      <c r="BDW210" s="412"/>
      <c r="BDX210" s="412"/>
      <c r="BDY210" s="412"/>
      <c r="BDZ210" s="412"/>
      <c r="BEA210" s="412"/>
      <c r="BEB210" s="412"/>
      <c r="BEC210" s="412"/>
      <c r="BED210" s="412"/>
      <c r="BEE210" s="412"/>
      <c r="BEF210" s="412"/>
      <c r="BEG210" s="412"/>
      <c r="BEH210" s="412"/>
      <c r="BEI210" s="412"/>
      <c r="BEJ210" s="412"/>
      <c r="BEK210" s="412"/>
      <c r="BEL210" s="412"/>
      <c r="BEM210" s="412"/>
      <c r="BEN210" s="412"/>
      <c r="BEO210" s="412"/>
      <c r="BEP210" s="412"/>
      <c r="BEQ210" s="412"/>
      <c r="BER210" s="412"/>
      <c r="BES210" s="412"/>
      <c r="BET210" s="412"/>
      <c r="BEU210" s="412"/>
      <c r="BEV210" s="412"/>
      <c r="BEW210" s="412"/>
      <c r="BEX210" s="412"/>
      <c r="BEY210" s="412"/>
      <c r="BEZ210" s="412"/>
      <c r="BFA210" s="412"/>
      <c r="BFB210" s="412"/>
      <c r="BFC210" s="412"/>
      <c r="BFD210" s="412"/>
      <c r="BFE210" s="412"/>
      <c r="BFF210" s="412"/>
      <c r="BFG210" s="412"/>
      <c r="BFH210" s="412"/>
      <c r="BFI210" s="412"/>
      <c r="BFJ210" s="412"/>
      <c r="BFK210" s="412"/>
      <c r="BFL210" s="412"/>
      <c r="BFM210" s="412"/>
      <c r="BFN210" s="412"/>
      <c r="BFO210" s="412"/>
      <c r="BFP210" s="412"/>
      <c r="BFQ210" s="412"/>
      <c r="BFR210" s="412"/>
      <c r="BFS210" s="412"/>
      <c r="BFT210" s="412"/>
      <c r="BFU210" s="412"/>
      <c r="BFV210" s="412"/>
      <c r="BFW210" s="412"/>
      <c r="BFX210" s="412"/>
      <c r="BFY210" s="412"/>
      <c r="BFZ210" s="412"/>
      <c r="BGA210" s="412"/>
      <c r="BGB210" s="412"/>
      <c r="BGC210" s="412"/>
      <c r="BGD210" s="412"/>
      <c r="BGE210" s="412"/>
      <c r="BGF210" s="412"/>
      <c r="BGG210" s="412"/>
      <c r="BGH210" s="412"/>
      <c r="BGI210" s="412"/>
      <c r="BGJ210" s="412"/>
      <c r="BGK210" s="412"/>
      <c r="BGL210" s="412"/>
      <c r="BGM210" s="412"/>
      <c r="BGN210" s="412"/>
      <c r="BGO210" s="412"/>
      <c r="BGP210" s="412"/>
      <c r="BGQ210" s="412"/>
      <c r="BGR210" s="412"/>
      <c r="BGS210" s="412"/>
      <c r="BGT210" s="412"/>
      <c r="BGU210" s="412"/>
      <c r="BGV210" s="412"/>
      <c r="BGW210" s="412"/>
      <c r="BGX210" s="412"/>
      <c r="BGY210" s="412"/>
      <c r="BGZ210" s="412"/>
      <c r="BHA210" s="412"/>
      <c r="BHB210" s="412"/>
      <c r="BHC210" s="412"/>
      <c r="BHD210" s="412"/>
      <c r="BHE210" s="412"/>
      <c r="BHF210" s="412"/>
      <c r="BHG210" s="412"/>
      <c r="BHH210" s="412"/>
      <c r="BHI210" s="412"/>
      <c r="BHJ210" s="412"/>
      <c r="BHK210" s="412"/>
      <c r="BHL210" s="412"/>
      <c r="BHM210" s="412"/>
      <c r="BHN210" s="412"/>
      <c r="BHO210" s="412"/>
      <c r="BHP210" s="412"/>
      <c r="BHQ210" s="412"/>
      <c r="BHR210" s="412"/>
      <c r="BHS210" s="412"/>
      <c r="BHT210" s="412"/>
      <c r="BHU210" s="412"/>
      <c r="BHV210" s="412"/>
      <c r="BHW210" s="412"/>
      <c r="BHX210" s="412"/>
      <c r="BHY210" s="412"/>
      <c r="BHZ210" s="412"/>
      <c r="BIA210" s="412"/>
      <c r="BIB210" s="412"/>
      <c r="BIC210" s="412"/>
      <c r="BID210" s="412"/>
      <c r="BIE210" s="412"/>
      <c r="BIF210" s="412"/>
      <c r="BIG210" s="412"/>
      <c r="BIH210" s="412"/>
      <c r="BII210" s="412"/>
      <c r="BIJ210" s="412"/>
      <c r="BIK210" s="412"/>
      <c r="BIL210" s="412"/>
      <c r="BIM210" s="412"/>
      <c r="BIN210" s="412"/>
      <c r="BIO210" s="412"/>
      <c r="BIP210" s="412"/>
      <c r="BIQ210" s="412"/>
      <c r="BIR210" s="412"/>
      <c r="BIS210" s="412"/>
      <c r="BIT210" s="412"/>
      <c r="BIU210" s="412"/>
      <c r="BIV210" s="412"/>
      <c r="BIW210" s="412"/>
      <c r="BIX210" s="412"/>
      <c r="BIY210" s="412"/>
      <c r="BIZ210" s="412"/>
      <c r="BJA210" s="412"/>
      <c r="BJB210" s="412"/>
      <c r="BJC210" s="412"/>
      <c r="BJD210" s="412"/>
      <c r="BJE210" s="412"/>
      <c r="BJF210" s="412"/>
      <c r="BJG210" s="412"/>
      <c r="BJH210" s="412"/>
      <c r="BJI210" s="412"/>
      <c r="BJJ210" s="412"/>
      <c r="BJK210" s="412"/>
      <c r="BJL210" s="412"/>
      <c r="BJM210" s="412"/>
      <c r="BJN210" s="412"/>
      <c r="BJO210" s="412"/>
      <c r="BJP210" s="412"/>
      <c r="BJQ210" s="412"/>
      <c r="BJR210" s="412"/>
      <c r="BJS210" s="412"/>
      <c r="BJT210" s="412"/>
      <c r="BJU210" s="412"/>
      <c r="BJV210" s="412"/>
      <c r="BJW210" s="412"/>
      <c r="BJX210" s="412"/>
      <c r="BJY210" s="412"/>
      <c r="BJZ210" s="412"/>
      <c r="BKA210" s="412"/>
      <c r="BKB210" s="412"/>
      <c r="BKC210" s="412"/>
      <c r="BKD210" s="412"/>
      <c r="BKE210" s="412"/>
      <c r="BKF210" s="412"/>
      <c r="BKG210" s="412"/>
      <c r="BKH210" s="412"/>
      <c r="BKI210" s="412"/>
      <c r="BKJ210" s="412"/>
      <c r="BKK210" s="412"/>
      <c r="BKL210" s="412"/>
      <c r="BKM210" s="412"/>
      <c r="BKN210" s="412"/>
      <c r="BKO210" s="412"/>
      <c r="BKP210" s="412"/>
      <c r="BKQ210" s="412"/>
      <c r="BKR210" s="412"/>
      <c r="BKS210" s="412"/>
      <c r="BKT210" s="412"/>
      <c r="BKU210" s="412"/>
      <c r="BKV210" s="412"/>
      <c r="BKW210" s="412"/>
      <c r="BKX210" s="412"/>
      <c r="BKY210" s="412"/>
      <c r="BKZ210" s="412"/>
      <c r="BLA210" s="412"/>
      <c r="BLB210" s="412"/>
      <c r="BLC210" s="412"/>
      <c r="BLD210" s="412"/>
      <c r="BLE210" s="412"/>
      <c r="BLF210" s="412"/>
      <c r="BLG210" s="412"/>
      <c r="BLH210" s="412"/>
      <c r="BLI210" s="412"/>
      <c r="BLJ210" s="412"/>
      <c r="BLK210" s="412"/>
      <c r="BLL210" s="412"/>
      <c r="BLM210" s="412"/>
      <c r="BLN210" s="412"/>
      <c r="BLO210" s="412"/>
      <c r="BLP210" s="412"/>
      <c r="BLQ210" s="412"/>
      <c r="BLR210" s="412"/>
      <c r="BLS210" s="412"/>
      <c r="BLT210" s="412"/>
      <c r="BLU210" s="412"/>
      <c r="BLV210" s="412"/>
      <c r="BLW210" s="412"/>
      <c r="BLX210" s="412"/>
      <c r="BLY210" s="412"/>
      <c r="BLZ210" s="412"/>
      <c r="BMA210" s="412"/>
      <c r="BMB210" s="412"/>
      <c r="BMC210" s="412"/>
      <c r="BMD210" s="412"/>
      <c r="BME210" s="412"/>
      <c r="BMF210" s="412"/>
      <c r="BMG210" s="412"/>
      <c r="BMH210" s="412"/>
      <c r="BMI210" s="412"/>
      <c r="BMJ210" s="412"/>
      <c r="BMK210" s="412"/>
      <c r="BML210" s="412"/>
      <c r="BMM210" s="412"/>
      <c r="BMN210" s="412"/>
      <c r="BMO210" s="412"/>
      <c r="BMP210" s="412"/>
      <c r="BMQ210" s="412"/>
      <c r="BMR210" s="412"/>
      <c r="BMS210" s="412"/>
      <c r="BMT210" s="412"/>
      <c r="BMU210" s="412"/>
      <c r="BMV210" s="412"/>
      <c r="BMW210" s="412"/>
      <c r="BMX210" s="412"/>
      <c r="BMY210" s="412"/>
      <c r="BMZ210" s="412"/>
      <c r="BNA210" s="412"/>
      <c r="BNB210" s="412"/>
      <c r="BNC210" s="412"/>
      <c r="BND210" s="412"/>
      <c r="BNE210" s="412"/>
      <c r="BNF210" s="412"/>
      <c r="BNG210" s="412"/>
      <c r="BNH210" s="412"/>
      <c r="BNI210" s="412"/>
      <c r="BNJ210" s="412"/>
      <c r="BNK210" s="412"/>
      <c r="BNL210" s="412"/>
      <c r="BNM210" s="412"/>
      <c r="BNN210" s="412"/>
      <c r="BNO210" s="412"/>
      <c r="BNP210" s="412"/>
      <c r="BNQ210" s="412"/>
      <c r="BNR210" s="412"/>
      <c r="BNS210" s="412"/>
      <c r="BNT210" s="412"/>
      <c r="BNU210" s="412"/>
      <c r="BNV210" s="412"/>
      <c r="BNW210" s="412"/>
      <c r="BNX210" s="412"/>
      <c r="BNY210" s="412"/>
      <c r="BNZ210" s="412"/>
      <c r="BOA210" s="412"/>
      <c r="BOB210" s="412"/>
      <c r="BOC210" s="412"/>
      <c r="BOD210" s="412"/>
      <c r="BOE210" s="412"/>
      <c r="BOF210" s="412"/>
      <c r="BOG210" s="412"/>
      <c r="BOH210" s="412"/>
      <c r="BOI210" s="412"/>
      <c r="BOJ210" s="412"/>
      <c r="BOK210" s="412"/>
      <c r="BOL210" s="412"/>
      <c r="BOM210" s="412"/>
      <c r="BON210" s="412"/>
      <c r="BOO210" s="412"/>
      <c r="BOP210" s="412"/>
      <c r="BOQ210" s="412"/>
      <c r="BOR210" s="412"/>
      <c r="BOS210" s="412"/>
      <c r="BOT210" s="412"/>
      <c r="BOU210" s="412"/>
      <c r="BOV210" s="412"/>
      <c r="BOW210" s="412"/>
      <c r="BOX210" s="412"/>
      <c r="BOY210" s="412"/>
      <c r="BOZ210" s="412"/>
      <c r="BPA210" s="412"/>
      <c r="BPB210" s="412"/>
      <c r="BPC210" s="412"/>
      <c r="BPD210" s="412"/>
      <c r="BPE210" s="412"/>
      <c r="BPF210" s="412"/>
      <c r="BPG210" s="412"/>
      <c r="BPH210" s="412"/>
      <c r="BPI210" s="412"/>
      <c r="BPJ210" s="412"/>
      <c r="BPK210" s="412"/>
      <c r="BPL210" s="412"/>
      <c r="BPM210" s="412"/>
      <c r="BPN210" s="412"/>
      <c r="BPO210" s="412"/>
      <c r="BPP210" s="412"/>
      <c r="BPQ210" s="412"/>
      <c r="BPR210" s="412"/>
      <c r="BPS210" s="412"/>
      <c r="BPT210" s="412"/>
      <c r="BPU210" s="412"/>
      <c r="BPV210" s="412"/>
      <c r="BPW210" s="412"/>
      <c r="BPX210" s="412"/>
      <c r="BPY210" s="412"/>
      <c r="BPZ210" s="412"/>
      <c r="BQA210" s="412"/>
      <c r="BQB210" s="412"/>
      <c r="BQC210" s="412"/>
      <c r="BQD210" s="412"/>
      <c r="BQE210" s="412"/>
      <c r="BQF210" s="412"/>
      <c r="BQG210" s="412"/>
      <c r="BQH210" s="412"/>
      <c r="BQI210" s="412"/>
      <c r="BQJ210" s="412"/>
      <c r="BQK210" s="412"/>
      <c r="BQL210" s="412"/>
      <c r="BQM210" s="412"/>
      <c r="BQN210" s="412"/>
      <c r="BQO210" s="412"/>
      <c r="BQP210" s="412"/>
      <c r="BQQ210" s="412"/>
      <c r="BQR210" s="412"/>
      <c r="BQS210" s="412"/>
      <c r="BQT210" s="412"/>
      <c r="BQU210" s="412"/>
      <c r="BQV210" s="412"/>
      <c r="BQW210" s="412"/>
      <c r="BQX210" s="412"/>
      <c r="BQY210" s="412"/>
      <c r="BQZ210" s="412"/>
      <c r="BRA210" s="412"/>
      <c r="BRB210" s="412"/>
      <c r="BRC210" s="412"/>
      <c r="BRD210" s="412"/>
      <c r="BRE210" s="412"/>
      <c r="BRF210" s="412"/>
      <c r="BRG210" s="412"/>
      <c r="BRH210" s="412"/>
      <c r="BRI210" s="412"/>
      <c r="BRJ210" s="412"/>
      <c r="BRK210" s="412"/>
      <c r="BRL210" s="412"/>
      <c r="BRM210" s="412"/>
      <c r="BRN210" s="412"/>
      <c r="BRO210" s="412"/>
      <c r="BRP210" s="412"/>
      <c r="BRQ210" s="412"/>
      <c r="BRR210" s="412"/>
      <c r="BRS210" s="412"/>
      <c r="BRT210" s="412"/>
      <c r="BRU210" s="412"/>
      <c r="BRV210" s="412"/>
      <c r="BRW210" s="412"/>
      <c r="BRX210" s="412"/>
      <c r="BRY210" s="412"/>
      <c r="BRZ210" s="412"/>
      <c r="BSA210" s="412"/>
      <c r="BSB210" s="412"/>
      <c r="BSC210" s="412"/>
      <c r="BSD210" s="412"/>
      <c r="BSE210" s="412"/>
      <c r="BSF210" s="412"/>
      <c r="BSG210" s="412"/>
      <c r="BSH210" s="412"/>
      <c r="BSI210" s="412"/>
      <c r="BSJ210" s="412"/>
      <c r="BSK210" s="412"/>
      <c r="BSL210" s="412"/>
      <c r="BSM210" s="412"/>
      <c r="BSN210" s="412"/>
      <c r="BSO210" s="412"/>
      <c r="BSP210" s="412"/>
      <c r="BSQ210" s="412"/>
      <c r="BSR210" s="412"/>
      <c r="BSS210" s="412"/>
      <c r="BST210" s="412"/>
      <c r="BSU210" s="412"/>
      <c r="BSV210" s="412"/>
      <c r="BSW210" s="412"/>
      <c r="BSX210" s="412"/>
      <c r="BSY210" s="412"/>
      <c r="BSZ210" s="412"/>
      <c r="BTA210" s="412"/>
      <c r="BTB210" s="412"/>
      <c r="BTC210" s="412"/>
      <c r="BTD210" s="412"/>
      <c r="BTE210" s="412"/>
      <c r="BTF210" s="412"/>
      <c r="BTG210" s="412"/>
      <c r="BTH210" s="412"/>
      <c r="BTI210" s="412"/>
    </row>
    <row r="211" spans="1:1881" s="408" customFormat="1" ht="78.75" customHeight="1" x14ac:dyDescent="0.25">
      <c r="A211" s="189">
        <v>602</v>
      </c>
      <c r="B211" s="151" t="s">
        <v>66</v>
      </c>
      <c r="C211" s="151" t="s">
        <v>603</v>
      </c>
      <c r="D211" s="250" t="s">
        <v>790</v>
      </c>
      <c r="E211" s="32" t="e">
        <f>HLOOKUP($D$2,'2019 Data(H)'!$C$1:$CG$300,262,FALSE)</f>
        <v>#N/A</v>
      </c>
      <c r="F211" s="609"/>
      <c r="G211" s="581" t="str">
        <f>IF(ISBLANK(F211),"Please do not leave blank","")</f>
        <v>Please do not leave blank</v>
      </c>
      <c r="H211" s="366">
        <f>IF(F211&lt;0,"Note: Number is normally positive.",)</f>
        <v>0</v>
      </c>
      <c r="I211" s="31"/>
      <c r="J211" s="368"/>
      <c r="K211" s="412"/>
      <c r="L211" s="412"/>
      <c r="M211" s="412"/>
      <c r="N211"/>
      <c r="O211" s="412"/>
      <c r="P211" s="412"/>
      <c r="Q211" s="412"/>
      <c r="R211" s="412"/>
      <c r="S211" s="412"/>
      <c r="T211" s="412"/>
      <c r="U211" s="412"/>
      <c r="V211" s="412"/>
      <c r="W211" s="412"/>
      <c r="X211" s="412"/>
      <c r="Y211" s="412"/>
      <c r="Z211" s="412"/>
      <c r="AA211" s="412"/>
      <c r="AB211" s="412"/>
      <c r="AC211" s="412"/>
      <c r="AD211" s="412"/>
      <c r="AE211" s="412"/>
      <c r="AF211" s="412"/>
      <c r="AG211" s="412"/>
      <c r="AH211" s="412"/>
      <c r="AI211" s="412"/>
      <c r="AJ211" s="412"/>
      <c r="AK211" s="412"/>
      <c r="AL211" s="412"/>
      <c r="AM211" s="412"/>
      <c r="AN211" s="412"/>
      <c r="AO211" s="412"/>
      <c r="AP211" s="412"/>
      <c r="AQ211" s="412"/>
      <c r="AR211" s="412"/>
      <c r="AS211" s="412"/>
      <c r="AT211" s="412"/>
      <c r="AU211" s="412"/>
      <c r="AV211" s="412"/>
      <c r="AW211" s="412"/>
      <c r="AX211" s="412"/>
      <c r="AY211" s="412"/>
      <c r="AZ211" s="412"/>
      <c r="BA211" s="412"/>
      <c r="BB211" s="412"/>
      <c r="BC211" s="412"/>
      <c r="BD211" s="412"/>
      <c r="BE211" s="412"/>
      <c r="BF211" s="412"/>
      <c r="BG211" s="412"/>
      <c r="BH211" s="412"/>
      <c r="BI211" s="412"/>
      <c r="BJ211" s="412"/>
      <c r="BK211" s="412"/>
      <c r="BL211" s="412"/>
      <c r="BM211" s="412"/>
      <c r="BN211" s="412"/>
      <c r="BO211" s="412"/>
      <c r="BP211" s="412"/>
      <c r="BQ211" s="412"/>
      <c r="BR211" s="412"/>
      <c r="BS211" s="412"/>
      <c r="BT211" s="412"/>
      <c r="BU211" s="412"/>
      <c r="BV211" s="412"/>
      <c r="BW211" s="412"/>
      <c r="BX211" s="412"/>
      <c r="BY211" s="412"/>
      <c r="BZ211" s="412"/>
      <c r="CA211" s="412"/>
      <c r="CB211" s="412"/>
      <c r="CC211" s="412"/>
      <c r="CD211" s="412"/>
      <c r="CE211" s="412"/>
      <c r="CF211" s="412"/>
      <c r="CG211" s="412"/>
      <c r="CH211" s="412"/>
      <c r="CI211" s="412"/>
      <c r="CJ211" s="412"/>
      <c r="CK211" s="412"/>
      <c r="CL211" s="412"/>
      <c r="CM211" s="412"/>
      <c r="CN211" s="412"/>
      <c r="CO211" s="412"/>
      <c r="CP211" s="412"/>
      <c r="CQ211" s="412"/>
      <c r="CR211" s="412"/>
      <c r="CS211" s="412"/>
      <c r="CT211" s="412"/>
      <c r="CU211" s="412"/>
      <c r="CV211" s="412"/>
      <c r="CW211" s="412"/>
      <c r="CX211" s="412"/>
      <c r="CY211" s="412"/>
      <c r="CZ211" s="412"/>
      <c r="DA211" s="412"/>
      <c r="DB211" s="412"/>
      <c r="DC211" s="412"/>
      <c r="DD211" s="412"/>
      <c r="DE211" s="412"/>
      <c r="DF211" s="412"/>
      <c r="DG211" s="412"/>
      <c r="DH211" s="412"/>
      <c r="DI211" s="412"/>
      <c r="DJ211" s="412"/>
      <c r="DK211" s="412"/>
      <c r="DL211" s="412"/>
      <c r="DM211" s="412"/>
      <c r="DN211" s="412"/>
      <c r="DO211" s="412"/>
      <c r="DP211" s="412"/>
      <c r="DQ211" s="412"/>
      <c r="DR211" s="412"/>
      <c r="DS211" s="412"/>
      <c r="DT211" s="412"/>
      <c r="DU211" s="412"/>
      <c r="DV211" s="412"/>
      <c r="DW211" s="412"/>
      <c r="DX211" s="412"/>
      <c r="DY211" s="412"/>
      <c r="DZ211" s="412"/>
      <c r="EA211" s="412"/>
      <c r="EB211" s="412"/>
      <c r="EC211" s="412"/>
      <c r="ED211" s="412"/>
      <c r="EE211" s="412"/>
      <c r="EF211" s="412"/>
      <c r="EG211" s="412"/>
      <c r="EH211" s="412"/>
      <c r="EI211" s="412"/>
      <c r="EJ211" s="412"/>
      <c r="EK211" s="412"/>
      <c r="EL211" s="412"/>
      <c r="EM211" s="412"/>
      <c r="EN211" s="412"/>
      <c r="EO211" s="412"/>
      <c r="EP211" s="412"/>
      <c r="EQ211" s="412"/>
      <c r="ER211" s="412"/>
      <c r="ES211" s="412"/>
      <c r="ET211" s="412"/>
      <c r="EU211" s="412"/>
      <c r="EV211" s="412"/>
      <c r="EW211" s="412"/>
      <c r="EX211" s="412"/>
      <c r="EY211" s="412"/>
      <c r="EZ211" s="412"/>
      <c r="FA211" s="412"/>
      <c r="FB211" s="412"/>
      <c r="FC211" s="412"/>
      <c r="FD211" s="412"/>
      <c r="FE211" s="412"/>
      <c r="FF211" s="412"/>
      <c r="FG211" s="412"/>
      <c r="FH211" s="412"/>
      <c r="FI211" s="412"/>
      <c r="FJ211" s="412"/>
      <c r="FK211" s="412"/>
      <c r="FL211" s="412"/>
      <c r="FM211" s="412"/>
      <c r="FN211" s="412"/>
      <c r="FO211" s="412"/>
      <c r="FP211" s="412"/>
      <c r="FQ211" s="412"/>
      <c r="FR211" s="412"/>
      <c r="FS211" s="412"/>
      <c r="FT211" s="412"/>
      <c r="FU211" s="412"/>
      <c r="FV211" s="412"/>
      <c r="FW211" s="412"/>
      <c r="FX211" s="412"/>
      <c r="FY211" s="412"/>
      <c r="FZ211" s="412"/>
      <c r="GA211" s="412"/>
      <c r="GB211" s="412"/>
      <c r="GC211" s="412"/>
      <c r="GD211" s="412"/>
      <c r="GE211" s="412"/>
      <c r="GF211" s="412"/>
      <c r="GG211" s="412"/>
      <c r="GH211" s="412"/>
      <c r="GI211" s="412"/>
      <c r="GJ211" s="412"/>
      <c r="GK211" s="412"/>
      <c r="GL211" s="412"/>
      <c r="GM211" s="412"/>
      <c r="GN211" s="412"/>
      <c r="GO211" s="412"/>
      <c r="GP211" s="412"/>
      <c r="GQ211" s="412"/>
      <c r="GR211" s="412"/>
      <c r="GS211" s="412"/>
      <c r="GT211" s="412"/>
      <c r="GU211" s="412"/>
      <c r="GV211" s="412"/>
      <c r="GW211" s="412"/>
      <c r="GX211" s="412"/>
      <c r="GY211" s="412"/>
      <c r="GZ211" s="412"/>
      <c r="HA211" s="412"/>
      <c r="HB211" s="412"/>
      <c r="HC211" s="412"/>
      <c r="HD211" s="412"/>
      <c r="HE211" s="412"/>
      <c r="HF211" s="412"/>
      <c r="HG211" s="412"/>
      <c r="HH211" s="412"/>
      <c r="HI211" s="412"/>
      <c r="HJ211" s="412"/>
      <c r="HK211" s="412"/>
      <c r="HL211" s="412"/>
      <c r="HM211" s="412"/>
      <c r="HN211" s="412"/>
      <c r="HO211" s="412"/>
      <c r="HP211" s="412"/>
      <c r="HQ211" s="412"/>
      <c r="HR211" s="412"/>
      <c r="HS211" s="412"/>
      <c r="HT211" s="412"/>
      <c r="HU211" s="412"/>
      <c r="HV211" s="412"/>
      <c r="HW211" s="412"/>
      <c r="HX211" s="412"/>
      <c r="HY211" s="412"/>
      <c r="HZ211" s="412"/>
      <c r="IA211" s="412"/>
      <c r="IB211" s="412"/>
      <c r="IC211" s="412"/>
      <c r="ID211" s="412"/>
      <c r="IE211" s="412"/>
      <c r="IF211" s="412"/>
      <c r="IG211" s="412"/>
      <c r="IH211" s="412"/>
      <c r="II211" s="412"/>
      <c r="IJ211" s="412"/>
      <c r="IK211" s="412"/>
      <c r="IL211" s="412"/>
      <c r="IM211" s="412"/>
      <c r="IN211" s="412"/>
      <c r="IO211" s="412"/>
      <c r="IP211" s="412"/>
      <c r="IQ211" s="412"/>
      <c r="IR211" s="412"/>
      <c r="IS211" s="412"/>
      <c r="IT211" s="412"/>
      <c r="IU211" s="412"/>
      <c r="IV211" s="412"/>
      <c r="IW211" s="412"/>
      <c r="IX211" s="412"/>
      <c r="IY211" s="412"/>
      <c r="IZ211" s="412"/>
      <c r="JA211" s="412"/>
      <c r="JB211" s="412"/>
      <c r="JC211" s="412"/>
      <c r="JD211" s="412"/>
      <c r="JE211" s="412"/>
      <c r="JF211" s="412"/>
      <c r="JG211" s="412"/>
      <c r="JH211" s="412"/>
      <c r="JI211" s="412"/>
      <c r="JJ211" s="412"/>
      <c r="JK211" s="412"/>
      <c r="JL211" s="412"/>
      <c r="JM211" s="412"/>
      <c r="JN211" s="412"/>
      <c r="JO211" s="412"/>
      <c r="JP211" s="412"/>
      <c r="JQ211" s="412"/>
      <c r="JR211" s="412"/>
      <c r="JS211" s="412"/>
      <c r="JT211" s="412"/>
      <c r="JU211" s="412"/>
      <c r="JV211" s="412"/>
      <c r="JW211" s="412"/>
      <c r="JX211" s="412"/>
      <c r="JY211" s="412"/>
      <c r="JZ211" s="412"/>
      <c r="KA211" s="412"/>
      <c r="KB211" s="412"/>
      <c r="KC211" s="412"/>
      <c r="KD211" s="412"/>
      <c r="KE211" s="412"/>
      <c r="KF211" s="412"/>
      <c r="KG211" s="412"/>
      <c r="KH211" s="412"/>
      <c r="KI211" s="412"/>
      <c r="KJ211" s="412"/>
      <c r="KK211" s="412"/>
      <c r="KL211" s="412"/>
      <c r="KM211" s="412"/>
      <c r="KN211" s="412"/>
      <c r="KO211" s="412"/>
      <c r="KP211" s="412"/>
      <c r="KQ211" s="412"/>
      <c r="KR211" s="412"/>
      <c r="KS211" s="412"/>
      <c r="KT211" s="412"/>
      <c r="KU211" s="412"/>
      <c r="KV211" s="412"/>
      <c r="KW211" s="412"/>
      <c r="KX211" s="412"/>
      <c r="KY211" s="412"/>
      <c r="KZ211" s="412"/>
      <c r="LA211" s="412"/>
      <c r="LB211" s="412"/>
      <c r="LC211" s="412"/>
      <c r="LD211" s="412"/>
      <c r="LE211" s="412"/>
      <c r="LF211" s="412"/>
      <c r="LG211" s="412"/>
      <c r="LH211" s="412"/>
      <c r="LI211" s="412"/>
      <c r="LJ211" s="412"/>
      <c r="LK211" s="412"/>
      <c r="LL211" s="412"/>
      <c r="LM211" s="412"/>
      <c r="LN211" s="412"/>
      <c r="LO211" s="412"/>
      <c r="LP211" s="412"/>
      <c r="LQ211" s="412"/>
      <c r="LR211" s="412"/>
      <c r="LS211" s="412"/>
      <c r="LT211" s="412"/>
      <c r="LU211" s="412"/>
      <c r="LV211" s="412"/>
      <c r="LW211" s="412"/>
      <c r="LX211" s="412"/>
      <c r="LY211" s="412"/>
      <c r="LZ211" s="412"/>
      <c r="MA211" s="412"/>
      <c r="MB211" s="412"/>
      <c r="MC211" s="412"/>
      <c r="MD211" s="412"/>
      <c r="ME211" s="412"/>
      <c r="MF211" s="412"/>
      <c r="MG211" s="412"/>
      <c r="MH211" s="412"/>
      <c r="MI211" s="412"/>
      <c r="MJ211" s="412"/>
      <c r="MK211" s="412"/>
      <c r="ML211" s="412"/>
      <c r="MM211" s="412"/>
      <c r="MN211" s="412"/>
      <c r="MO211" s="412"/>
      <c r="MP211" s="412"/>
      <c r="MQ211" s="412"/>
      <c r="MR211" s="412"/>
      <c r="MS211" s="412"/>
      <c r="MT211" s="412"/>
      <c r="MU211" s="412"/>
      <c r="MV211" s="412"/>
      <c r="MW211" s="412"/>
      <c r="MX211" s="412"/>
      <c r="MY211" s="412"/>
      <c r="MZ211" s="412"/>
      <c r="NA211" s="412"/>
      <c r="NB211" s="412"/>
      <c r="NC211" s="412"/>
      <c r="ND211" s="412"/>
      <c r="NE211" s="412"/>
      <c r="NF211" s="412"/>
      <c r="NG211" s="412"/>
      <c r="NH211" s="412"/>
      <c r="NI211" s="412"/>
      <c r="NJ211" s="412"/>
      <c r="NK211" s="412"/>
      <c r="NL211" s="412"/>
      <c r="NM211" s="412"/>
      <c r="NN211" s="412"/>
      <c r="NO211" s="412"/>
      <c r="NP211" s="412"/>
      <c r="NQ211" s="412"/>
      <c r="NR211" s="412"/>
      <c r="NS211" s="412"/>
      <c r="NT211" s="412"/>
      <c r="NU211" s="412"/>
      <c r="NV211" s="412"/>
      <c r="NW211" s="412"/>
      <c r="NX211" s="412"/>
      <c r="NY211" s="412"/>
      <c r="NZ211" s="412"/>
      <c r="OA211" s="412"/>
      <c r="OB211" s="412"/>
      <c r="OC211" s="412"/>
      <c r="OD211" s="412"/>
      <c r="OE211" s="412"/>
      <c r="OF211" s="412"/>
      <c r="OG211" s="412"/>
      <c r="OH211" s="412"/>
      <c r="OI211" s="412"/>
      <c r="OJ211" s="412"/>
      <c r="OK211" s="412"/>
      <c r="OL211" s="412"/>
      <c r="OM211" s="412"/>
      <c r="ON211" s="412"/>
      <c r="OO211" s="412"/>
      <c r="OP211" s="412"/>
      <c r="OQ211" s="412"/>
      <c r="OR211" s="412"/>
      <c r="OS211" s="412"/>
      <c r="OT211" s="412"/>
      <c r="OU211" s="412"/>
      <c r="OV211" s="412"/>
      <c r="OW211" s="412"/>
      <c r="OX211" s="412"/>
      <c r="OY211" s="412"/>
      <c r="OZ211" s="412"/>
      <c r="PA211" s="412"/>
      <c r="PB211" s="412"/>
      <c r="PC211" s="412"/>
      <c r="PD211" s="412"/>
      <c r="PE211" s="412"/>
      <c r="PF211" s="412"/>
      <c r="PG211" s="412"/>
      <c r="PH211" s="412"/>
      <c r="PI211" s="412"/>
      <c r="PJ211" s="412"/>
      <c r="PK211" s="412"/>
      <c r="PL211" s="412"/>
      <c r="PM211" s="412"/>
      <c r="PN211" s="412"/>
      <c r="PO211" s="412"/>
      <c r="PP211" s="412"/>
      <c r="PQ211" s="412"/>
      <c r="PR211" s="412"/>
      <c r="PS211" s="412"/>
      <c r="PT211" s="412"/>
      <c r="PU211" s="412"/>
      <c r="PV211" s="412"/>
      <c r="PW211" s="412"/>
      <c r="PX211" s="412"/>
      <c r="PY211" s="412"/>
      <c r="PZ211" s="412"/>
      <c r="QA211" s="412"/>
      <c r="QB211" s="412"/>
      <c r="QC211" s="412"/>
      <c r="QD211" s="412"/>
      <c r="QE211" s="412"/>
      <c r="QF211" s="412"/>
      <c r="QG211" s="412"/>
      <c r="QH211" s="412"/>
      <c r="QI211" s="412"/>
      <c r="QJ211" s="412"/>
      <c r="QK211" s="412"/>
      <c r="QL211" s="412"/>
      <c r="QM211" s="412"/>
      <c r="QN211" s="412"/>
      <c r="QO211" s="412"/>
      <c r="QP211" s="412"/>
      <c r="QQ211" s="412"/>
      <c r="QR211" s="412"/>
      <c r="QS211" s="412"/>
      <c r="QT211" s="412"/>
      <c r="QU211" s="412"/>
      <c r="QV211" s="412"/>
      <c r="QW211" s="412"/>
      <c r="QX211" s="412"/>
      <c r="QY211" s="412"/>
      <c r="QZ211" s="412"/>
      <c r="RA211" s="412"/>
      <c r="RB211" s="412"/>
      <c r="RC211" s="412"/>
      <c r="RD211" s="412"/>
      <c r="RE211" s="412"/>
      <c r="RF211" s="412"/>
      <c r="RG211" s="412"/>
      <c r="RH211" s="412"/>
      <c r="RI211" s="412"/>
      <c r="RJ211" s="412"/>
      <c r="RK211" s="412"/>
      <c r="RL211" s="412"/>
      <c r="RM211" s="412"/>
      <c r="RN211" s="412"/>
      <c r="RO211" s="412"/>
      <c r="RP211" s="412"/>
      <c r="RQ211" s="412"/>
      <c r="RR211" s="412"/>
      <c r="RS211" s="412"/>
      <c r="RT211" s="412"/>
      <c r="RU211" s="412"/>
      <c r="RV211" s="412"/>
      <c r="RW211" s="412"/>
      <c r="RX211" s="412"/>
      <c r="RY211" s="412"/>
      <c r="RZ211" s="412"/>
      <c r="SA211" s="412"/>
      <c r="SB211" s="412"/>
      <c r="SC211" s="412"/>
      <c r="SD211" s="412"/>
      <c r="SE211" s="412"/>
      <c r="SF211" s="412"/>
      <c r="SG211" s="412"/>
      <c r="SH211" s="412"/>
      <c r="SI211" s="412"/>
      <c r="SJ211" s="412"/>
      <c r="SK211" s="412"/>
      <c r="SL211" s="412"/>
      <c r="SM211" s="412"/>
      <c r="SN211" s="412"/>
      <c r="SO211" s="412"/>
      <c r="SP211" s="412"/>
      <c r="SQ211" s="412"/>
      <c r="SR211" s="412"/>
      <c r="SS211" s="412"/>
      <c r="ST211" s="412"/>
      <c r="SU211" s="412"/>
      <c r="SV211" s="412"/>
      <c r="SW211" s="412"/>
      <c r="SX211" s="412"/>
      <c r="SY211" s="412"/>
      <c r="SZ211" s="412"/>
      <c r="TA211" s="412"/>
      <c r="TB211" s="412"/>
      <c r="TC211" s="412"/>
      <c r="TD211" s="412"/>
      <c r="TE211" s="412"/>
      <c r="TF211" s="412"/>
      <c r="TG211" s="412"/>
      <c r="TH211" s="412"/>
      <c r="TI211" s="412"/>
      <c r="TJ211" s="412"/>
      <c r="TK211" s="412"/>
      <c r="TL211" s="412"/>
      <c r="TM211" s="412"/>
      <c r="TN211" s="412"/>
      <c r="TO211" s="412"/>
      <c r="TP211" s="412"/>
      <c r="TQ211" s="412"/>
      <c r="TR211" s="412"/>
      <c r="TS211" s="412"/>
      <c r="TT211" s="412"/>
      <c r="TU211" s="412"/>
      <c r="TV211" s="412"/>
      <c r="TW211" s="412"/>
      <c r="TX211" s="412"/>
      <c r="TY211" s="412"/>
      <c r="TZ211" s="412"/>
      <c r="UA211" s="412"/>
      <c r="UB211" s="412"/>
      <c r="UC211" s="412"/>
      <c r="UD211" s="412"/>
      <c r="UE211" s="412"/>
      <c r="UF211" s="412"/>
      <c r="UG211" s="412"/>
      <c r="UH211" s="412"/>
      <c r="UI211" s="412"/>
      <c r="UJ211" s="412"/>
      <c r="UK211" s="412"/>
      <c r="UL211" s="412"/>
      <c r="UM211" s="412"/>
      <c r="UN211" s="412"/>
      <c r="UO211" s="412"/>
      <c r="UP211" s="412"/>
      <c r="UQ211" s="412"/>
      <c r="UR211" s="412"/>
      <c r="US211" s="412"/>
      <c r="UT211" s="412"/>
      <c r="UU211" s="412"/>
      <c r="UV211" s="412"/>
      <c r="UW211" s="412"/>
      <c r="UX211" s="412"/>
      <c r="UY211" s="412"/>
      <c r="UZ211" s="412"/>
      <c r="VA211" s="412"/>
      <c r="VB211" s="412"/>
      <c r="VC211" s="412"/>
      <c r="VD211" s="412"/>
      <c r="VE211" s="412"/>
      <c r="VF211" s="412"/>
      <c r="VG211" s="412"/>
      <c r="VH211" s="412"/>
      <c r="VI211" s="412"/>
      <c r="VJ211" s="412"/>
      <c r="VK211" s="412"/>
      <c r="VL211" s="412"/>
      <c r="VM211" s="412"/>
      <c r="VN211" s="412"/>
      <c r="VO211" s="412"/>
      <c r="VP211" s="412"/>
      <c r="VQ211" s="412"/>
      <c r="VR211" s="412"/>
      <c r="VS211" s="412"/>
      <c r="VT211" s="412"/>
      <c r="VU211" s="412"/>
      <c r="VV211" s="412"/>
      <c r="VW211" s="412"/>
      <c r="VX211" s="412"/>
      <c r="VY211" s="412"/>
      <c r="VZ211" s="412"/>
      <c r="WA211" s="412"/>
      <c r="WB211" s="412"/>
      <c r="WC211" s="412"/>
      <c r="WD211" s="412"/>
      <c r="WE211" s="412"/>
      <c r="WF211" s="412"/>
      <c r="WG211" s="412"/>
      <c r="WH211" s="412"/>
      <c r="WI211" s="412"/>
      <c r="WJ211" s="412"/>
      <c r="WK211" s="412"/>
      <c r="WL211" s="412"/>
      <c r="WM211" s="412"/>
      <c r="WN211" s="412"/>
      <c r="WO211" s="412"/>
      <c r="WP211" s="412"/>
      <c r="WQ211" s="412"/>
      <c r="WR211" s="412"/>
      <c r="WS211" s="412"/>
      <c r="WT211" s="412"/>
      <c r="WU211" s="412"/>
      <c r="WV211" s="412"/>
      <c r="WW211" s="412"/>
      <c r="WX211" s="412"/>
      <c r="WY211" s="412"/>
      <c r="WZ211" s="412"/>
      <c r="XA211" s="412"/>
      <c r="XB211" s="412"/>
      <c r="XC211" s="412"/>
      <c r="XD211" s="412"/>
      <c r="XE211" s="412"/>
      <c r="XF211" s="412"/>
      <c r="XG211" s="412"/>
      <c r="XH211" s="412"/>
      <c r="XI211" s="412"/>
      <c r="XJ211" s="412"/>
      <c r="XK211" s="412"/>
      <c r="XL211" s="412"/>
      <c r="XM211" s="412"/>
      <c r="XN211" s="412"/>
      <c r="XO211" s="412"/>
      <c r="XP211" s="412"/>
      <c r="XQ211" s="412"/>
      <c r="XR211" s="412"/>
      <c r="XS211" s="412"/>
      <c r="XT211" s="412"/>
      <c r="XU211" s="412"/>
      <c r="XV211" s="412"/>
      <c r="XW211" s="412"/>
      <c r="XX211" s="412"/>
      <c r="XY211" s="412"/>
      <c r="XZ211" s="412"/>
      <c r="YA211" s="412"/>
      <c r="YB211" s="412"/>
      <c r="YC211" s="412"/>
      <c r="YD211" s="412"/>
      <c r="YE211" s="412"/>
      <c r="YF211" s="412"/>
      <c r="YG211" s="412"/>
      <c r="YH211" s="412"/>
      <c r="YI211" s="412"/>
      <c r="YJ211" s="412"/>
      <c r="YK211" s="412"/>
      <c r="YL211" s="412"/>
      <c r="YM211" s="412"/>
      <c r="YN211" s="412"/>
      <c r="YO211" s="412"/>
      <c r="YP211" s="412"/>
      <c r="YQ211" s="412"/>
      <c r="YR211" s="412"/>
      <c r="YS211" s="412"/>
      <c r="YT211" s="412"/>
      <c r="YU211" s="412"/>
      <c r="YV211" s="412"/>
      <c r="YW211" s="412"/>
      <c r="YX211" s="412"/>
      <c r="YY211" s="412"/>
      <c r="YZ211" s="412"/>
      <c r="ZA211" s="412"/>
      <c r="ZB211" s="412"/>
      <c r="ZC211" s="412"/>
      <c r="ZD211" s="412"/>
      <c r="ZE211" s="412"/>
      <c r="ZF211" s="412"/>
      <c r="ZG211" s="412"/>
      <c r="ZH211" s="412"/>
      <c r="ZI211" s="412"/>
      <c r="ZJ211" s="412"/>
      <c r="ZK211" s="412"/>
      <c r="ZL211" s="412"/>
      <c r="ZM211" s="412"/>
      <c r="ZN211" s="412"/>
      <c r="ZO211" s="412"/>
      <c r="ZP211" s="412"/>
      <c r="ZQ211" s="412"/>
      <c r="ZR211" s="412"/>
      <c r="ZS211" s="412"/>
      <c r="ZT211" s="412"/>
      <c r="ZU211" s="412"/>
      <c r="ZV211" s="412"/>
      <c r="ZW211" s="412"/>
      <c r="ZX211" s="412"/>
      <c r="ZY211" s="412"/>
      <c r="ZZ211" s="412"/>
      <c r="AAA211" s="412"/>
      <c r="AAB211" s="412"/>
      <c r="AAC211" s="412"/>
      <c r="AAD211" s="412"/>
      <c r="AAE211" s="412"/>
      <c r="AAF211" s="412"/>
      <c r="AAG211" s="412"/>
      <c r="AAH211" s="412"/>
      <c r="AAI211" s="412"/>
      <c r="AAJ211" s="412"/>
      <c r="AAK211" s="412"/>
      <c r="AAL211" s="412"/>
      <c r="AAM211" s="412"/>
      <c r="AAN211" s="412"/>
      <c r="AAO211" s="412"/>
      <c r="AAP211" s="412"/>
      <c r="AAQ211" s="412"/>
      <c r="AAR211" s="412"/>
      <c r="AAS211" s="412"/>
      <c r="AAT211" s="412"/>
      <c r="AAU211" s="412"/>
      <c r="AAV211" s="412"/>
      <c r="AAW211" s="412"/>
      <c r="AAX211" s="412"/>
      <c r="AAY211" s="412"/>
      <c r="AAZ211" s="412"/>
      <c r="ABA211" s="412"/>
      <c r="ABB211" s="412"/>
      <c r="ABC211" s="412"/>
      <c r="ABD211" s="412"/>
      <c r="ABE211" s="412"/>
      <c r="ABF211" s="412"/>
      <c r="ABG211" s="412"/>
      <c r="ABH211" s="412"/>
      <c r="ABI211" s="412"/>
      <c r="ABJ211" s="412"/>
      <c r="ABK211" s="412"/>
      <c r="ABL211" s="412"/>
      <c r="ABM211" s="412"/>
      <c r="ABN211" s="412"/>
      <c r="ABO211" s="412"/>
      <c r="ABP211" s="412"/>
      <c r="ABQ211" s="412"/>
      <c r="ABR211" s="412"/>
      <c r="ABS211" s="412"/>
      <c r="ABT211" s="412"/>
      <c r="ABU211" s="412"/>
      <c r="ABV211" s="412"/>
      <c r="ABW211" s="412"/>
      <c r="ABX211" s="412"/>
      <c r="ABY211" s="412"/>
      <c r="ABZ211" s="412"/>
      <c r="ACA211" s="412"/>
      <c r="ACB211" s="412"/>
      <c r="ACC211" s="412"/>
      <c r="ACD211" s="412"/>
      <c r="ACE211" s="412"/>
      <c r="ACF211" s="412"/>
      <c r="ACG211" s="412"/>
      <c r="ACH211" s="412"/>
      <c r="ACI211" s="412"/>
      <c r="ACJ211" s="412"/>
      <c r="ACK211" s="412"/>
      <c r="ACL211" s="412"/>
      <c r="ACM211" s="412"/>
      <c r="ACN211" s="412"/>
      <c r="ACO211" s="412"/>
      <c r="ACP211" s="412"/>
      <c r="ACQ211" s="412"/>
      <c r="ACR211" s="412"/>
      <c r="ACS211" s="412"/>
      <c r="ACT211" s="412"/>
      <c r="ACU211" s="412"/>
      <c r="ACV211" s="412"/>
      <c r="ACW211" s="412"/>
      <c r="ACX211" s="412"/>
      <c r="ACY211" s="412"/>
      <c r="ACZ211" s="412"/>
      <c r="ADA211" s="412"/>
      <c r="ADB211" s="412"/>
      <c r="ADC211" s="412"/>
      <c r="ADD211" s="412"/>
      <c r="ADE211" s="412"/>
      <c r="ADF211" s="412"/>
      <c r="ADG211" s="412"/>
      <c r="ADH211" s="412"/>
      <c r="ADI211" s="412"/>
      <c r="ADJ211" s="412"/>
      <c r="ADK211" s="412"/>
      <c r="ADL211" s="412"/>
      <c r="ADM211" s="412"/>
      <c r="ADN211" s="412"/>
      <c r="ADO211" s="412"/>
      <c r="ADP211" s="412"/>
      <c r="ADQ211" s="412"/>
      <c r="ADR211" s="412"/>
      <c r="ADS211" s="412"/>
      <c r="ADT211" s="412"/>
      <c r="ADU211" s="412"/>
      <c r="ADV211" s="412"/>
      <c r="ADW211" s="412"/>
      <c r="ADX211" s="412"/>
      <c r="ADY211" s="412"/>
      <c r="ADZ211" s="412"/>
      <c r="AEA211" s="412"/>
      <c r="AEB211" s="412"/>
      <c r="AEC211" s="412"/>
      <c r="AED211" s="412"/>
      <c r="AEE211" s="412"/>
      <c r="AEF211" s="412"/>
      <c r="AEG211" s="412"/>
      <c r="AEH211" s="412"/>
      <c r="AEI211" s="412"/>
      <c r="AEJ211" s="412"/>
      <c r="AEK211" s="412"/>
      <c r="AEL211" s="412"/>
      <c r="AEM211" s="412"/>
      <c r="AEN211" s="412"/>
      <c r="AEO211" s="412"/>
      <c r="AEP211" s="412"/>
      <c r="AEQ211" s="412"/>
      <c r="AER211" s="412"/>
      <c r="AES211" s="412"/>
      <c r="AET211" s="412"/>
      <c r="AEU211" s="412"/>
      <c r="AEV211" s="412"/>
      <c r="AEW211" s="412"/>
      <c r="AEX211" s="412"/>
      <c r="AEY211" s="412"/>
      <c r="AEZ211" s="412"/>
      <c r="AFA211" s="412"/>
      <c r="AFB211" s="412"/>
      <c r="AFC211" s="412"/>
      <c r="AFD211" s="412"/>
      <c r="AFE211" s="412"/>
      <c r="AFF211" s="412"/>
      <c r="AFG211" s="412"/>
      <c r="AFH211" s="412"/>
      <c r="AFI211" s="412"/>
      <c r="AFJ211" s="412"/>
      <c r="AFK211" s="412"/>
      <c r="AFL211" s="412"/>
      <c r="AFM211" s="412"/>
      <c r="AFN211" s="412"/>
      <c r="AFO211" s="412"/>
      <c r="AFP211" s="412"/>
      <c r="AFQ211" s="412"/>
      <c r="AFR211" s="412"/>
      <c r="AFS211" s="412"/>
      <c r="AFT211" s="412"/>
      <c r="AFU211" s="412"/>
      <c r="AFV211" s="412"/>
      <c r="AFW211" s="412"/>
      <c r="AFX211" s="412"/>
      <c r="AFY211" s="412"/>
      <c r="AFZ211" s="412"/>
      <c r="AGA211" s="412"/>
      <c r="AGB211" s="412"/>
      <c r="AGC211" s="412"/>
      <c r="AGD211" s="412"/>
      <c r="AGE211" s="412"/>
      <c r="AGF211" s="412"/>
      <c r="AGG211" s="412"/>
      <c r="AGH211" s="412"/>
      <c r="AGI211" s="412"/>
      <c r="AGJ211" s="412"/>
      <c r="AGK211" s="412"/>
      <c r="AGL211" s="412"/>
      <c r="AGM211" s="412"/>
      <c r="AGN211" s="412"/>
      <c r="AGO211" s="412"/>
      <c r="AGP211" s="412"/>
      <c r="AGQ211" s="412"/>
      <c r="AGR211" s="412"/>
      <c r="AGS211" s="412"/>
      <c r="AGT211" s="412"/>
      <c r="AGU211" s="412"/>
      <c r="AGV211" s="412"/>
      <c r="AGW211" s="412"/>
      <c r="AGX211" s="412"/>
      <c r="AGY211" s="412"/>
      <c r="AGZ211" s="412"/>
      <c r="AHA211" s="412"/>
      <c r="AHB211" s="412"/>
      <c r="AHC211" s="412"/>
      <c r="AHD211" s="412"/>
      <c r="AHE211" s="412"/>
      <c r="AHF211" s="412"/>
      <c r="AHG211" s="412"/>
      <c r="AHH211" s="412"/>
      <c r="AHI211" s="412"/>
      <c r="AHJ211" s="412"/>
      <c r="AHK211" s="412"/>
      <c r="AHL211" s="412"/>
      <c r="AHM211" s="412"/>
      <c r="AHN211" s="412"/>
      <c r="AHO211" s="412"/>
      <c r="AHP211" s="412"/>
      <c r="AHQ211" s="412"/>
      <c r="AHR211" s="412"/>
      <c r="AHS211" s="412"/>
      <c r="AHT211" s="412"/>
      <c r="AHU211" s="412"/>
      <c r="AHV211" s="412"/>
      <c r="AHW211" s="412"/>
      <c r="AHX211" s="412"/>
      <c r="AHY211" s="412"/>
      <c r="AHZ211" s="412"/>
      <c r="AIA211" s="412"/>
      <c r="AIB211" s="412"/>
      <c r="AIC211" s="412"/>
      <c r="AID211" s="412"/>
      <c r="AIE211" s="412"/>
      <c r="AIF211" s="412"/>
      <c r="AIG211" s="412"/>
      <c r="AIH211" s="412"/>
      <c r="AII211" s="412"/>
      <c r="AIJ211" s="412"/>
      <c r="AIK211" s="412"/>
      <c r="AIL211" s="412"/>
      <c r="AIM211" s="412"/>
      <c r="AIN211" s="412"/>
      <c r="AIO211" s="412"/>
      <c r="AIP211" s="412"/>
      <c r="AIQ211" s="412"/>
      <c r="AIR211" s="412"/>
      <c r="AIS211" s="412"/>
      <c r="AIT211" s="412"/>
      <c r="AIU211" s="412"/>
      <c r="AIV211" s="412"/>
      <c r="AIW211" s="412"/>
      <c r="AIX211" s="412"/>
      <c r="AIY211" s="412"/>
      <c r="AIZ211" s="412"/>
      <c r="AJA211" s="412"/>
      <c r="AJB211" s="412"/>
      <c r="AJC211" s="412"/>
      <c r="AJD211" s="412"/>
      <c r="AJE211" s="412"/>
      <c r="AJF211" s="412"/>
      <c r="AJG211" s="412"/>
      <c r="AJH211" s="412"/>
      <c r="AJI211" s="412"/>
      <c r="AJJ211" s="412"/>
      <c r="AJK211" s="412"/>
      <c r="AJL211" s="412"/>
      <c r="AJM211" s="412"/>
      <c r="AJN211" s="412"/>
      <c r="AJO211" s="412"/>
      <c r="AJP211" s="412"/>
      <c r="AJQ211" s="412"/>
      <c r="AJR211" s="412"/>
      <c r="AJS211" s="412"/>
      <c r="AJT211" s="412"/>
      <c r="AJU211" s="412"/>
      <c r="AJV211" s="412"/>
      <c r="AJW211" s="412"/>
      <c r="AJX211" s="412"/>
      <c r="AJY211" s="412"/>
      <c r="AJZ211" s="412"/>
      <c r="AKA211" s="412"/>
      <c r="AKB211" s="412"/>
      <c r="AKC211" s="412"/>
      <c r="AKD211" s="412"/>
      <c r="AKE211" s="412"/>
      <c r="AKF211" s="412"/>
      <c r="AKG211" s="412"/>
      <c r="AKH211" s="412"/>
      <c r="AKI211" s="412"/>
      <c r="AKJ211" s="412"/>
      <c r="AKK211" s="412"/>
      <c r="AKL211" s="412"/>
      <c r="AKM211" s="412"/>
      <c r="AKN211" s="412"/>
      <c r="AKO211" s="412"/>
      <c r="AKP211" s="412"/>
      <c r="AKQ211" s="412"/>
      <c r="AKR211" s="412"/>
      <c r="AKS211" s="412"/>
      <c r="AKT211" s="412"/>
      <c r="AKU211" s="412"/>
      <c r="AKV211" s="412"/>
      <c r="AKW211" s="412"/>
      <c r="AKX211" s="412"/>
      <c r="AKY211" s="412"/>
      <c r="AKZ211" s="412"/>
      <c r="ALA211" s="412"/>
      <c r="ALB211" s="412"/>
      <c r="ALC211" s="412"/>
      <c r="ALD211" s="412"/>
      <c r="ALE211" s="412"/>
      <c r="ALF211" s="412"/>
      <c r="ALG211" s="412"/>
      <c r="ALH211" s="412"/>
      <c r="ALI211" s="412"/>
      <c r="ALJ211" s="412"/>
      <c r="ALK211" s="412"/>
      <c r="ALL211" s="412"/>
      <c r="ALM211" s="412"/>
      <c r="ALN211" s="412"/>
      <c r="ALO211" s="412"/>
      <c r="ALP211" s="412"/>
      <c r="ALQ211" s="412"/>
      <c r="ALR211" s="412"/>
      <c r="ALS211" s="412"/>
      <c r="ALT211" s="412"/>
      <c r="ALU211" s="412"/>
      <c r="ALV211" s="412"/>
      <c r="ALW211" s="412"/>
      <c r="ALX211" s="412"/>
      <c r="ALY211" s="412"/>
      <c r="ALZ211" s="412"/>
      <c r="AMA211" s="412"/>
      <c r="AMB211" s="412"/>
      <c r="AMC211" s="412"/>
      <c r="AMD211" s="412"/>
      <c r="AME211" s="412"/>
      <c r="AMF211" s="412"/>
      <c r="AMG211" s="412"/>
      <c r="AMH211" s="412"/>
      <c r="AMI211" s="412"/>
      <c r="AMJ211" s="412"/>
      <c r="AMK211" s="412"/>
      <c r="AML211" s="412"/>
      <c r="AMM211" s="412"/>
      <c r="AMN211" s="412"/>
      <c r="AMO211" s="412"/>
      <c r="AMP211" s="412"/>
      <c r="AMQ211" s="412"/>
      <c r="AMR211" s="412"/>
      <c r="AMS211" s="412"/>
      <c r="AMT211" s="412"/>
      <c r="AMU211" s="412"/>
      <c r="AMV211" s="412"/>
      <c r="AMW211" s="412"/>
      <c r="AMX211" s="412"/>
      <c r="AMY211" s="412"/>
      <c r="AMZ211" s="412"/>
      <c r="ANA211" s="412"/>
      <c r="ANB211" s="412"/>
      <c r="ANC211" s="412"/>
      <c r="AND211" s="412"/>
      <c r="ANE211" s="412"/>
      <c r="ANF211" s="412"/>
      <c r="ANG211" s="412"/>
      <c r="ANH211" s="412"/>
      <c r="ANI211" s="412"/>
      <c r="ANJ211" s="412"/>
      <c r="ANK211" s="412"/>
      <c r="ANL211" s="412"/>
      <c r="ANM211" s="412"/>
      <c r="ANN211" s="412"/>
      <c r="ANO211" s="412"/>
      <c r="ANP211" s="412"/>
      <c r="ANQ211" s="412"/>
      <c r="ANR211" s="412"/>
      <c r="ANS211" s="412"/>
      <c r="ANT211" s="412"/>
      <c r="ANU211" s="412"/>
      <c r="ANV211" s="412"/>
      <c r="ANW211" s="412"/>
      <c r="ANX211" s="412"/>
      <c r="ANY211" s="412"/>
      <c r="ANZ211" s="412"/>
      <c r="AOA211" s="412"/>
      <c r="AOB211" s="412"/>
      <c r="AOC211" s="412"/>
      <c r="AOD211" s="412"/>
      <c r="AOE211" s="412"/>
      <c r="AOF211" s="412"/>
      <c r="AOG211" s="412"/>
      <c r="AOH211" s="412"/>
      <c r="AOI211" s="412"/>
      <c r="AOJ211" s="412"/>
      <c r="AOK211" s="412"/>
      <c r="AOL211" s="412"/>
      <c r="AOM211" s="412"/>
      <c r="AON211" s="412"/>
      <c r="AOO211" s="412"/>
      <c r="AOP211" s="412"/>
      <c r="AOQ211" s="412"/>
      <c r="AOR211" s="412"/>
      <c r="AOS211" s="412"/>
      <c r="AOT211" s="412"/>
      <c r="AOU211" s="412"/>
      <c r="AOV211" s="412"/>
      <c r="AOW211" s="412"/>
      <c r="AOX211" s="412"/>
      <c r="AOY211" s="412"/>
      <c r="AOZ211" s="412"/>
      <c r="APA211" s="412"/>
      <c r="APB211" s="412"/>
      <c r="APC211" s="412"/>
      <c r="APD211" s="412"/>
      <c r="APE211" s="412"/>
      <c r="APF211" s="412"/>
      <c r="APG211" s="412"/>
      <c r="APH211" s="412"/>
      <c r="API211" s="412"/>
      <c r="APJ211" s="412"/>
      <c r="APK211" s="412"/>
      <c r="APL211" s="412"/>
      <c r="APM211" s="412"/>
      <c r="APN211" s="412"/>
      <c r="APO211" s="412"/>
      <c r="APP211" s="412"/>
      <c r="APQ211" s="412"/>
      <c r="APR211" s="412"/>
      <c r="APS211" s="412"/>
      <c r="APT211" s="412"/>
      <c r="APU211" s="412"/>
      <c r="APV211" s="412"/>
      <c r="APW211" s="412"/>
      <c r="APX211" s="412"/>
      <c r="APY211" s="412"/>
      <c r="APZ211" s="412"/>
      <c r="AQA211" s="412"/>
      <c r="AQB211" s="412"/>
      <c r="AQC211" s="412"/>
      <c r="AQD211" s="412"/>
      <c r="AQE211" s="412"/>
      <c r="AQF211" s="412"/>
      <c r="AQG211" s="412"/>
      <c r="AQH211" s="412"/>
      <c r="AQI211" s="412"/>
      <c r="AQJ211" s="412"/>
      <c r="AQK211" s="412"/>
      <c r="AQL211" s="412"/>
      <c r="AQM211" s="412"/>
      <c r="AQN211" s="412"/>
      <c r="AQO211" s="412"/>
      <c r="AQP211" s="412"/>
      <c r="AQQ211" s="412"/>
      <c r="AQR211" s="412"/>
      <c r="AQS211" s="412"/>
      <c r="AQT211" s="412"/>
      <c r="AQU211" s="412"/>
      <c r="AQV211" s="412"/>
      <c r="AQW211" s="412"/>
      <c r="AQX211" s="412"/>
      <c r="AQY211" s="412"/>
      <c r="AQZ211" s="412"/>
      <c r="ARA211" s="412"/>
      <c r="ARB211" s="412"/>
      <c r="ARC211" s="412"/>
      <c r="ARD211" s="412"/>
      <c r="ARE211" s="412"/>
      <c r="ARF211" s="412"/>
      <c r="ARG211" s="412"/>
      <c r="ARH211" s="412"/>
      <c r="ARI211" s="412"/>
      <c r="ARJ211" s="412"/>
      <c r="ARK211" s="412"/>
      <c r="ARL211" s="412"/>
      <c r="ARM211" s="412"/>
      <c r="ARN211" s="412"/>
      <c r="ARO211" s="412"/>
      <c r="ARP211" s="412"/>
      <c r="ARQ211" s="412"/>
      <c r="ARR211" s="412"/>
      <c r="ARS211" s="412"/>
      <c r="ART211" s="412"/>
      <c r="ARU211" s="412"/>
      <c r="ARV211" s="412"/>
      <c r="ARW211" s="412"/>
      <c r="ARX211" s="412"/>
      <c r="ARY211" s="412"/>
      <c r="ARZ211" s="412"/>
      <c r="ASA211" s="412"/>
      <c r="ASB211" s="412"/>
      <c r="ASC211" s="412"/>
      <c r="ASD211" s="412"/>
      <c r="ASE211" s="412"/>
      <c r="ASF211" s="412"/>
      <c r="ASG211" s="412"/>
      <c r="ASH211" s="412"/>
      <c r="ASI211" s="412"/>
      <c r="ASJ211" s="412"/>
      <c r="ASK211" s="412"/>
      <c r="ASL211" s="412"/>
      <c r="ASM211" s="412"/>
      <c r="ASN211" s="412"/>
      <c r="ASO211" s="412"/>
      <c r="ASP211" s="412"/>
      <c r="ASQ211" s="412"/>
      <c r="ASR211" s="412"/>
      <c r="ASS211" s="412"/>
      <c r="AST211" s="412"/>
      <c r="ASU211" s="412"/>
      <c r="ASV211" s="412"/>
      <c r="ASW211" s="412"/>
      <c r="ASX211" s="412"/>
      <c r="ASY211" s="412"/>
      <c r="ASZ211" s="412"/>
      <c r="ATA211" s="412"/>
      <c r="ATB211" s="412"/>
      <c r="ATC211" s="412"/>
      <c r="ATD211" s="412"/>
      <c r="ATE211" s="412"/>
      <c r="ATF211" s="412"/>
      <c r="ATG211" s="412"/>
      <c r="ATH211" s="412"/>
      <c r="ATI211" s="412"/>
      <c r="ATJ211" s="412"/>
      <c r="ATK211" s="412"/>
      <c r="ATL211" s="412"/>
      <c r="ATM211" s="412"/>
      <c r="ATN211" s="412"/>
      <c r="ATO211" s="412"/>
      <c r="ATP211" s="412"/>
      <c r="ATQ211" s="412"/>
      <c r="ATR211" s="412"/>
      <c r="ATS211" s="412"/>
      <c r="ATT211" s="412"/>
      <c r="ATU211" s="412"/>
      <c r="ATV211" s="412"/>
      <c r="ATW211" s="412"/>
      <c r="ATX211" s="412"/>
      <c r="ATY211" s="412"/>
      <c r="ATZ211" s="412"/>
      <c r="AUA211" s="412"/>
      <c r="AUB211" s="412"/>
      <c r="AUC211" s="412"/>
      <c r="AUD211" s="412"/>
      <c r="AUE211" s="412"/>
      <c r="AUF211" s="412"/>
      <c r="AUG211" s="412"/>
      <c r="AUH211" s="412"/>
      <c r="AUI211" s="412"/>
      <c r="AUJ211" s="412"/>
      <c r="AUK211" s="412"/>
      <c r="AUL211" s="412"/>
      <c r="AUM211" s="412"/>
      <c r="AUN211" s="412"/>
      <c r="AUO211" s="412"/>
      <c r="AUP211" s="412"/>
      <c r="AUQ211" s="412"/>
      <c r="AUR211" s="412"/>
      <c r="AUS211" s="412"/>
      <c r="AUT211" s="412"/>
      <c r="AUU211" s="412"/>
      <c r="AUV211" s="412"/>
      <c r="AUW211" s="412"/>
      <c r="AUX211" s="412"/>
      <c r="AUY211" s="412"/>
      <c r="AUZ211" s="412"/>
      <c r="AVA211" s="412"/>
      <c r="AVB211" s="412"/>
      <c r="AVC211" s="412"/>
      <c r="AVD211" s="412"/>
      <c r="AVE211" s="412"/>
      <c r="AVF211" s="412"/>
      <c r="AVG211" s="412"/>
      <c r="AVH211" s="412"/>
      <c r="AVI211" s="412"/>
      <c r="AVJ211" s="412"/>
      <c r="AVK211" s="412"/>
      <c r="AVL211" s="412"/>
      <c r="AVM211" s="412"/>
      <c r="AVN211" s="412"/>
      <c r="AVO211" s="412"/>
      <c r="AVP211" s="412"/>
      <c r="AVQ211" s="412"/>
      <c r="AVR211" s="412"/>
      <c r="AVS211" s="412"/>
      <c r="AVT211" s="412"/>
      <c r="AVU211" s="412"/>
      <c r="AVV211" s="412"/>
      <c r="AVW211" s="412"/>
      <c r="AVX211" s="412"/>
      <c r="AVY211" s="412"/>
      <c r="AVZ211" s="412"/>
      <c r="AWA211" s="412"/>
      <c r="AWB211" s="412"/>
      <c r="AWC211" s="412"/>
      <c r="AWD211" s="412"/>
      <c r="AWE211" s="412"/>
      <c r="AWF211" s="412"/>
      <c r="AWG211" s="412"/>
      <c r="AWH211" s="412"/>
      <c r="AWI211" s="412"/>
      <c r="AWJ211" s="412"/>
      <c r="AWK211" s="412"/>
      <c r="AWL211" s="412"/>
      <c r="AWM211" s="412"/>
      <c r="AWN211" s="412"/>
      <c r="AWO211" s="412"/>
      <c r="AWP211" s="412"/>
      <c r="AWQ211" s="412"/>
      <c r="AWR211" s="412"/>
      <c r="AWS211" s="412"/>
      <c r="AWT211" s="412"/>
      <c r="AWU211" s="412"/>
      <c r="AWV211" s="412"/>
      <c r="AWW211" s="412"/>
      <c r="AWX211" s="412"/>
      <c r="AWY211" s="412"/>
      <c r="AWZ211" s="412"/>
      <c r="AXA211" s="412"/>
      <c r="AXB211" s="412"/>
      <c r="AXC211" s="412"/>
      <c r="AXD211" s="412"/>
      <c r="AXE211" s="412"/>
      <c r="AXF211" s="412"/>
      <c r="AXG211" s="412"/>
      <c r="AXH211" s="412"/>
      <c r="AXI211" s="412"/>
      <c r="AXJ211" s="412"/>
      <c r="AXK211" s="412"/>
      <c r="AXL211" s="412"/>
      <c r="AXM211" s="412"/>
      <c r="AXN211" s="412"/>
      <c r="AXO211" s="412"/>
      <c r="AXP211" s="412"/>
      <c r="AXQ211" s="412"/>
      <c r="AXR211" s="412"/>
      <c r="AXS211" s="412"/>
      <c r="AXT211" s="412"/>
      <c r="AXU211" s="412"/>
      <c r="AXV211" s="412"/>
      <c r="AXW211" s="412"/>
      <c r="AXX211" s="412"/>
      <c r="AXY211" s="412"/>
      <c r="AXZ211" s="412"/>
      <c r="AYA211" s="412"/>
      <c r="AYB211" s="412"/>
      <c r="AYC211" s="412"/>
      <c r="AYD211" s="412"/>
      <c r="AYE211" s="412"/>
      <c r="AYF211" s="412"/>
      <c r="AYG211" s="412"/>
      <c r="AYH211" s="412"/>
      <c r="AYI211" s="412"/>
      <c r="AYJ211" s="412"/>
      <c r="AYK211" s="412"/>
      <c r="AYL211" s="412"/>
      <c r="AYM211" s="412"/>
      <c r="AYN211" s="412"/>
      <c r="AYO211" s="412"/>
      <c r="AYP211" s="412"/>
      <c r="AYQ211" s="412"/>
      <c r="AYR211" s="412"/>
      <c r="AYS211" s="412"/>
      <c r="AYT211" s="412"/>
      <c r="AYU211" s="412"/>
      <c r="AYV211" s="412"/>
      <c r="AYW211" s="412"/>
      <c r="AYX211" s="412"/>
      <c r="AYY211" s="412"/>
      <c r="AYZ211" s="412"/>
      <c r="AZA211" s="412"/>
      <c r="AZB211" s="412"/>
      <c r="AZC211" s="412"/>
      <c r="AZD211" s="412"/>
      <c r="AZE211" s="412"/>
      <c r="AZF211" s="412"/>
      <c r="AZG211" s="412"/>
      <c r="AZH211" s="412"/>
      <c r="AZI211" s="412"/>
      <c r="AZJ211" s="412"/>
      <c r="AZK211" s="412"/>
      <c r="AZL211" s="412"/>
      <c r="AZM211" s="412"/>
      <c r="AZN211" s="412"/>
      <c r="AZO211" s="412"/>
      <c r="AZP211" s="412"/>
      <c r="AZQ211" s="412"/>
      <c r="AZR211" s="412"/>
      <c r="AZS211" s="412"/>
      <c r="AZT211" s="412"/>
      <c r="AZU211" s="412"/>
      <c r="AZV211" s="412"/>
      <c r="AZW211" s="412"/>
      <c r="AZX211" s="412"/>
      <c r="AZY211" s="412"/>
      <c r="AZZ211" s="412"/>
      <c r="BAA211" s="412"/>
      <c r="BAB211" s="412"/>
      <c r="BAC211" s="412"/>
      <c r="BAD211" s="412"/>
      <c r="BAE211" s="412"/>
      <c r="BAF211" s="412"/>
      <c r="BAG211" s="412"/>
      <c r="BAH211" s="412"/>
      <c r="BAI211" s="412"/>
      <c r="BAJ211" s="412"/>
      <c r="BAK211" s="412"/>
      <c r="BAL211" s="412"/>
      <c r="BAM211" s="412"/>
      <c r="BAN211" s="412"/>
      <c r="BAO211" s="412"/>
      <c r="BAP211" s="412"/>
      <c r="BAQ211" s="412"/>
      <c r="BAR211" s="412"/>
      <c r="BAS211" s="412"/>
      <c r="BAT211" s="412"/>
      <c r="BAU211" s="412"/>
      <c r="BAV211" s="412"/>
      <c r="BAW211" s="412"/>
      <c r="BAX211" s="412"/>
      <c r="BAY211" s="412"/>
      <c r="BAZ211" s="412"/>
      <c r="BBA211" s="412"/>
      <c r="BBB211" s="412"/>
      <c r="BBC211" s="412"/>
      <c r="BBD211" s="412"/>
      <c r="BBE211" s="412"/>
      <c r="BBF211" s="412"/>
      <c r="BBG211" s="412"/>
      <c r="BBH211" s="412"/>
      <c r="BBI211" s="412"/>
      <c r="BBJ211" s="412"/>
      <c r="BBK211" s="412"/>
      <c r="BBL211" s="412"/>
      <c r="BBM211" s="412"/>
      <c r="BBN211" s="412"/>
      <c r="BBO211" s="412"/>
      <c r="BBP211" s="412"/>
      <c r="BBQ211" s="412"/>
      <c r="BBR211" s="412"/>
      <c r="BBS211" s="412"/>
      <c r="BBT211" s="412"/>
      <c r="BBU211" s="412"/>
      <c r="BBV211" s="412"/>
      <c r="BBW211" s="412"/>
      <c r="BBX211" s="412"/>
      <c r="BBY211" s="412"/>
      <c r="BBZ211" s="412"/>
      <c r="BCA211" s="412"/>
      <c r="BCB211" s="412"/>
      <c r="BCC211" s="412"/>
      <c r="BCD211" s="412"/>
      <c r="BCE211" s="412"/>
      <c r="BCF211" s="412"/>
      <c r="BCG211" s="412"/>
      <c r="BCH211" s="412"/>
      <c r="BCI211" s="412"/>
      <c r="BCJ211" s="412"/>
      <c r="BCK211" s="412"/>
      <c r="BCL211" s="412"/>
      <c r="BCM211" s="412"/>
      <c r="BCN211" s="412"/>
      <c r="BCO211" s="412"/>
      <c r="BCP211" s="412"/>
      <c r="BCQ211" s="412"/>
      <c r="BCR211" s="412"/>
      <c r="BCS211" s="412"/>
      <c r="BCT211" s="412"/>
      <c r="BCU211" s="412"/>
      <c r="BCV211" s="412"/>
      <c r="BCW211" s="412"/>
      <c r="BCX211" s="412"/>
      <c r="BCY211" s="412"/>
      <c r="BCZ211" s="412"/>
      <c r="BDA211" s="412"/>
      <c r="BDB211" s="412"/>
      <c r="BDC211" s="412"/>
      <c r="BDD211" s="412"/>
      <c r="BDE211" s="412"/>
      <c r="BDF211" s="412"/>
      <c r="BDG211" s="412"/>
      <c r="BDH211" s="412"/>
      <c r="BDI211" s="412"/>
      <c r="BDJ211" s="412"/>
      <c r="BDK211" s="412"/>
      <c r="BDL211" s="412"/>
      <c r="BDM211" s="412"/>
      <c r="BDN211" s="412"/>
      <c r="BDO211" s="412"/>
      <c r="BDP211" s="412"/>
      <c r="BDQ211" s="412"/>
      <c r="BDR211" s="412"/>
      <c r="BDS211" s="412"/>
      <c r="BDT211" s="412"/>
      <c r="BDU211" s="412"/>
      <c r="BDV211" s="412"/>
      <c r="BDW211" s="412"/>
      <c r="BDX211" s="412"/>
      <c r="BDY211" s="412"/>
      <c r="BDZ211" s="412"/>
      <c r="BEA211" s="412"/>
      <c r="BEB211" s="412"/>
      <c r="BEC211" s="412"/>
      <c r="BED211" s="412"/>
      <c r="BEE211" s="412"/>
      <c r="BEF211" s="412"/>
      <c r="BEG211" s="412"/>
      <c r="BEH211" s="412"/>
      <c r="BEI211" s="412"/>
      <c r="BEJ211" s="412"/>
      <c r="BEK211" s="412"/>
      <c r="BEL211" s="412"/>
      <c r="BEM211" s="412"/>
      <c r="BEN211" s="412"/>
      <c r="BEO211" s="412"/>
      <c r="BEP211" s="412"/>
      <c r="BEQ211" s="412"/>
      <c r="BER211" s="412"/>
      <c r="BES211" s="412"/>
      <c r="BET211" s="412"/>
      <c r="BEU211" s="412"/>
      <c r="BEV211" s="412"/>
      <c r="BEW211" s="412"/>
      <c r="BEX211" s="412"/>
      <c r="BEY211" s="412"/>
      <c r="BEZ211" s="412"/>
      <c r="BFA211" s="412"/>
      <c r="BFB211" s="412"/>
      <c r="BFC211" s="412"/>
      <c r="BFD211" s="412"/>
      <c r="BFE211" s="412"/>
      <c r="BFF211" s="412"/>
      <c r="BFG211" s="412"/>
      <c r="BFH211" s="412"/>
      <c r="BFI211" s="412"/>
      <c r="BFJ211" s="412"/>
      <c r="BFK211" s="412"/>
      <c r="BFL211" s="412"/>
      <c r="BFM211" s="412"/>
      <c r="BFN211" s="412"/>
      <c r="BFO211" s="412"/>
      <c r="BFP211" s="412"/>
      <c r="BFQ211" s="412"/>
      <c r="BFR211" s="412"/>
      <c r="BFS211" s="412"/>
      <c r="BFT211" s="412"/>
      <c r="BFU211" s="412"/>
      <c r="BFV211" s="412"/>
      <c r="BFW211" s="412"/>
      <c r="BFX211" s="412"/>
      <c r="BFY211" s="412"/>
      <c r="BFZ211" s="412"/>
      <c r="BGA211" s="412"/>
      <c r="BGB211" s="412"/>
      <c r="BGC211" s="412"/>
      <c r="BGD211" s="412"/>
      <c r="BGE211" s="412"/>
      <c r="BGF211" s="412"/>
      <c r="BGG211" s="412"/>
      <c r="BGH211" s="412"/>
      <c r="BGI211" s="412"/>
      <c r="BGJ211" s="412"/>
      <c r="BGK211" s="412"/>
      <c r="BGL211" s="412"/>
      <c r="BGM211" s="412"/>
      <c r="BGN211" s="412"/>
      <c r="BGO211" s="412"/>
      <c r="BGP211" s="412"/>
      <c r="BGQ211" s="412"/>
      <c r="BGR211" s="412"/>
      <c r="BGS211" s="412"/>
      <c r="BGT211" s="412"/>
      <c r="BGU211" s="412"/>
      <c r="BGV211" s="412"/>
      <c r="BGW211" s="412"/>
      <c r="BGX211" s="412"/>
      <c r="BGY211" s="412"/>
      <c r="BGZ211" s="412"/>
      <c r="BHA211" s="412"/>
      <c r="BHB211" s="412"/>
      <c r="BHC211" s="412"/>
      <c r="BHD211" s="412"/>
      <c r="BHE211" s="412"/>
      <c r="BHF211" s="412"/>
      <c r="BHG211" s="412"/>
      <c r="BHH211" s="412"/>
      <c r="BHI211" s="412"/>
      <c r="BHJ211" s="412"/>
      <c r="BHK211" s="412"/>
      <c r="BHL211" s="412"/>
      <c r="BHM211" s="412"/>
      <c r="BHN211" s="412"/>
      <c r="BHO211" s="412"/>
      <c r="BHP211" s="412"/>
      <c r="BHQ211" s="412"/>
      <c r="BHR211" s="412"/>
      <c r="BHS211" s="412"/>
      <c r="BHT211" s="412"/>
      <c r="BHU211" s="412"/>
      <c r="BHV211" s="412"/>
      <c r="BHW211" s="412"/>
      <c r="BHX211" s="412"/>
      <c r="BHY211" s="412"/>
      <c r="BHZ211" s="412"/>
      <c r="BIA211" s="412"/>
      <c r="BIB211" s="412"/>
      <c r="BIC211" s="412"/>
      <c r="BID211" s="412"/>
      <c r="BIE211" s="412"/>
      <c r="BIF211" s="412"/>
      <c r="BIG211" s="412"/>
      <c r="BIH211" s="412"/>
      <c r="BII211" s="412"/>
      <c r="BIJ211" s="412"/>
      <c r="BIK211" s="412"/>
      <c r="BIL211" s="412"/>
      <c r="BIM211" s="412"/>
      <c r="BIN211" s="412"/>
      <c r="BIO211" s="412"/>
      <c r="BIP211" s="412"/>
      <c r="BIQ211" s="412"/>
      <c r="BIR211" s="412"/>
      <c r="BIS211" s="412"/>
      <c r="BIT211" s="412"/>
      <c r="BIU211" s="412"/>
      <c r="BIV211" s="412"/>
      <c r="BIW211" s="412"/>
      <c r="BIX211" s="412"/>
      <c r="BIY211" s="412"/>
      <c r="BIZ211" s="412"/>
      <c r="BJA211" s="412"/>
      <c r="BJB211" s="412"/>
      <c r="BJC211" s="412"/>
      <c r="BJD211" s="412"/>
      <c r="BJE211" s="412"/>
      <c r="BJF211" s="412"/>
      <c r="BJG211" s="412"/>
      <c r="BJH211" s="412"/>
      <c r="BJI211" s="412"/>
      <c r="BJJ211" s="412"/>
      <c r="BJK211" s="412"/>
      <c r="BJL211" s="412"/>
      <c r="BJM211" s="412"/>
      <c r="BJN211" s="412"/>
      <c r="BJO211" s="412"/>
      <c r="BJP211" s="412"/>
      <c r="BJQ211" s="412"/>
      <c r="BJR211" s="412"/>
      <c r="BJS211" s="412"/>
      <c r="BJT211" s="412"/>
      <c r="BJU211" s="412"/>
      <c r="BJV211" s="412"/>
      <c r="BJW211" s="412"/>
      <c r="BJX211" s="412"/>
      <c r="BJY211" s="412"/>
      <c r="BJZ211" s="412"/>
      <c r="BKA211" s="412"/>
      <c r="BKB211" s="412"/>
      <c r="BKC211" s="412"/>
      <c r="BKD211" s="412"/>
      <c r="BKE211" s="412"/>
      <c r="BKF211" s="412"/>
      <c r="BKG211" s="412"/>
      <c r="BKH211" s="412"/>
      <c r="BKI211" s="412"/>
      <c r="BKJ211" s="412"/>
      <c r="BKK211" s="412"/>
      <c r="BKL211" s="412"/>
      <c r="BKM211" s="412"/>
      <c r="BKN211" s="412"/>
      <c r="BKO211" s="412"/>
      <c r="BKP211" s="412"/>
      <c r="BKQ211" s="412"/>
      <c r="BKR211" s="412"/>
      <c r="BKS211" s="412"/>
      <c r="BKT211" s="412"/>
      <c r="BKU211" s="412"/>
      <c r="BKV211" s="412"/>
      <c r="BKW211" s="412"/>
      <c r="BKX211" s="412"/>
      <c r="BKY211" s="412"/>
      <c r="BKZ211" s="412"/>
      <c r="BLA211" s="412"/>
      <c r="BLB211" s="412"/>
      <c r="BLC211" s="412"/>
      <c r="BLD211" s="412"/>
      <c r="BLE211" s="412"/>
      <c r="BLF211" s="412"/>
      <c r="BLG211" s="412"/>
      <c r="BLH211" s="412"/>
      <c r="BLI211" s="412"/>
      <c r="BLJ211" s="412"/>
      <c r="BLK211" s="412"/>
      <c r="BLL211" s="412"/>
      <c r="BLM211" s="412"/>
      <c r="BLN211" s="412"/>
      <c r="BLO211" s="412"/>
      <c r="BLP211" s="412"/>
      <c r="BLQ211" s="412"/>
      <c r="BLR211" s="412"/>
      <c r="BLS211" s="412"/>
      <c r="BLT211" s="412"/>
      <c r="BLU211" s="412"/>
      <c r="BLV211" s="412"/>
      <c r="BLW211" s="412"/>
      <c r="BLX211" s="412"/>
      <c r="BLY211" s="412"/>
      <c r="BLZ211" s="412"/>
      <c r="BMA211" s="412"/>
      <c r="BMB211" s="412"/>
      <c r="BMC211" s="412"/>
      <c r="BMD211" s="412"/>
      <c r="BME211" s="412"/>
      <c r="BMF211" s="412"/>
      <c r="BMG211" s="412"/>
      <c r="BMH211" s="412"/>
      <c r="BMI211" s="412"/>
      <c r="BMJ211" s="412"/>
      <c r="BMK211" s="412"/>
      <c r="BML211" s="412"/>
      <c r="BMM211" s="412"/>
      <c r="BMN211" s="412"/>
      <c r="BMO211" s="412"/>
      <c r="BMP211" s="412"/>
      <c r="BMQ211" s="412"/>
      <c r="BMR211" s="412"/>
      <c r="BMS211" s="412"/>
      <c r="BMT211" s="412"/>
      <c r="BMU211" s="412"/>
      <c r="BMV211" s="412"/>
      <c r="BMW211" s="412"/>
      <c r="BMX211" s="412"/>
      <c r="BMY211" s="412"/>
      <c r="BMZ211" s="412"/>
      <c r="BNA211" s="412"/>
      <c r="BNB211" s="412"/>
      <c r="BNC211" s="412"/>
      <c r="BND211" s="412"/>
      <c r="BNE211" s="412"/>
      <c r="BNF211" s="412"/>
      <c r="BNG211" s="412"/>
      <c r="BNH211" s="412"/>
      <c r="BNI211" s="412"/>
      <c r="BNJ211" s="412"/>
      <c r="BNK211" s="412"/>
      <c r="BNL211" s="412"/>
      <c r="BNM211" s="412"/>
      <c r="BNN211" s="412"/>
      <c r="BNO211" s="412"/>
      <c r="BNP211" s="412"/>
      <c r="BNQ211" s="412"/>
      <c r="BNR211" s="412"/>
      <c r="BNS211" s="412"/>
      <c r="BNT211" s="412"/>
      <c r="BNU211" s="412"/>
      <c r="BNV211" s="412"/>
      <c r="BNW211" s="412"/>
      <c r="BNX211" s="412"/>
      <c r="BNY211" s="412"/>
      <c r="BNZ211" s="412"/>
      <c r="BOA211" s="412"/>
      <c r="BOB211" s="412"/>
      <c r="BOC211" s="412"/>
      <c r="BOD211" s="412"/>
      <c r="BOE211" s="412"/>
      <c r="BOF211" s="412"/>
      <c r="BOG211" s="412"/>
      <c r="BOH211" s="412"/>
      <c r="BOI211" s="412"/>
      <c r="BOJ211" s="412"/>
      <c r="BOK211" s="412"/>
      <c r="BOL211" s="412"/>
      <c r="BOM211" s="412"/>
      <c r="BON211" s="412"/>
      <c r="BOO211" s="412"/>
      <c r="BOP211" s="412"/>
      <c r="BOQ211" s="412"/>
      <c r="BOR211" s="412"/>
      <c r="BOS211" s="412"/>
      <c r="BOT211" s="412"/>
      <c r="BOU211" s="412"/>
      <c r="BOV211" s="412"/>
      <c r="BOW211" s="412"/>
      <c r="BOX211" s="412"/>
      <c r="BOY211" s="412"/>
      <c r="BOZ211" s="412"/>
      <c r="BPA211" s="412"/>
      <c r="BPB211" s="412"/>
      <c r="BPC211" s="412"/>
      <c r="BPD211" s="412"/>
      <c r="BPE211" s="412"/>
      <c r="BPF211" s="412"/>
      <c r="BPG211" s="412"/>
      <c r="BPH211" s="412"/>
      <c r="BPI211" s="412"/>
      <c r="BPJ211" s="412"/>
      <c r="BPK211" s="412"/>
      <c r="BPL211" s="412"/>
      <c r="BPM211" s="412"/>
      <c r="BPN211" s="412"/>
      <c r="BPO211" s="412"/>
      <c r="BPP211" s="412"/>
      <c r="BPQ211" s="412"/>
      <c r="BPR211" s="412"/>
      <c r="BPS211" s="412"/>
      <c r="BPT211" s="412"/>
      <c r="BPU211" s="412"/>
      <c r="BPV211" s="412"/>
      <c r="BPW211" s="412"/>
      <c r="BPX211" s="412"/>
      <c r="BPY211" s="412"/>
      <c r="BPZ211" s="412"/>
      <c r="BQA211" s="412"/>
      <c r="BQB211" s="412"/>
      <c r="BQC211" s="412"/>
      <c r="BQD211" s="412"/>
      <c r="BQE211" s="412"/>
      <c r="BQF211" s="412"/>
      <c r="BQG211" s="412"/>
      <c r="BQH211" s="412"/>
      <c r="BQI211" s="412"/>
      <c r="BQJ211" s="412"/>
      <c r="BQK211" s="412"/>
      <c r="BQL211" s="412"/>
      <c r="BQM211" s="412"/>
      <c r="BQN211" s="412"/>
      <c r="BQO211" s="412"/>
      <c r="BQP211" s="412"/>
      <c r="BQQ211" s="412"/>
      <c r="BQR211" s="412"/>
      <c r="BQS211" s="412"/>
      <c r="BQT211" s="412"/>
      <c r="BQU211" s="412"/>
      <c r="BQV211" s="412"/>
      <c r="BQW211" s="412"/>
      <c r="BQX211" s="412"/>
      <c r="BQY211" s="412"/>
      <c r="BQZ211" s="412"/>
      <c r="BRA211" s="412"/>
      <c r="BRB211" s="412"/>
      <c r="BRC211" s="412"/>
      <c r="BRD211" s="412"/>
      <c r="BRE211" s="412"/>
      <c r="BRF211" s="412"/>
      <c r="BRG211" s="412"/>
      <c r="BRH211" s="412"/>
      <c r="BRI211" s="412"/>
      <c r="BRJ211" s="412"/>
      <c r="BRK211" s="412"/>
      <c r="BRL211" s="412"/>
      <c r="BRM211" s="412"/>
      <c r="BRN211" s="412"/>
      <c r="BRO211" s="412"/>
      <c r="BRP211" s="412"/>
      <c r="BRQ211" s="412"/>
      <c r="BRR211" s="412"/>
      <c r="BRS211" s="412"/>
      <c r="BRT211" s="412"/>
      <c r="BRU211" s="412"/>
      <c r="BRV211" s="412"/>
      <c r="BRW211" s="412"/>
      <c r="BRX211" s="412"/>
      <c r="BRY211" s="412"/>
      <c r="BRZ211" s="412"/>
      <c r="BSA211" s="412"/>
      <c r="BSB211" s="412"/>
      <c r="BSC211" s="412"/>
      <c r="BSD211" s="412"/>
      <c r="BSE211" s="412"/>
      <c r="BSF211" s="412"/>
      <c r="BSG211" s="412"/>
      <c r="BSH211" s="412"/>
      <c r="BSI211" s="412"/>
      <c r="BSJ211" s="412"/>
      <c r="BSK211" s="412"/>
      <c r="BSL211" s="412"/>
      <c r="BSM211" s="412"/>
      <c r="BSN211" s="412"/>
      <c r="BSO211" s="412"/>
      <c r="BSP211" s="412"/>
      <c r="BSQ211" s="412"/>
      <c r="BSR211" s="412"/>
      <c r="BSS211" s="412"/>
      <c r="BST211" s="412"/>
      <c r="BSU211" s="412"/>
      <c r="BSV211" s="412"/>
      <c r="BSW211" s="412"/>
      <c r="BSX211" s="412"/>
      <c r="BSY211" s="412"/>
      <c r="BSZ211" s="412"/>
      <c r="BTA211" s="412"/>
      <c r="BTB211" s="412"/>
      <c r="BTC211" s="412"/>
      <c r="BTD211" s="412"/>
      <c r="BTE211" s="412"/>
      <c r="BTF211" s="412"/>
      <c r="BTG211" s="412"/>
      <c r="BTH211" s="412"/>
      <c r="BTI211" s="412"/>
    </row>
    <row r="212" spans="1:1881" s="408" customFormat="1" ht="90" customHeight="1" x14ac:dyDescent="0.25">
      <c r="A212" s="189">
        <v>619</v>
      </c>
      <c r="B212" s="151" t="s">
        <v>66</v>
      </c>
      <c r="C212" s="151" t="s">
        <v>805</v>
      </c>
      <c r="D212" s="370" t="s">
        <v>817</v>
      </c>
      <c r="E212" s="32" t="e">
        <f>HLOOKUP($D$2,'2019 Data(H)'!$C$1:$CG$300,279,FALSE)</f>
        <v>#N/A</v>
      </c>
      <c r="F212" s="694"/>
      <c r="G212" s="581" t="str">
        <f>IF(ISBLANK(F212),"Please do not leave blank ",IF(F212=H212,"","Please review percentage"))</f>
        <v xml:space="preserve">Please do not leave blank </v>
      </c>
      <c r="H212" s="361">
        <f>ROUND(IFERROR((F211/F210)*100,0),1)</f>
        <v>0</v>
      </c>
      <c r="I212"/>
      <c r="J212" s="412"/>
      <c r="K212" s="412"/>
      <c r="L212" s="412"/>
      <c r="M212" s="412"/>
      <c r="N212"/>
      <c r="O212" s="412"/>
      <c r="P212" s="412"/>
      <c r="Q212" s="412"/>
      <c r="R212" s="412"/>
      <c r="S212" s="412"/>
      <c r="T212" s="412"/>
      <c r="U212" s="412"/>
      <c r="V212" s="412"/>
      <c r="W212" s="412"/>
      <c r="X212" s="412"/>
      <c r="Y212" s="412"/>
      <c r="Z212" s="412"/>
      <c r="AA212" s="412"/>
      <c r="AB212" s="412"/>
      <c r="AC212" s="412"/>
      <c r="AD212" s="412"/>
      <c r="AE212" s="412"/>
      <c r="AF212" s="412"/>
      <c r="AG212" s="412"/>
      <c r="AH212" s="412"/>
      <c r="AI212" s="412"/>
      <c r="AJ212" s="412"/>
      <c r="AK212" s="412"/>
      <c r="AL212" s="412"/>
      <c r="AM212" s="412"/>
      <c r="AN212" s="412"/>
      <c r="AO212" s="412"/>
      <c r="AP212" s="412"/>
      <c r="AQ212" s="412"/>
      <c r="AR212" s="412"/>
      <c r="AS212" s="412"/>
      <c r="AT212" s="412"/>
      <c r="AU212" s="412"/>
      <c r="AV212" s="412"/>
      <c r="AW212" s="412"/>
      <c r="AX212" s="412"/>
      <c r="AY212" s="412"/>
      <c r="AZ212" s="412"/>
      <c r="BA212" s="412"/>
      <c r="BB212" s="412"/>
      <c r="BC212" s="412"/>
      <c r="BD212" s="412"/>
      <c r="BE212" s="412"/>
      <c r="BF212" s="412"/>
      <c r="BG212" s="412"/>
      <c r="BH212" s="412"/>
      <c r="BI212" s="412"/>
      <c r="BJ212" s="412"/>
      <c r="BK212" s="412"/>
      <c r="BL212" s="412"/>
      <c r="BM212" s="412"/>
      <c r="BN212" s="412"/>
      <c r="BO212" s="412"/>
      <c r="BP212" s="412"/>
      <c r="BQ212" s="412"/>
      <c r="BR212" s="412"/>
      <c r="BS212" s="412"/>
      <c r="BT212" s="412"/>
      <c r="BU212" s="412"/>
      <c r="BV212" s="412"/>
      <c r="BW212" s="412"/>
      <c r="BX212" s="412"/>
      <c r="BY212" s="412"/>
      <c r="BZ212" s="412"/>
      <c r="CA212" s="412"/>
      <c r="CB212" s="412"/>
      <c r="CC212" s="412"/>
      <c r="CD212" s="412"/>
      <c r="CE212" s="412"/>
      <c r="CF212" s="412"/>
      <c r="CG212" s="412"/>
      <c r="CH212" s="412"/>
      <c r="CI212" s="412"/>
      <c r="CJ212" s="412"/>
      <c r="CK212" s="412"/>
      <c r="CL212" s="412"/>
      <c r="CM212" s="412"/>
      <c r="CN212" s="412"/>
      <c r="CO212" s="412"/>
      <c r="CP212" s="412"/>
      <c r="CQ212" s="412"/>
      <c r="CR212" s="412"/>
      <c r="CS212" s="412"/>
      <c r="CT212" s="412"/>
      <c r="CU212" s="412"/>
      <c r="CV212" s="412"/>
      <c r="CW212" s="412"/>
      <c r="CX212" s="412"/>
      <c r="CY212" s="412"/>
      <c r="CZ212" s="412"/>
      <c r="DA212" s="412"/>
      <c r="DB212" s="412"/>
      <c r="DC212" s="412"/>
      <c r="DD212" s="412"/>
      <c r="DE212" s="412"/>
      <c r="DF212" s="412"/>
      <c r="DG212" s="412"/>
      <c r="DH212" s="412"/>
      <c r="DI212" s="412"/>
      <c r="DJ212" s="412"/>
      <c r="DK212" s="412"/>
      <c r="DL212" s="412"/>
      <c r="DM212" s="412"/>
      <c r="DN212" s="412"/>
      <c r="DO212" s="412"/>
      <c r="DP212" s="412"/>
      <c r="DQ212" s="412"/>
      <c r="DR212" s="412"/>
      <c r="DS212" s="412"/>
      <c r="DT212" s="412"/>
      <c r="DU212" s="412"/>
      <c r="DV212" s="412"/>
      <c r="DW212" s="412"/>
      <c r="DX212" s="412"/>
      <c r="DY212" s="412"/>
      <c r="DZ212" s="412"/>
      <c r="EA212" s="412"/>
      <c r="EB212" s="412"/>
      <c r="EC212" s="412"/>
      <c r="ED212" s="412"/>
      <c r="EE212" s="412"/>
      <c r="EF212" s="412"/>
      <c r="EG212" s="412"/>
      <c r="EH212" s="412"/>
      <c r="EI212" s="412"/>
      <c r="EJ212" s="412"/>
      <c r="EK212" s="412"/>
      <c r="EL212" s="412"/>
      <c r="EM212" s="412"/>
      <c r="EN212" s="412"/>
      <c r="EO212" s="412"/>
      <c r="EP212" s="412"/>
      <c r="EQ212" s="412"/>
      <c r="ER212" s="412"/>
      <c r="ES212" s="412"/>
      <c r="ET212" s="412"/>
      <c r="EU212" s="412"/>
      <c r="EV212" s="412"/>
      <c r="EW212" s="412"/>
      <c r="EX212" s="412"/>
      <c r="EY212" s="412"/>
      <c r="EZ212" s="412"/>
      <c r="FA212" s="412"/>
      <c r="FB212" s="412"/>
      <c r="FC212" s="412"/>
      <c r="FD212" s="412"/>
      <c r="FE212" s="412"/>
      <c r="FF212" s="412"/>
      <c r="FG212" s="412"/>
      <c r="FH212" s="412"/>
      <c r="FI212" s="412"/>
      <c r="FJ212" s="412"/>
      <c r="FK212" s="412"/>
      <c r="FL212" s="412"/>
      <c r="FM212" s="412"/>
      <c r="FN212" s="412"/>
      <c r="FO212" s="412"/>
      <c r="FP212" s="412"/>
      <c r="FQ212" s="412"/>
      <c r="FR212" s="412"/>
      <c r="FS212" s="412"/>
      <c r="FT212" s="412"/>
      <c r="FU212" s="412"/>
      <c r="FV212" s="412"/>
      <c r="FW212" s="412"/>
      <c r="FX212" s="412"/>
      <c r="FY212" s="412"/>
      <c r="FZ212" s="412"/>
      <c r="GA212" s="412"/>
      <c r="GB212" s="412"/>
      <c r="GC212" s="412"/>
      <c r="GD212" s="412"/>
      <c r="GE212" s="412"/>
      <c r="GF212" s="412"/>
      <c r="GG212" s="412"/>
      <c r="GH212" s="412"/>
      <c r="GI212" s="412"/>
      <c r="GJ212" s="412"/>
      <c r="GK212" s="412"/>
      <c r="GL212" s="412"/>
      <c r="GM212" s="412"/>
      <c r="GN212" s="412"/>
      <c r="GO212" s="412"/>
      <c r="GP212" s="412"/>
      <c r="GQ212" s="412"/>
      <c r="GR212" s="412"/>
      <c r="GS212" s="412"/>
      <c r="GT212" s="412"/>
      <c r="GU212" s="412"/>
      <c r="GV212" s="412"/>
      <c r="GW212" s="412"/>
      <c r="GX212" s="412"/>
      <c r="GY212" s="412"/>
      <c r="GZ212" s="412"/>
      <c r="HA212" s="412"/>
      <c r="HB212" s="412"/>
      <c r="HC212" s="412"/>
      <c r="HD212" s="412"/>
      <c r="HE212" s="412"/>
      <c r="HF212" s="412"/>
      <c r="HG212" s="412"/>
      <c r="HH212" s="412"/>
      <c r="HI212" s="412"/>
      <c r="HJ212" s="412"/>
      <c r="HK212" s="412"/>
      <c r="HL212" s="412"/>
      <c r="HM212" s="412"/>
      <c r="HN212" s="412"/>
      <c r="HO212" s="412"/>
      <c r="HP212" s="412"/>
      <c r="HQ212" s="412"/>
      <c r="HR212" s="412"/>
      <c r="HS212" s="412"/>
      <c r="HT212" s="412"/>
      <c r="HU212" s="412"/>
      <c r="HV212" s="412"/>
      <c r="HW212" s="412"/>
      <c r="HX212" s="412"/>
      <c r="HY212" s="412"/>
      <c r="HZ212" s="412"/>
      <c r="IA212" s="412"/>
      <c r="IB212" s="412"/>
      <c r="IC212" s="412"/>
      <c r="ID212" s="412"/>
      <c r="IE212" s="412"/>
      <c r="IF212" s="412"/>
      <c r="IG212" s="412"/>
      <c r="IH212" s="412"/>
      <c r="II212" s="412"/>
      <c r="IJ212" s="412"/>
      <c r="IK212" s="412"/>
      <c r="IL212" s="412"/>
      <c r="IM212" s="412"/>
      <c r="IN212" s="412"/>
      <c r="IO212" s="412"/>
      <c r="IP212" s="412"/>
      <c r="IQ212" s="412"/>
      <c r="IR212" s="412"/>
      <c r="IS212" s="412"/>
      <c r="IT212" s="412"/>
      <c r="IU212" s="412"/>
      <c r="IV212" s="412"/>
      <c r="IW212" s="412"/>
      <c r="IX212" s="412"/>
      <c r="IY212" s="412"/>
      <c r="IZ212" s="412"/>
      <c r="JA212" s="412"/>
      <c r="JB212" s="412"/>
      <c r="JC212" s="412"/>
      <c r="JD212" s="412"/>
      <c r="JE212" s="412"/>
      <c r="JF212" s="412"/>
      <c r="JG212" s="412"/>
      <c r="JH212" s="412"/>
      <c r="JI212" s="412"/>
      <c r="JJ212" s="412"/>
      <c r="JK212" s="412"/>
      <c r="JL212" s="412"/>
      <c r="JM212" s="412"/>
      <c r="JN212" s="412"/>
      <c r="JO212" s="412"/>
      <c r="JP212" s="412"/>
      <c r="JQ212" s="412"/>
      <c r="JR212" s="412"/>
      <c r="JS212" s="412"/>
      <c r="JT212" s="412"/>
      <c r="JU212" s="412"/>
      <c r="JV212" s="412"/>
      <c r="JW212" s="412"/>
      <c r="JX212" s="412"/>
      <c r="JY212" s="412"/>
      <c r="JZ212" s="412"/>
      <c r="KA212" s="412"/>
      <c r="KB212" s="412"/>
      <c r="KC212" s="412"/>
      <c r="KD212" s="412"/>
      <c r="KE212" s="412"/>
      <c r="KF212" s="412"/>
      <c r="KG212" s="412"/>
      <c r="KH212" s="412"/>
      <c r="KI212" s="412"/>
      <c r="KJ212" s="412"/>
      <c r="KK212" s="412"/>
      <c r="KL212" s="412"/>
      <c r="KM212" s="412"/>
      <c r="KN212" s="412"/>
      <c r="KO212" s="412"/>
      <c r="KP212" s="412"/>
      <c r="KQ212" s="412"/>
      <c r="KR212" s="412"/>
      <c r="KS212" s="412"/>
      <c r="KT212" s="412"/>
      <c r="KU212" s="412"/>
      <c r="KV212" s="412"/>
      <c r="KW212" s="412"/>
      <c r="KX212" s="412"/>
      <c r="KY212" s="412"/>
      <c r="KZ212" s="412"/>
      <c r="LA212" s="412"/>
      <c r="LB212" s="412"/>
      <c r="LC212" s="412"/>
      <c r="LD212" s="412"/>
      <c r="LE212" s="412"/>
      <c r="LF212" s="412"/>
      <c r="LG212" s="412"/>
      <c r="LH212" s="412"/>
      <c r="LI212" s="412"/>
      <c r="LJ212" s="412"/>
      <c r="LK212" s="412"/>
      <c r="LL212" s="412"/>
      <c r="LM212" s="412"/>
      <c r="LN212" s="412"/>
      <c r="LO212" s="412"/>
      <c r="LP212" s="412"/>
      <c r="LQ212" s="412"/>
      <c r="LR212" s="412"/>
      <c r="LS212" s="412"/>
      <c r="LT212" s="412"/>
      <c r="LU212" s="412"/>
      <c r="LV212" s="412"/>
      <c r="LW212" s="412"/>
      <c r="LX212" s="412"/>
      <c r="LY212" s="412"/>
      <c r="LZ212" s="412"/>
      <c r="MA212" s="412"/>
      <c r="MB212" s="412"/>
      <c r="MC212" s="412"/>
      <c r="MD212" s="412"/>
      <c r="ME212" s="412"/>
      <c r="MF212" s="412"/>
      <c r="MG212" s="412"/>
      <c r="MH212" s="412"/>
      <c r="MI212" s="412"/>
      <c r="MJ212" s="412"/>
      <c r="MK212" s="412"/>
      <c r="ML212" s="412"/>
      <c r="MM212" s="412"/>
      <c r="MN212" s="412"/>
      <c r="MO212" s="412"/>
      <c r="MP212" s="412"/>
      <c r="MQ212" s="412"/>
      <c r="MR212" s="412"/>
      <c r="MS212" s="412"/>
      <c r="MT212" s="412"/>
      <c r="MU212" s="412"/>
      <c r="MV212" s="412"/>
      <c r="MW212" s="412"/>
      <c r="MX212" s="412"/>
      <c r="MY212" s="412"/>
      <c r="MZ212" s="412"/>
      <c r="NA212" s="412"/>
      <c r="NB212" s="412"/>
      <c r="NC212" s="412"/>
      <c r="ND212" s="412"/>
      <c r="NE212" s="412"/>
      <c r="NF212" s="412"/>
      <c r="NG212" s="412"/>
      <c r="NH212" s="412"/>
      <c r="NI212" s="412"/>
      <c r="NJ212" s="412"/>
      <c r="NK212" s="412"/>
      <c r="NL212" s="412"/>
      <c r="NM212" s="412"/>
      <c r="NN212" s="412"/>
      <c r="NO212" s="412"/>
      <c r="NP212" s="412"/>
      <c r="NQ212" s="412"/>
      <c r="NR212" s="412"/>
      <c r="NS212" s="412"/>
      <c r="NT212" s="412"/>
      <c r="NU212" s="412"/>
      <c r="NV212" s="412"/>
      <c r="NW212" s="412"/>
      <c r="NX212" s="412"/>
      <c r="NY212" s="412"/>
      <c r="NZ212" s="412"/>
      <c r="OA212" s="412"/>
      <c r="OB212" s="412"/>
      <c r="OC212" s="412"/>
      <c r="OD212" s="412"/>
      <c r="OE212" s="412"/>
      <c r="OF212" s="412"/>
      <c r="OG212" s="412"/>
      <c r="OH212" s="412"/>
      <c r="OI212" s="412"/>
      <c r="OJ212" s="412"/>
      <c r="OK212" s="412"/>
      <c r="OL212" s="412"/>
      <c r="OM212" s="412"/>
      <c r="ON212" s="412"/>
      <c r="OO212" s="412"/>
      <c r="OP212" s="412"/>
      <c r="OQ212" s="412"/>
      <c r="OR212" s="412"/>
      <c r="OS212" s="412"/>
      <c r="OT212" s="412"/>
      <c r="OU212" s="412"/>
      <c r="OV212" s="412"/>
      <c r="OW212" s="412"/>
      <c r="OX212" s="412"/>
      <c r="OY212" s="412"/>
      <c r="OZ212" s="412"/>
      <c r="PA212" s="412"/>
      <c r="PB212" s="412"/>
      <c r="PC212" s="412"/>
      <c r="PD212" s="412"/>
      <c r="PE212" s="412"/>
      <c r="PF212" s="412"/>
      <c r="PG212" s="412"/>
      <c r="PH212" s="412"/>
      <c r="PI212" s="412"/>
      <c r="PJ212" s="412"/>
      <c r="PK212" s="412"/>
      <c r="PL212" s="412"/>
      <c r="PM212" s="412"/>
      <c r="PN212" s="412"/>
      <c r="PO212" s="412"/>
      <c r="PP212" s="412"/>
      <c r="PQ212" s="412"/>
      <c r="PR212" s="412"/>
      <c r="PS212" s="412"/>
      <c r="PT212" s="412"/>
      <c r="PU212" s="412"/>
      <c r="PV212" s="412"/>
      <c r="PW212" s="412"/>
      <c r="PX212" s="412"/>
      <c r="PY212" s="412"/>
      <c r="PZ212" s="412"/>
      <c r="QA212" s="412"/>
      <c r="QB212" s="412"/>
      <c r="QC212" s="412"/>
      <c r="QD212" s="412"/>
      <c r="QE212" s="412"/>
      <c r="QF212" s="412"/>
      <c r="QG212" s="412"/>
      <c r="QH212" s="412"/>
      <c r="QI212" s="412"/>
      <c r="QJ212" s="412"/>
      <c r="QK212" s="412"/>
      <c r="QL212" s="412"/>
      <c r="QM212" s="412"/>
      <c r="QN212" s="412"/>
      <c r="QO212" s="412"/>
      <c r="QP212" s="412"/>
      <c r="QQ212" s="412"/>
      <c r="QR212" s="412"/>
      <c r="QS212" s="412"/>
      <c r="QT212" s="412"/>
      <c r="QU212" s="412"/>
      <c r="QV212" s="412"/>
      <c r="QW212" s="412"/>
      <c r="QX212" s="412"/>
      <c r="QY212" s="412"/>
      <c r="QZ212" s="412"/>
      <c r="RA212" s="412"/>
      <c r="RB212" s="412"/>
      <c r="RC212" s="412"/>
      <c r="RD212" s="412"/>
      <c r="RE212" s="412"/>
      <c r="RF212" s="412"/>
      <c r="RG212" s="412"/>
      <c r="RH212" s="412"/>
      <c r="RI212" s="412"/>
      <c r="RJ212" s="412"/>
      <c r="RK212" s="412"/>
      <c r="RL212" s="412"/>
      <c r="RM212" s="412"/>
      <c r="RN212" s="412"/>
      <c r="RO212" s="412"/>
      <c r="RP212" s="412"/>
      <c r="RQ212" s="412"/>
      <c r="RR212" s="412"/>
      <c r="RS212" s="412"/>
      <c r="RT212" s="412"/>
      <c r="RU212" s="412"/>
      <c r="RV212" s="412"/>
      <c r="RW212" s="412"/>
      <c r="RX212" s="412"/>
      <c r="RY212" s="412"/>
      <c r="RZ212" s="412"/>
      <c r="SA212" s="412"/>
      <c r="SB212" s="412"/>
      <c r="SC212" s="412"/>
      <c r="SD212" s="412"/>
      <c r="SE212" s="412"/>
      <c r="SF212" s="412"/>
      <c r="SG212" s="412"/>
      <c r="SH212" s="412"/>
      <c r="SI212" s="412"/>
      <c r="SJ212" s="412"/>
      <c r="SK212" s="412"/>
      <c r="SL212" s="412"/>
      <c r="SM212" s="412"/>
      <c r="SN212" s="412"/>
      <c r="SO212" s="412"/>
      <c r="SP212" s="412"/>
      <c r="SQ212" s="412"/>
      <c r="SR212" s="412"/>
      <c r="SS212" s="412"/>
      <c r="ST212" s="412"/>
      <c r="SU212" s="412"/>
      <c r="SV212" s="412"/>
      <c r="SW212" s="412"/>
      <c r="SX212" s="412"/>
      <c r="SY212" s="412"/>
      <c r="SZ212" s="412"/>
      <c r="TA212" s="412"/>
      <c r="TB212" s="412"/>
      <c r="TC212" s="412"/>
      <c r="TD212" s="412"/>
      <c r="TE212" s="412"/>
      <c r="TF212" s="412"/>
      <c r="TG212" s="412"/>
      <c r="TH212" s="412"/>
      <c r="TI212" s="412"/>
      <c r="TJ212" s="412"/>
      <c r="TK212" s="412"/>
      <c r="TL212" s="412"/>
      <c r="TM212" s="412"/>
      <c r="TN212" s="412"/>
      <c r="TO212" s="412"/>
      <c r="TP212" s="412"/>
      <c r="TQ212" s="412"/>
      <c r="TR212" s="412"/>
      <c r="TS212" s="412"/>
      <c r="TT212" s="412"/>
      <c r="TU212" s="412"/>
      <c r="TV212" s="412"/>
      <c r="TW212" s="412"/>
      <c r="TX212" s="412"/>
      <c r="TY212" s="412"/>
      <c r="TZ212" s="412"/>
      <c r="UA212" s="412"/>
      <c r="UB212" s="412"/>
      <c r="UC212" s="412"/>
      <c r="UD212" s="412"/>
      <c r="UE212" s="412"/>
      <c r="UF212" s="412"/>
      <c r="UG212" s="412"/>
      <c r="UH212" s="412"/>
      <c r="UI212" s="412"/>
      <c r="UJ212" s="412"/>
      <c r="UK212" s="412"/>
      <c r="UL212" s="412"/>
      <c r="UM212" s="412"/>
      <c r="UN212" s="412"/>
      <c r="UO212" s="412"/>
      <c r="UP212" s="412"/>
      <c r="UQ212" s="412"/>
      <c r="UR212" s="412"/>
      <c r="US212" s="412"/>
      <c r="UT212" s="412"/>
      <c r="UU212" s="412"/>
      <c r="UV212" s="412"/>
      <c r="UW212" s="412"/>
      <c r="UX212" s="412"/>
      <c r="UY212" s="412"/>
      <c r="UZ212" s="412"/>
      <c r="VA212" s="412"/>
      <c r="VB212" s="412"/>
      <c r="VC212" s="412"/>
      <c r="VD212" s="412"/>
      <c r="VE212" s="412"/>
      <c r="VF212" s="412"/>
      <c r="VG212" s="412"/>
      <c r="VH212" s="412"/>
      <c r="VI212" s="412"/>
      <c r="VJ212" s="412"/>
      <c r="VK212" s="412"/>
      <c r="VL212" s="412"/>
      <c r="VM212" s="412"/>
      <c r="VN212" s="412"/>
      <c r="VO212" s="412"/>
      <c r="VP212" s="412"/>
      <c r="VQ212" s="412"/>
      <c r="VR212" s="412"/>
      <c r="VS212" s="412"/>
      <c r="VT212" s="412"/>
      <c r="VU212" s="412"/>
      <c r="VV212" s="412"/>
      <c r="VW212" s="412"/>
      <c r="VX212" s="412"/>
      <c r="VY212" s="412"/>
      <c r="VZ212" s="412"/>
      <c r="WA212" s="412"/>
      <c r="WB212" s="412"/>
      <c r="WC212" s="412"/>
      <c r="WD212" s="412"/>
      <c r="WE212" s="412"/>
      <c r="WF212" s="412"/>
      <c r="WG212" s="412"/>
      <c r="WH212" s="412"/>
      <c r="WI212" s="412"/>
      <c r="WJ212" s="412"/>
      <c r="WK212" s="412"/>
      <c r="WL212" s="412"/>
      <c r="WM212" s="412"/>
      <c r="WN212" s="412"/>
      <c r="WO212" s="412"/>
      <c r="WP212" s="412"/>
      <c r="WQ212" s="412"/>
      <c r="WR212" s="412"/>
      <c r="WS212" s="412"/>
      <c r="WT212" s="412"/>
      <c r="WU212" s="412"/>
      <c r="WV212" s="412"/>
      <c r="WW212" s="412"/>
      <c r="WX212" s="412"/>
      <c r="WY212" s="412"/>
      <c r="WZ212" s="412"/>
      <c r="XA212" s="412"/>
      <c r="XB212" s="412"/>
      <c r="XC212" s="412"/>
      <c r="XD212" s="412"/>
      <c r="XE212" s="412"/>
      <c r="XF212" s="412"/>
      <c r="XG212" s="412"/>
      <c r="XH212" s="412"/>
      <c r="XI212" s="412"/>
      <c r="XJ212" s="412"/>
      <c r="XK212" s="412"/>
      <c r="XL212" s="412"/>
      <c r="XM212" s="412"/>
      <c r="XN212" s="412"/>
      <c r="XO212" s="412"/>
      <c r="XP212" s="412"/>
      <c r="XQ212" s="412"/>
      <c r="XR212" s="412"/>
      <c r="XS212" s="412"/>
      <c r="XT212" s="412"/>
      <c r="XU212" s="412"/>
      <c r="XV212" s="412"/>
      <c r="XW212" s="412"/>
      <c r="XX212" s="412"/>
      <c r="XY212" s="412"/>
      <c r="XZ212" s="412"/>
      <c r="YA212" s="412"/>
      <c r="YB212" s="412"/>
      <c r="YC212" s="412"/>
      <c r="YD212" s="412"/>
      <c r="YE212" s="412"/>
      <c r="YF212" s="412"/>
      <c r="YG212" s="412"/>
      <c r="YH212" s="412"/>
      <c r="YI212" s="412"/>
      <c r="YJ212" s="412"/>
      <c r="YK212" s="412"/>
      <c r="YL212" s="412"/>
      <c r="YM212" s="412"/>
      <c r="YN212" s="412"/>
      <c r="YO212" s="412"/>
      <c r="YP212" s="412"/>
      <c r="YQ212" s="412"/>
      <c r="YR212" s="412"/>
      <c r="YS212" s="412"/>
      <c r="YT212" s="412"/>
      <c r="YU212" s="412"/>
      <c r="YV212" s="412"/>
      <c r="YW212" s="412"/>
      <c r="YX212" s="412"/>
      <c r="YY212" s="412"/>
      <c r="YZ212" s="412"/>
      <c r="ZA212" s="412"/>
      <c r="ZB212" s="412"/>
      <c r="ZC212" s="412"/>
      <c r="ZD212" s="412"/>
      <c r="ZE212" s="412"/>
      <c r="ZF212" s="412"/>
      <c r="ZG212" s="412"/>
      <c r="ZH212" s="412"/>
      <c r="ZI212" s="412"/>
      <c r="ZJ212" s="412"/>
      <c r="ZK212" s="412"/>
      <c r="ZL212" s="412"/>
      <c r="ZM212" s="412"/>
      <c r="ZN212" s="412"/>
      <c r="ZO212" s="412"/>
      <c r="ZP212" s="412"/>
      <c r="ZQ212" s="412"/>
      <c r="ZR212" s="412"/>
      <c r="ZS212" s="412"/>
      <c r="ZT212" s="412"/>
      <c r="ZU212" s="412"/>
      <c r="ZV212" s="412"/>
      <c r="ZW212" s="412"/>
      <c r="ZX212" s="412"/>
      <c r="ZY212" s="412"/>
      <c r="ZZ212" s="412"/>
      <c r="AAA212" s="412"/>
      <c r="AAB212" s="412"/>
      <c r="AAC212" s="412"/>
      <c r="AAD212" s="412"/>
      <c r="AAE212" s="412"/>
      <c r="AAF212" s="412"/>
      <c r="AAG212" s="412"/>
      <c r="AAH212" s="412"/>
      <c r="AAI212" s="412"/>
      <c r="AAJ212" s="412"/>
      <c r="AAK212" s="412"/>
      <c r="AAL212" s="412"/>
      <c r="AAM212" s="412"/>
      <c r="AAN212" s="412"/>
      <c r="AAO212" s="412"/>
      <c r="AAP212" s="412"/>
      <c r="AAQ212" s="412"/>
      <c r="AAR212" s="412"/>
      <c r="AAS212" s="412"/>
      <c r="AAT212" s="412"/>
      <c r="AAU212" s="412"/>
      <c r="AAV212" s="412"/>
      <c r="AAW212" s="412"/>
      <c r="AAX212" s="412"/>
      <c r="AAY212" s="412"/>
      <c r="AAZ212" s="412"/>
      <c r="ABA212" s="412"/>
      <c r="ABB212" s="412"/>
      <c r="ABC212" s="412"/>
      <c r="ABD212" s="412"/>
      <c r="ABE212" s="412"/>
      <c r="ABF212" s="412"/>
      <c r="ABG212" s="412"/>
      <c r="ABH212" s="412"/>
      <c r="ABI212" s="412"/>
      <c r="ABJ212" s="412"/>
      <c r="ABK212" s="412"/>
      <c r="ABL212" s="412"/>
      <c r="ABM212" s="412"/>
      <c r="ABN212" s="412"/>
      <c r="ABO212" s="412"/>
      <c r="ABP212" s="412"/>
      <c r="ABQ212" s="412"/>
      <c r="ABR212" s="412"/>
      <c r="ABS212" s="412"/>
      <c r="ABT212" s="412"/>
      <c r="ABU212" s="412"/>
      <c r="ABV212" s="412"/>
      <c r="ABW212" s="412"/>
      <c r="ABX212" s="412"/>
      <c r="ABY212" s="412"/>
      <c r="ABZ212" s="412"/>
      <c r="ACA212" s="412"/>
      <c r="ACB212" s="412"/>
      <c r="ACC212" s="412"/>
      <c r="ACD212" s="412"/>
      <c r="ACE212" s="412"/>
      <c r="ACF212" s="412"/>
      <c r="ACG212" s="412"/>
      <c r="ACH212" s="412"/>
      <c r="ACI212" s="412"/>
      <c r="ACJ212" s="412"/>
      <c r="ACK212" s="412"/>
      <c r="ACL212" s="412"/>
      <c r="ACM212" s="412"/>
      <c r="ACN212" s="412"/>
      <c r="ACO212" s="412"/>
      <c r="ACP212" s="412"/>
      <c r="ACQ212" s="412"/>
      <c r="ACR212" s="412"/>
      <c r="ACS212" s="412"/>
      <c r="ACT212" s="412"/>
      <c r="ACU212" s="412"/>
      <c r="ACV212" s="412"/>
      <c r="ACW212" s="412"/>
      <c r="ACX212" s="412"/>
      <c r="ACY212" s="412"/>
      <c r="ACZ212" s="412"/>
      <c r="ADA212" s="412"/>
      <c r="ADB212" s="412"/>
      <c r="ADC212" s="412"/>
      <c r="ADD212" s="412"/>
      <c r="ADE212" s="412"/>
      <c r="ADF212" s="412"/>
      <c r="ADG212" s="412"/>
      <c r="ADH212" s="412"/>
      <c r="ADI212" s="412"/>
      <c r="ADJ212" s="412"/>
      <c r="ADK212" s="412"/>
      <c r="ADL212" s="412"/>
      <c r="ADM212" s="412"/>
      <c r="ADN212" s="412"/>
      <c r="ADO212" s="412"/>
      <c r="ADP212" s="412"/>
      <c r="ADQ212" s="412"/>
      <c r="ADR212" s="412"/>
      <c r="ADS212" s="412"/>
      <c r="ADT212" s="412"/>
      <c r="ADU212" s="412"/>
      <c r="ADV212" s="412"/>
      <c r="ADW212" s="412"/>
      <c r="ADX212" s="412"/>
      <c r="ADY212" s="412"/>
      <c r="ADZ212" s="412"/>
      <c r="AEA212" s="412"/>
      <c r="AEB212" s="412"/>
      <c r="AEC212" s="412"/>
      <c r="AED212" s="412"/>
      <c r="AEE212" s="412"/>
      <c r="AEF212" s="412"/>
      <c r="AEG212" s="412"/>
      <c r="AEH212" s="412"/>
      <c r="AEI212" s="412"/>
      <c r="AEJ212" s="412"/>
      <c r="AEK212" s="412"/>
      <c r="AEL212" s="412"/>
      <c r="AEM212" s="412"/>
      <c r="AEN212" s="412"/>
      <c r="AEO212" s="412"/>
      <c r="AEP212" s="412"/>
      <c r="AEQ212" s="412"/>
      <c r="AER212" s="412"/>
      <c r="AES212" s="412"/>
      <c r="AET212" s="412"/>
      <c r="AEU212" s="412"/>
      <c r="AEV212" s="412"/>
      <c r="AEW212" s="412"/>
      <c r="AEX212" s="412"/>
      <c r="AEY212" s="412"/>
      <c r="AEZ212" s="412"/>
      <c r="AFA212" s="412"/>
      <c r="AFB212" s="412"/>
      <c r="AFC212" s="412"/>
      <c r="AFD212" s="412"/>
      <c r="AFE212" s="412"/>
      <c r="AFF212" s="412"/>
      <c r="AFG212" s="412"/>
      <c r="AFH212" s="412"/>
      <c r="AFI212" s="412"/>
      <c r="AFJ212" s="412"/>
      <c r="AFK212" s="412"/>
      <c r="AFL212" s="412"/>
      <c r="AFM212" s="412"/>
      <c r="AFN212" s="412"/>
      <c r="AFO212" s="412"/>
      <c r="AFP212" s="412"/>
      <c r="AFQ212" s="412"/>
      <c r="AFR212" s="412"/>
      <c r="AFS212" s="412"/>
      <c r="AFT212" s="412"/>
      <c r="AFU212" s="412"/>
      <c r="AFV212" s="412"/>
      <c r="AFW212" s="412"/>
      <c r="AFX212" s="412"/>
      <c r="AFY212" s="412"/>
      <c r="AFZ212" s="412"/>
      <c r="AGA212" s="412"/>
      <c r="AGB212" s="412"/>
      <c r="AGC212" s="412"/>
      <c r="AGD212" s="412"/>
      <c r="AGE212" s="412"/>
      <c r="AGF212" s="412"/>
      <c r="AGG212" s="412"/>
      <c r="AGH212" s="412"/>
      <c r="AGI212" s="412"/>
      <c r="AGJ212" s="412"/>
      <c r="AGK212" s="412"/>
      <c r="AGL212" s="412"/>
      <c r="AGM212" s="412"/>
      <c r="AGN212" s="412"/>
      <c r="AGO212" s="412"/>
      <c r="AGP212" s="412"/>
      <c r="AGQ212" s="412"/>
      <c r="AGR212" s="412"/>
      <c r="AGS212" s="412"/>
      <c r="AGT212" s="412"/>
      <c r="AGU212" s="412"/>
      <c r="AGV212" s="412"/>
      <c r="AGW212" s="412"/>
      <c r="AGX212" s="412"/>
      <c r="AGY212" s="412"/>
      <c r="AGZ212" s="412"/>
      <c r="AHA212" s="412"/>
      <c r="AHB212" s="412"/>
      <c r="AHC212" s="412"/>
      <c r="AHD212" s="412"/>
      <c r="AHE212" s="412"/>
      <c r="AHF212" s="412"/>
      <c r="AHG212" s="412"/>
      <c r="AHH212" s="412"/>
      <c r="AHI212" s="412"/>
      <c r="AHJ212" s="412"/>
      <c r="AHK212" s="412"/>
      <c r="AHL212" s="412"/>
      <c r="AHM212" s="412"/>
      <c r="AHN212" s="412"/>
      <c r="AHO212" s="412"/>
      <c r="AHP212" s="412"/>
      <c r="AHQ212" s="412"/>
      <c r="AHR212" s="412"/>
      <c r="AHS212" s="412"/>
      <c r="AHT212" s="412"/>
      <c r="AHU212" s="412"/>
      <c r="AHV212" s="412"/>
      <c r="AHW212" s="412"/>
      <c r="AHX212" s="412"/>
      <c r="AHY212" s="412"/>
      <c r="AHZ212" s="412"/>
      <c r="AIA212" s="412"/>
      <c r="AIB212" s="412"/>
      <c r="AIC212" s="412"/>
      <c r="AID212" s="412"/>
      <c r="AIE212" s="412"/>
      <c r="AIF212" s="412"/>
      <c r="AIG212" s="412"/>
      <c r="AIH212" s="412"/>
      <c r="AII212" s="412"/>
      <c r="AIJ212" s="412"/>
      <c r="AIK212" s="412"/>
      <c r="AIL212" s="412"/>
      <c r="AIM212" s="412"/>
      <c r="AIN212" s="412"/>
      <c r="AIO212" s="412"/>
      <c r="AIP212" s="412"/>
      <c r="AIQ212" s="412"/>
      <c r="AIR212" s="412"/>
      <c r="AIS212" s="412"/>
      <c r="AIT212" s="412"/>
      <c r="AIU212" s="412"/>
      <c r="AIV212" s="412"/>
      <c r="AIW212" s="412"/>
      <c r="AIX212" s="412"/>
      <c r="AIY212" s="412"/>
      <c r="AIZ212" s="412"/>
      <c r="AJA212" s="412"/>
      <c r="AJB212" s="412"/>
      <c r="AJC212" s="412"/>
      <c r="AJD212" s="412"/>
      <c r="AJE212" s="412"/>
      <c r="AJF212" s="412"/>
      <c r="AJG212" s="412"/>
      <c r="AJH212" s="412"/>
      <c r="AJI212" s="412"/>
      <c r="AJJ212" s="412"/>
      <c r="AJK212" s="412"/>
      <c r="AJL212" s="412"/>
      <c r="AJM212" s="412"/>
      <c r="AJN212" s="412"/>
      <c r="AJO212" s="412"/>
      <c r="AJP212" s="412"/>
      <c r="AJQ212" s="412"/>
      <c r="AJR212" s="412"/>
      <c r="AJS212" s="412"/>
      <c r="AJT212" s="412"/>
      <c r="AJU212" s="412"/>
      <c r="AJV212" s="412"/>
      <c r="AJW212" s="412"/>
      <c r="AJX212" s="412"/>
      <c r="AJY212" s="412"/>
      <c r="AJZ212" s="412"/>
      <c r="AKA212" s="412"/>
      <c r="AKB212" s="412"/>
      <c r="AKC212" s="412"/>
      <c r="AKD212" s="412"/>
      <c r="AKE212" s="412"/>
      <c r="AKF212" s="412"/>
      <c r="AKG212" s="412"/>
      <c r="AKH212" s="412"/>
      <c r="AKI212" s="412"/>
      <c r="AKJ212" s="412"/>
      <c r="AKK212" s="412"/>
      <c r="AKL212" s="412"/>
      <c r="AKM212" s="412"/>
      <c r="AKN212" s="412"/>
      <c r="AKO212" s="412"/>
      <c r="AKP212" s="412"/>
      <c r="AKQ212" s="412"/>
      <c r="AKR212" s="412"/>
      <c r="AKS212" s="412"/>
      <c r="AKT212" s="412"/>
      <c r="AKU212" s="412"/>
      <c r="AKV212" s="412"/>
      <c r="AKW212" s="412"/>
      <c r="AKX212" s="412"/>
      <c r="AKY212" s="412"/>
      <c r="AKZ212" s="412"/>
      <c r="ALA212" s="412"/>
      <c r="ALB212" s="412"/>
      <c r="ALC212" s="412"/>
      <c r="ALD212" s="412"/>
      <c r="ALE212" s="412"/>
      <c r="ALF212" s="412"/>
      <c r="ALG212" s="412"/>
      <c r="ALH212" s="412"/>
      <c r="ALI212" s="412"/>
      <c r="ALJ212" s="412"/>
      <c r="ALK212" s="412"/>
      <c r="ALL212" s="412"/>
      <c r="ALM212" s="412"/>
      <c r="ALN212" s="412"/>
      <c r="ALO212" s="412"/>
      <c r="ALP212" s="412"/>
      <c r="ALQ212" s="412"/>
      <c r="ALR212" s="412"/>
      <c r="ALS212" s="412"/>
      <c r="ALT212" s="412"/>
      <c r="ALU212" s="412"/>
      <c r="ALV212" s="412"/>
      <c r="ALW212" s="412"/>
      <c r="ALX212" s="412"/>
      <c r="ALY212" s="412"/>
      <c r="ALZ212" s="412"/>
      <c r="AMA212" s="412"/>
      <c r="AMB212" s="412"/>
      <c r="AMC212" s="412"/>
      <c r="AMD212" s="412"/>
      <c r="AME212" s="412"/>
      <c r="AMF212" s="412"/>
      <c r="AMG212" s="412"/>
      <c r="AMH212" s="412"/>
      <c r="AMI212" s="412"/>
      <c r="AMJ212" s="412"/>
      <c r="AMK212" s="412"/>
      <c r="AML212" s="412"/>
      <c r="AMM212" s="412"/>
      <c r="AMN212" s="412"/>
      <c r="AMO212" s="412"/>
      <c r="AMP212" s="412"/>
      <c r="AMQ212" s="412"/>
      <c r="AMR212" s="412"/>
      <c r="AMS212" s="412"/>
      <c r="AMT212" s="412"/>
      <c r="AMU212" s="412"/>
      <c r="AMV212" s="412"/>
      <c r="AMW212" s="412"/>
      <c r="AMX212" s="412"/>
      <c r="AMY212" s="412"/>
      <c r="AMZ212" s="412"/>
      <c r="ANA212" s="412"/>
      <c r="ANB212" s="412"/>
      <c r="ANC212" s="412"/>
      <c r="AND212" s="412"/>
      <c r="ANE212" s="412"/>
      <c r="ANF212" s="412"/>
      <c r="ANG212" s="412"/>
      <c r="ANH212" s="412"/>
      <c r="ANI212" s="412"/>
      <c r="ANJ212" s="412"/>
      <c r="ANK212" s="412"/>
      <c r="ANL212" s="412"/>
      <c r="ANM212" s="412"/>
      <c r="ANN212" s="412"/>
      <c r="ANO212" s="412"/>
      <c r="ANP212" s="412"/>
      <c r="ANQ212" s="412"/>
      <c r="ANR212" s="412"/>
      <c r="ANS212" s="412"/>
      <c r="ANT212" s="412"/>
      <c r="ANU212" s="412"/>
      <c r="ANV212" s="412"/>
      <c r="ANW212" s="412"/>
      <c r="ANX212" s="412"/>
      <c r="ANY212" s="412"/>
      <c r="ANZ212" s="412"/>
      <c r="AOA212" s="412"/>
      <c r="AOB212" s="412"/>
      <c r="AOC212" s="412"/>
      <c r="AOD212" s="412"/>
      <c r="AOE212" s="412"/>
      <c r="AOF212" s="412"/>
      <c r="AOG212" s="412"/>
      <c r="AOH212" s="412"/>
      <c r="AOI212" s="412"/>
      <c r="AOJ212" s="412"/>
      <c r="AOK212" s="412"/>
      <c r="AOL212" s="412"/>
      <c r="AOM212" s="412"/>
      <c r="AON212" s="412"/>
      <c r="AOO212" s="412"/>
      <c r="AOP212" s="412"/>
      <c r="AOQ212" s="412"/>
      <c r="AOR212" s="412"/>
      <c r="AOS212" s="412"/>
      <c r="AOT212" s="412"/>
      <c r="AOU212" s="412"/>
      <c r="AOV212" s="412"/>
      <c r="AOW212" s="412"/>
      <c r="AOX212" s="412"/>
      <c r="AOY212" s="412"/>
      <c r="AOZ212" s="412"/>
      <c r="APA212" s="412"/>
      <c r="APB212" s="412"/>
      <c r="APC212" s="412"/>
      <c r="APD212" s="412"/>
      <c r="APE212" s="412"/>
      <c r="APF212" s="412"/>
      <c r="APG212" s="412"/>
      <c r="APH212" s="412"/>
      <c r="API212" s="412"/>
      <c r="APJ212" s="412"/>
      <c r="APK212" s="412"/>
      <c r="APL212" s="412"/>
      <c r="APM212" s="412"/>
      <c r="APN212" s="412"/>
      <c r="APO212" s="412"/>
      <c r="APP212" s="412"/>
      <c r="APQ212" s="412"/>
      <c r="APR212" s="412"/>
      <c r="APS212" s="412"/>
      <c r="APT212" s="412"/>
      <c r="APU212" s="412"/>
      <c r="APV212" s="412"/>
      <c r="APW212" s="412"/>
      <c r="APX212" s="412"/>
      <c r="APY212" s="412"/>
      <c r="APZ212" s="412"/>
      <c r="AQA212" s="412"/>
      <c r="AQB212" s="412"/>
      <c r="AQC212" s="412"/>
      <c r="AQD212" s="412"/>
      <c r="AQE212" s="412"/>
      <c r="AQF212" s="412"/>
      <c r="AQG212" s="412"/>
      <c r="AQH212" s="412"/>
      <c r="AQI212" s="412"/>
      <c r="AQJ212" s="412"/>
      <c r="AQK212" s="412"/>
      <c r="AQL212" s="412"/>
      <c r="AQM212" s="412"/>
      <c r="AQN212" s="412"/>
      <c r="AQO212" s="412"/>
      <c r="AQP212" s="412"/>
      <c r="AQQ212" s="412"/>
      <c r="AQR212" s="412"/>
      <c r="AQS212" s="412"/>
      <c r="AQT212" s="412"/>
      <c r="AQU212" s="412"/>
      <c r="AQV212" s="412"/>
      <c r="AQW212" s="412"/>
      <c r="AQX212" s="412"/>
      <c r="AQY212" s="412"/>
      <c r="AQZ212" s="412"/>
      <c r="ARA212" s="412"/>
      <c r="ARB212" s="412"/>
      <c r="ARC212" s="412"/>
      <c r="ARD212" s="412"/>
      <c r="ARE212" s="412"/>
      <c r="ARF212" s="412"/>
      <c r="ARG212" s="412"/>
      <c r="ARH212" s="412"/>
      <c r="ARI212" s="412"/>
      <c r="ARJ212" s="412"/>
      <c r="ARK212" s="412"/>
      <c r="ARL212" s="412"/>
      <c r="ARM212" s="412"/>
      <c r="ARN212" s="412"/>
      <c r="ARO212" s="412"/>
      <c r="ARP212" s="412"/>
      <c r="ARQ212" s="412"/>
      <c r="ARR212" s="412"/>
      <c r="ARS212" s="412"/>
      <c r="ART212" s="412"/>
      <c r="ARU212" s="412"/>
      <c r="ARV212" s="412"/>
      <c r="ARW212" s="412"/>
      <c r="ARX212" s="412"/>
      <c r="ARY212" s="412"/>
      <c r="ARZ212" s="412"/>
      <c r="ASA212" s="412"/>
      <c r="ASB212" s="412"/>
      <c r="ASC212" s="412"/>
      <c r="ASD212" s="412"/>
      <c r="ASE212" s="412"/>
      <c r="ASF212" s="412"/>
      <c r="ASG212" s="412"/>
      <c r="ASH212" s="412"/>
      <c r="ASI212" s="412"/>
      <c r="ASJ212" s="412"/>
      <c r="ASK212" s="412"/>
      <c r="ASL212" s="412"/>
      <c r="ASM212" s="412"/>
      <c r="ASN212" s="412"/>
      <c r="ASO212" s="412"/>
      <c r="ASP212" s="412"/>
      <c r="ASQ212" s="412"/>
      <c r="ASR212" s="412"/>
      <c r="ASS212" s="412"/>
      <c r="AST212" s="412"/>
      <c r="ASU212" s="412"/>
      <c r="ASV212" s="412"/>
      <c r="ASW212" s="412"/>
      <c r="ASX212" s="412"/>
      <c r="ASY212" s="412"/>
      <c r="ASZ212" s="412"/>
      <c r="ATA212" s="412"/>
      <c r="ATB212" s="412"/>
      <c r="ATC212" s="412"/>
      <c r="ATD212" s="412"/>
      <c r="ATE212" s="412"/>
      <c r="ATF212" s="412"/>
      <c r="ATG212" s="412"/>
      <c r="ATH212" s="412"/>
      <c r="ATI212" s="412"/>
      <c r="ATJ212" s="412"/>
      <c r="ATK212" s="412"/>
      <c r="ATL212" s="412"/>
      <c r="ATM212" s="412"/>
      <c r="ATN212" s="412"/>
      <c r="ATO212" s="412"/>
      <c r="ATP212" s="412"/>
      <c r="ATQ212" s="412"/>
      <c r="ATR212" s="412"/>
      <c r="ATS212" s="412"/>
      <c r="ATT212" s="412"/>
      <c r="ATU212" s="412"/>
      <c r="ATV212" s="412"/>
      <c r="ATW212" s="412"/>
      <c r="ATX212" s="412"/>
      <c r="ATY212" s="412"/>
      <c r="ATZ212" s="412"/>
      <c r="AUA212" s="412"/>
      <c r="AUB212" s="412"/>
      <c r="AUC212" s="412"/>
      <c r="AUD212" s="412"/>
      <c r="AUE212" s="412"/>
      <c r="AUF212" s="412"/>
      <c r="AUG212" s="412"/>
      <c r="AUH212" s="412"/>
      <c r="AUI212" s="412"/>
      <c r="AUJ212" s="412"/>
      <c r="AUK212" s="412"/>
      <c r="AUL212" s="412"/>
      <c r="AUM212" s="412"/>
      <c r="AUN212" s="412"/>
      <c r="AUO212" s="412"/>
      <c r="AUP212" s="412"/>
      <c r="AUQ212" s="412"/>
      <c r="AUR212" s="412"/>
      <c r="AUS212" s="412"/>
      <c r="AUT212" s="412"/>
      <c r="AUU212" s="412"/>
      <c r="AUV212" s="412"/>
      <c r="AUW212" s="412"/>
      <c r="AUX212" s="412"/>
      <c r="AUY212" s="412"/>
      <c r="AUZ212" s="412"/>
      <c r="AVA212" s="412"/>
      <c r="AVB212" s="412"/>
      <c r="AVC212" s="412"/>
      <c r="AVD212" s="412"/>
      <c r="AVE212" s="412"/>
      <c r="AVF212" s="412"/>
      <c r="AVG212" s="412"/>
      <c r="AVH212" s="412"/>
      <c r="AVI212" s="412"/>
      <c r="AVJ212" s="412"/>
      <c r="AVK212" s="412"/>
      <c r="AVL212" s="412"/>
      <c r="AVM212" s="412"/>
      <c r="AVN212" s="412"/>
      <c r="AVO212" s="412"/>
      <c r="AVP212" s="412"/>
      <c r="AVQ212" s="412"/>
      <c r="AVR212" s="412"/>
      <c r="AVS212" s="412"/>
      <c r="AVT212" s="412"/>
      <c r="AVU212" s="412"/>
      <c r="AVV212" s="412"/>
      <c r="AVW212" s="412"/>
      <c r="AVX212" s="412"/>
      <c r="AVY212" s="412"/>
      <c r="AVZ212" s="412"/>
      <c r="AWA212" s="412"/>
      <c r="AWB212" s="412"/>
      <c r="AWC212" s="412"/>
      <c r="AWD212" s="412"/>
      <c r="AWE212" s="412"/>
      <c r="AWF212" s="412"/>
      <c r="AWG212" s="412"/>
      <c r="AWH212" s="412"/>
      <c r="AWI212" s="412"/>
      <c r="AWJ212" s="412"/>
      <c r="AWK212" s="412"/>
      <c r="AWL212" s="412"/>
      <c r="AWM212" s="412"/>
      <c r="AWN212" s="412"/>
      <c r="AWO212" s="412"/>
      <c r="AWP212" s="412"/>
      <c r="AWQ212" s="412"/>
      <c r="AWR212" s="412"/>
      <c r="AWS212" s="412"/>
      <c r="AWT212" s="412"/>
      <c r="AWU212" s="412"/>
      <c r="AWV212" s="412"/>
      <c r="AWW212" s="412"/>
      <c r="AWX212" s="412"/>
      <c r="AWY212" s="412"/>
      <c r="AWZ212" s="412"/>
      <c r="AXA212" s="412"/>
      <c r="AXB212" s="412"/>
      <c r="AXC212" s="412"/>
      <c r="AXD212" s="412"/>
      <c r="AXE212" s="412"/>
      <c r="AXF212" s="412"/>
      <c r="AXG212" s="412"/>
      <c r="AXH212" s="412"/>
      <c r="AXI212" s="412"/>
      <c r="AXJ212" s="412"/>
      <c r="AXK212" s="412"/>
      <c r="AXL212" s="412"/>
      <c r="AXM212" s="412"/>
      <c r="AXN212" s="412"/>
      <c r="AXO212" s="412"/>
      <c r="AXP212" s="412"/>
      <c r="AXQ212" s="412"/>
      <c r="AXR212" s="412"/>
      <c r="AXS212" s="412"/>
      <c r="AXT212" s="412"/>
      <c r="AXU212" s="412"/>
      <c r="AXV212" s="412"/>
      <c r="AXW212" s="412"/>
      <c r="AXX212" s="412"/>
      <c r="AXY212" s="412"/>
      <c r="AXZ212" s="412"/>
      <c r="AYA212" s="412"/>
      <c r="AYB212" s="412"/>
      <c r="AYC212" s="412"/>
      <c r="AYD212" s="412"/>
      <c r="AYE212" s="412"/>
      <c r="AYF212" s="412"/>
      <c r="AYG212" s="412"/>
      <c r="AYH212" s="412"/>
      <c r="AYI212" s="412"/>
      <c r="AYJ212" s="412"/>
      <c r="AYK212" s="412"/>
      <c r="AYL212" s="412"/>
      <c r="AYM212" s="412"/>
      <c r="AYN212" s="412"/>
      <c r="AYO212" s="412"/>
      <c r="AYP212" s="412"/>
      <c r="AYQ212" s="412"/>
      <c r="AYR212" s="412"/>
      <c r="AYS212" s="412"/>
      <c r="AYT212" s="412"/>
      <c r="AYU212" s="412"/>
      <c r="AYV212" s="412"/>
      <c r="AYW212" s="412"/>
      <c r="AYX212" s="412"/>
      <c r="AYY212" s="412"/>
      <c r="AYZ212" s="412"/>
      <c r="AZA212" s="412"/>
      <c r="AZB212" s="412"/>
      <c r="AZC212" s="412"/>
      <c r="AZD212" s="412"/>
      <c r="AZE212" s="412"/>
      <c r="AZF212" s="412"/>
      <c r="AZG212" s="412"/>
      <c r="AZH212" s="412"/>
      <c r="AZI212" s="412"/>
      <c r="AZJ212" s="412"/>
      <c r="AZK212" s="412"/>
      <c r="AZL212" s="412"/>
      <c r="AZM212" s="412"/>
      <c r="AZN212" s="412"/>
      <c r="AZO212" s="412"/>
      <c r="AZP212" s="412"/>
      <c r="AZQ212" s="412"/>
      <c r="AZR212" s="412"/>
      <c r="AZS212" s="412"/>
      <c r="AZT212" s="412"/>
      <c r="AZU212" s="412"/>
      <c r="AZV212" s="412"/>
      <c r="AZW212" s="412"/>
      <c r="AZX212" s="412"/>
      <c r="AZY212" s="412"/>
      <c r="AZZ212" s="412"/>
      <c r="BAA212" s="412"/>
      <c r="BAB212" s="412"/>
      <c r="BAC212" s="412"/>
      <c r="BAD212" s="412"/>
      <c r="BAE212" s="412"/>
      <c r="BAF212" s="412"/>
      <c r="BAG212" s="412"/>
      <c r="BAH212" s="412"/>
      <c r="BAI212" s="412"/>
      <c r="BAJ212" s="412"/>
      <c r="BAK212" s="412"/>
      <c r="BAL212" s="412"/>
      <c r="BAM212" s="412"/>
      <c r="BAN212" s="412"/>
      <c r="BAO212" s="412"/>
      <c r="BAP212" s="412"/>
      <c r="BAQ212" s="412"/>
      <c r="BAR212" s="412"/>
      <c r="BAS212" s="412"/>
      <c r="BAT212" s="412"/>
      <c r="BAU212" s="412"/>
      <c r="BAV212" s="412"/>
      <c r="BAW212" s="412"/>
      <c r="BAX212" s="412"/>
      <c r="BAY212" s="412"/>
      <c r="BAZ212" s="412"/>
      <c r="BBA212" s="412"/>
      <c r="BBB212" s="412"/>
      <c r="BBC212" s="412"/>
      <c r="BBD212" s="412"/>
      <c r="BBE212" s="412"/>
      <c r="BBF212" s="412"/>
      <c r="BBG212" s="412"/>
      <c r="BBH212" s="412"/>
      <c r="BBI212" s="412"/>
      <c r="BBJ212" s="412"/>
      <c r="BBK212" s="412"/>
      <c r="BBL212" s="412"/>
      <c r="BBM212" s="412"/>
      <c r="BBN212" s="412"/>
      <c r="BBO212" s="412"/>
      <c r="BBP212" s="412"/>
      <c r="BBQ212" s="412"/>
      <c r="BBR212" s="412"/>
      <c r="BBS212" s="412"/>
      <c r="BBT212" s="412"/>
      <c r="BBU212" s="412"/>
      <c r="BBV212" s="412"/>
      <c r="BBW212" s="412"/>
      <c r="BBX212" s="412"/>
      <c r="BBY212" s="412"/>
      <c r="BBZ212" s="412"/>
      <c r="BCA212" s="412"/>
      <c r="BCB212" s="412"/>
      <c r="BCC212" s="412"/>
      <c r="BCD212" s="412"/>
      <c r="BCE212" s="412"/>
      <c r="BCF212" s="412"/>
      <c r="BCG212" s="412"/>
      <c r="BCH212" s="412"/>
      <c r="BCI212" s="412"/>
      <c r="BCJ212" s="412"/>
      <c r="BCK212" s="412"/>
      <c r="BCL212" s="412"/>
      <c r="BCM212" s="412"/>
      <c r="BCN212" s="412"/>
      <c r="BCO212" s="412"/>
      <c r="BCP212" s="412"/>
      <c r="BCQ212" s="412"/>
      <c r="BCR212" s="412"/>
      <c r="BCS212" s="412"/>
      <c r="BCT212" s="412"/>
      <c r="BCU212" s="412"/>
      <c r="BCV212" s="412"/>
      <c r="BCW212" s="412"/>
      <c r="BCX212" s="412"/>
      <c r="BCY212" s="412"/>
      <c r="BCZ212" s="412"/>
      <c r="BDA212" s="412"/>
      <c r="BDB212" s="412"/>
      <c r="BDC212" s="412"/>
      <c r="BDD212" s="412"/>
      <c r="BDE212" s="412"/>
      <c r="BDF212" s="412"/>
      <c r="BDG212" s="412"/>
      <c r="BDH212" s="412"/>
      <c r="BDI212" s="412"/>
      <c r="BDJ212" s="412"/>
      <c r="BDK212" s="412"/>
      <c r="BDL212" s="412"/>
      <c r="BDM212" s="412"/>
      <c r="BDN212" s="412"/>
      <c r="BDO212" s="412"/>
      <c r="BDP212" s="412"/>
      <c r="BDQ212" s="412"/>
      <c r="BDR212" s="412"/>
      <c r="BDS212" s="412"/>
      <c r="BDT212" s="412"/>
      <c r="BDU212" s="412"/>
      <c r="BDV212" s="412"/>
      <c r="BDW212" s="412"/>
      <c r="BDX212" s="412"/>
      <c r="BDY212" s="412"/>
      <c r="BDZ212" s="412"/>
      <c r="BEA212" s="412"/>
      <c r="BEB212" s="412"/>
      <c r="BEC212" s="412"/>
      <c r="BED212" s="412"/>
      <c r="BEE212" s="412"/>
      <c r="BEF212" s="412"/>
      <c r="BEG212" s="412"/>
      <c r="BEH212" s="412"/>
      <c r="BEI212" s="412"/>
      <c r="BEJ212" s="412"/>
      <c r="BEK212" s="412"/>
      <c r="BEL212" s="412"/>
      <c r="BEM212" s="412"/>
      <c r="BEN212" s="412"/>
      <c r="BEO212" s="412"/>
      <c r="BEP212" s="412"/>
      <c r="BEQ212" s="412"/>
      <c r="BER212" s="412"/>
      <c r="BES212" s="412"/>
      <c r="BET212" s="412"/>
      <c r="BEU212" s="412"/>
      <c r="BEV212" s="412"/>
      <c r="BEW212" s="412"/>
      <c r="BEX212" s="412"/>
      <c r="BEY212" s="412"/>
      <c r="BEZ212" s="412"/>
      <c r="BFA212" s="412"/>
      <c r="BFB212" s="412"/>
      <c r="BFC212" s="412"/>
      <c r="BFD212" s="412"/>
      <c r="BFE212" s="412"/>
      <c r="BFF212" s="412"/>
      <c r="BFG212" s="412"/>
      <c r="BFH212" s="412"/>
      <c r="BFI212" s="412"/>
      <c r="BFJ212" s="412"/>
      <c r="BFK212" s="412"/>
      <c r="BFL212" s="412"/>
      <c r="BFM212" s="412"/>
      <c r="BFN212" s="412"/>
      <c r="BFO212" s="412"/>
      <c r="BFP212" s="412"/>
      <c r="BFQ212" s="412"/>
      <c r="BFR212" s="412"/>
      <c r="BFS212" s="412"/>
      <c r="BFT212" s="412"/>
      <c r="BFU212" s="412"/>
      <c r="BFV212" s="412"/>
      <c r="BFW212" s="412"/>
      <c r="BFX212" s="412"/>
      <c r="BFY212" s="412"/>
      <c r="BFZ212" s="412"/>
      <c r="BGA212" s="412"/>
      <c r="BGB212" s="412"/>
      <c r="BGC212" s="412"/>
      <c r="BGD212" s="412"/>
      <c r="BGE212" s="412"/>
      <c r="BGF212" s="412"/>
      <c r="BGG212" s="412"/>
      <c r="BGH212" s="412"/>
      <c r="BGI212" s="412"/>
      <c r="BGJ212" s="412"/>
      <c r="BGK212" s="412"/>
      <c r="BGL212" s="412"/>
      <c r="BGM212" s="412"/>
      <c r="BGN212" s="412"/>
      <c r="BGO212" s="412"/>
      <c r="BGP212" s="412"/>
      <c r="BGQ212" s="412"/>
      <c r="BGR212" s="412"/>
      <c r="BGS212" s="412"/>
      <c r="BGT212" s="412"/>
      <c r="BGU212" s="412"/>
      <c r="BGV212" s="412"/>
      <c r="BGW212" s="412"/>
      <c r="BGX212" s="412"/>
      <c r="BGY212" s="412"/>
      <c r="BGZ212" s="412"/>
      <c r="BHA212" s="412"/>
      <c r="BHB212" s="412"/>
      <c r="BHC212" s="412"/>
      <c r="BHD212" s="412"/>
      <c r="BHE212" s="412"/>
      <c r="BHF212" s="412"/>
      <c r="BHG212" s="412"/>
      <c r="BHH212" s="412"/>
      <c r="BHI212" s="412"/>
      <c r="BHJ212" s="412"/>
      <c r="BHK212" s="412"/>
      <c r="BHL212" s="412"/>
      <c r="BHM212" s="412"/>
      <c r="BHN212" s="412"/>
      <c r="BHO212" s="412"/>
      <c r="BHP212" s="412"/>
      <c r="BHQ212" s="412"/>
      <c r="BHR212" s="412"/>
      <c r="BHS212" s="412"/>
      <c r="BHT212" s="412"/>
      <c r="BHU212" s="412"/>
      <c r="BHV212" s="412"/>
      <c r="BHW212" s="412"/>
      <c r="BHX212" s="412"/>
      <c r="BHY212" s="412"/>
      <c r="BHZ212" s="412"/>
      <c r="BIA212" s="412"/>
      <c r="BIB212" s="412"/>
      <c r="BIC212" s="412"/>
      <c r="BID212" s="412"/>
      <c r="BIE212" s="412"/>
      <c r="BIF212" s="412"/>
      <c r="BIG212" s="412"/>
      <c r="BIH212" s="412"/>
      <c r="BII212" s="412"/>
      <c r="BIJ212" s="412"/>
      <c r="BIK212" s="412"/>
      <c r="BIL212" s="412"/>
      <c r="BIM212" s="412"/>
      <c r="BIN212" s="412"/>
      <c r="BIO212" s="412"/>
      <c r="BIP212" s="412"/>
      <c r="BIQ212" s="412"/>
      <c r="BIR212" s="412"/>
      <c r="BIS212" s="412"/>
      <c r="BIT212" s="412"/>
      <c r="BIU212" s="412"/>
      <c r="BIV212" s="412"/>
      <c r="BIW212" s="412"/>
      <c r="BIX212" s="412"/>
      <c r="BIY212" s="412"/>
      <c r="BIZ212" s="412"/>
      <c r="BJA212" s="412"/>
      <c r="BJB212" s="412"/>
      <c r="BJC212" s="412"/>
      <c r="BJD212" s="412"/>
      <c r="BJE212" s="412"/>
      <c r="BJF212" s="412"/>
      <c r="BJG212" s="412"/>
      <c r="BJH212" s="412"/>
      <c r="BJI212" s="412"/>
      <c r="BJJ212" s="412"/>
      <c r="BJK212" s="412"/>
      <c r="BJL212" s="412"/>
      <c r="BJM212" s="412"/>
      <c r="BJN212" s="412"/>
      <c r="BJO212" s="412"/>
      <c r="BJP212" s="412"/>
      <c r="BJQ212" s="412"/>
      <c r="BJR212" s="412"/>
      <c r="BJS212" s="412"/>
      <c r="BJT212" s="412"/>
      <c r="BJU212" s="412"/>
      <c r="BJV212" s="412"/>
      <c r="BJW212" s="412"/>
      <c r="BJX212" s="412"/>
      <c r="BJY212" s="412"/>
      <c r="BJZ212" s="412"/>
      <c r="BKA212" s="412"/>
      <c r="BKB212" s="412"/>
      <c r="BKC212" s="412"/>
      <c r="BKD212" s="412"/>
      <c r="BKE212" s="412"/>
      <c r="BKF212" s="412"/>
      <c r="BKG212" s="412"/>
      <c r="BKH212" s="412"/>
      <c r="BKI212" s="412"/>
      <c r="BKJ212" s="412"/>
      <c r="BKK212" s="412"/>
      <c r="BKL212" s="412"/>
      <c r="BKM212" s="412"/>
      <c r="BKN212" s="412"/>
      <c r="BKO212" s="412"/>
      <c r="BKP212" s="412"/>
      <c r="BKQ212" s="412"/>
      <c r="BKR212" s="412"/>
      <c r="BKS212" s="412"/>
      <c r="BKT212" s="412"/>
      <c r="BKU212" s="412"/>
      <c r="BKV212" s="412"/>
      <c r="BKW212" s="412"/>
      <c r="BKX212" s="412"/>
      <c r="BKY212" s="412"/>
      <c r="BKZ212" s="412"/>
      <c r="BLA212" s="412"/>
      <c r="BLB212" s="412"/>
      <c r="BLC212" s="412"/>
      <c r="BLD212" s="412"/>
      <c r="BLE212" s="412"/>
      <c r="BLF212" s="412"/>
      <c r="BLG212" s="412"/>
      <c r="BLH212" s="412"/>
      <c r="BLI212" s="412"/>
      <c r="BLJ212" s="412"/>
      <c r="BLK212" s="412"/>
      <c r="BLL212" s="412"/>
      <c r="BLM212" s="412"/>
      <c r="BLN212" s="412"/>
      <c r="BLO212" s="412"/>
      <c r="BLP212" s="412"/>
      <c r="BLQ212" s="412"/>
      <c r="BLR212" s="412"/>
      <c r="BLS212" s="412"/>
      <c r="BLT212" s="412"/>
      <c r="BLU212" s="412"/>
      <c r="BLV212" s="412"/>
      <c r="BLW212" s="412"/>
      <c r="BLX212" s="412"/>
      <c r="BLY212" s="412"/>
      <c r="BLZ212" s="412"/>
      <c r="BMA212" s="412"/>
      <c r="BMB212" s="412"/>
      <c r="BMC212" s="412"/>
      <c r="BMD212" s="412"/>
      <c r="BME212" s="412"/>
      <c r="BMF212" s="412"/>
      <c r="BMG212" s="412"/>
      <c r="BMH212" s="412"/>
      <c r="BMI212" s="412"/>
      <c r="BMJ212" s="412"/>
      <c r="BMK212" s="412"/>
      <c r="BML212" s="412"/>
      <c r="BMM212" s="412"/>
      <c r="BMN212" s="412"/>
      <c r="BMO212" s="412"/>
      <c r="BMP212" s="412"/>
      <c r="BMQ212" s="412"/>
      <c r="BMR212" s="412"/>
      <c r="BMS212" s="412"/>
      <c r="BMT212" s="412"/>
      <c r="BMU212" s="412"/>
      <c r="BMV212" s="412"/>
      <c r="BMW212" s="412"/>
      <c r="BMX212" s="412"/>
      <c r="BMY212" s="412"/>
      <c r="BMZ212" s="412"/>
      <c r="BNA212" s="412"/>
      <c r="BNB212" s="412"/>
      <c r="BNC212" s="412"/>
      <c r="BND212" s="412"/>
      <c r="BNE212" s="412"/>
      <c r="BNF212" s="412"/>
      <c r="BNG212" s="412"/>
      <c r="BNH212" s="412"/>
      <c r="BNI212" s="412"/>
      <c r="BNJ212" s="412"/>
      <c r="BNK212" s="412"/>
      <c r="BNL212" s="412"/>
      <c r="BNM212" s="412"/>
      <c r="BNN212" s="412"/>
      <c r="BNO212" s="412"/>
      <c r="BNP212" s="412"/>
      <c r="BNQ212" s="412"/>
      <c r="BNR212" s="412"/>
      <c r="BNS212" s="412"/>
      <c r="BNT212" s="412"/>
      <c r="BNU212" s="412"/>
      <c r="BNV212" s="412"/>
      <c r="BNW212" s="412"/>
      <c r="BNX212" s="412"/>
      <c r="BNY212" s="412"/>
      <c r="BNZ212" s="412"/>
      <c r="BOA212" s="412"/>
      <c r="BOB212" s="412"/>
      <c r="BOC212" s="412"/>
      <c r="BOD212" s="412"/>
      <c r="BOE212" s="412"/>
      <c r="BOF212" s="412"/>
      <c r="BOG212" s="412"/>
      <c r="BOH212" s="412"/>
      <c r="BOI212" s="412"/>
      <c r="BOJ212" s="412"/>
      <c r="BOK212" s="412"/>
      <c r="BOL212" s="412"/>
      <c r="BOM212" s="412"/>
      <c r="BON212" s="412"/>
      <c r="BOO212" s="412"/>
      <c r="BOP212" s="412"/>
      <c r="BOQ212" s="412"/>
      <c r="BOR212" s="412"/>
      <c r="BOS212" s="412"/>
      <c r="BOT212" s="412"/>
      <c r="BOU212" s="412"/>
      <c r="BOV212" s="412"/>
      <c r="BOW212" s="412"/>
      <c r="BOX212" s="412"/>
      <c r="BOY212" s="412"/>
      <c r="BOZ212" s="412"/>
      <c r="BPA212" s="412"/>
      <c r="BPB212" s="412"/>
      <c r="BPC212" s="412"/>
      <c r="BPD212" s="412"/>
      <c r="BPE212" s="412"/>
      <c r="BPF212" s="412"/>
      <c r="BPG212" s="412"/>
      <c r="BPH212" s="412"/>
      <c r="BPI212" s="412"/>
      <c r="BPJ212" s="412"/>
      <c r="BPK212" s="412"/>
      <c r="BPL212" s="412"/>
      <c r="BPM212" s="412"/>
      <c r="BPN212" s="412"/>
      <c r="BPO212" s="412"/>
      <c r="BPP212" s="412"/>
      <c r="BPQ212" s="412"/>
      <c r="BPR212" s="412"/>
      <c r="BPS212" s="412"/>
      <c r="BPT212" s="412"/>
      <c r="BPU212" s="412"/>
      <c r="BPV212" s="412"/>
      <c r="BPW212" s="412"/>
      <c r="BPX212" s="412"/>
      <c r="BPY212" s="412"/>
      <c r="BPZ212" s="412"/>
      <c r="BQA212" s="412"/>
      <c r="BQB212" s="412"/>
      <c r="BQC212" s="412"/>
      <c r="BQD212" s="412"/>
      <c r="BQE212" s="412"/>
      <c r="BQF212" s="412"/>
      <c r="BQG212" s="412"/>
      <c r="BQH212" s="412"/>
      <c r="BQI212" s="412"/>
      <c r="BQJ212" s="412"/>
      <c r="BQK212" s="412"/>
      <c r="BQL212" s="412"/>
      <c r="BQM212" s="412"/>
      <c r="BQN212" s="412"/>
      <c r="BQO212" s="412"/>
      <c r="BQP212" s="412"/>
      <c r="BQQ212" s="412"/>
      <c r="BQR212" s="412"/>
      <c r="BQS212" s="412"/>
      <c r="BQT212" s="412"/>
      <c r="BQU212" s="412"/>
      <c r="BQV212" s="412"/>
      <c r="BQW212" s="412"/>
      <c r="BQX212" s="412"/>
      <c r="BQY212" s="412"/>
      <c r="BQZ212" s="412"/>
      <c r="BRA212" s="412"/>
      <c r="BRB212" s="412"/>
      <c r="BRC212" s="412"/>
      <c r="BRD212" s="412"/>
      <c r="BRE212" s="412"/>
      <c r="BRF212" s="412"/>
      <c r="BRG212" s="412"/>
      <c r="BRH212" s="412"/>
      <c r="BRI212" s="412"/>
      <c r="BRJ212" s="412"/>
      <c r="BRK212" s="412"/>
      <c r="BRL212" s="412"/>
      <c r="BRM212" s="412"/>
      <c r="BRN212" s="412"/>
      <c r="BRO212" s="412"/>
      <c r="BRP212" s="412"/>
      <c r="BRQ212" s="412"/>
      <c r="BRR212" s="412"/>
      <c r="BRS212" s="412"/>
      <c r="BRT212" s="412"/>
      <c r="BRU212" s="412"/>
      <c r="BRV212" s="412"/>
      <c r="BRW212" s="412"/>
      <c r="BRX212" s="412"/>
      <c r="BRY212" s="412"/>
      <c r="BRZ212" s="412"/>
      <c r="BSA212" s="412"/>
      <c r="BSB212" s="412"/>
      <c r="BSC212" s="412"/>
      <c r="BSD212" s="412"/>
      <c r="BSE212" s="412"/>
      <c r="BSF212" s="412"/>
      <c r="BSG212" s="412"/>
      <c r="BSH212" s="412"/>
      <c r="BSI212" s="412"/>
      <c r="BSJ212" s="412"/>
      <c r="BSK212" s="412"/>
      <c r="BSL212" s="412"/>
      <c r="BSM212" s="412"/>
      <c r="BSN212" s="412"/>
      <c r="BSO212" s="412"/>
      <c r="BSP212" s="412"/>
      <c r="BSQ212" s="412"/>
      <c r="BSR212" s="412"/>
      <c r="BSS212" s="412"/>
      <c r="BST212" s="412"/>
      <c r="BSU212" s="412"/>
      <c r="BSV212" s="412"/>
      <c r="BSW212" s="412"/>
      <c r="BSX212" s="412"/>
      <c r="BSY212" s="412"/>
      <c r="BSZ212" s="412"/>
      <c r="BTA212" s="412"/>
      <c r="BTB212" s="412"/>
      <c r="BTC212" s="412"/>
      <c r="BTD212" s="412"/>
      <c r="BTE212" s="412"/>
      <c r="BTF212" s="412"/>
      <c r="BTG212" s="412"/>
      <c r="BTH212" s="412"/>
      <c r="BTI212" s="412"/>
    </row>
    <row r="213" spans="1:1881" s="320" customFormat="1" ht="35.25" customHeight="1" x14ac:dyDescent="0.25">
      <c r="A213" s="190"/>
      <c r="B213" s="162" t="s">
        <v>27</v>
      </c>
      <c r="C213" s="161"/>
      <c r="D213" s="155"/>
      <c r="E213" s="149"/>
      <c r="F213" s="749"/>
      <c r="G213" s="571"/>
      <c r="H213" s="13"/>
      <c r="I213" s="31"/>
      <c r="J213" s="368"/>
      <c r="K213" s="412"/>
      <c r="L213" s="412"/>
      <c r="M213" s="412"/>
      <c r="N213"/>
      <c r="O213" s="412"/>
      <c r="P213" s="412"/>
      <c r="Q213" s="412"/>
      <c r="R213" s="412"/>
      <c r="S213" s="412"/>
      <c r="T213" s="412"/>
      <c r="U213" s="412"/>
      <c r="V213" s="412"/>
      <c r="W213" s="412"/>
      <c r="X213" s="412"/>
      <c r="Y213" s="412"/>
      <c r="Z213" s="412"/>
      <c r="AA213" s="412"/>
      <c r="AB213" s="412"/>
      <c r="AC213" s="412"/>
      <c r="AD213" s="412"/>
      <c r="AE213" s="412"/>
      <c r="AF213" s="412"/>
      <c r="AG213" s="412"/>
      <c r="AH213" s="412"/>
      <c r="AI213" s="412"/>
      <c r="AJ213" s="412"/>
      <c r="AK213" s="412"/>
      <c r="AL213" s="412"/>
      <c r="AM213" s="412"/>
      <c r="AN213" s="412"/>
      <c r="AO213" s="412"/>
      <c r="AP213" s="412"/>
      <c r="AQ213" s="412"/>
      <c r="AR213" s="412"/>
      <c r="AS213" s="412"/>
      <c r="AT213" s="412"/>
      <c r="AU213" s="412"/>
      <c r="AV213" s="412"/>
      <c r="AW213" s="412"/>
      <c r="AX213" s="412"/>
      <c r="AY213" s="412"/>
      <c r="AZ213" s="412"/>
      <c r="BA213" s="412"/>
      <c r="BB213" s="412"/>
      <c r="BC213" s="412"/>
      <c r="BD213" s="412"/>
      <c r="BE213" s="412"/>
      <c r="BF213" s="412"/>
      <c r="BG213" s="412"/>
      <c r="BH213" s="412"/>
      <c r="BI213" s="412"/>
      <c r="BJ213" s="412"/>
      <c r="BK213" s="412"/>
      <c r="BL213" s="412"/>
      <c r="BM213" s="412"/>
      <c r="BN213" s="412"/>
      <c r="BO213" s="412"/>
      <c r="BP213" s="412"/>
      <c r="BQ213" s="412"/>
      <c r="BR213" s="412"/>
      <c r="BS213" s="412"/>
      <c r="BT213" s="412"/>
      <c r="BU213" s="412"/>
      <c r="BV213" s="412"/>
      <c r="BW213" s="412"/>
      <c r="BX213" s="412"/>
      <c r="BY213" s="412"/>
      <c r="BZ213" s="412"/>
      <c r="CA213" s="412"/>
      <c r="CB213" s="412"/>
      <c r="CC213" s="412"/>
      <c r="CD213" s="412"/>
      <c r="CE213" s="412"/>
      <c r="CF213" s="412"/>
      <c r="CG213" s="412"/>
      <c r="CH213" s="412"/>
      <c r="CI213" s="412"/>
      <c r="CJ213" s="412"/>
      <c r="CK213" s="412"/>
      <c r="CL213" s="412"/>
      <c r="CM213" s="412"/>
      <c r="CN213" s="412"/>
      <c r="CO213" s="412"/>
      <c r="CP213" s="412"/>
      <c r="CQ213" s="412"/>
      <c r="CR213" s="412"/>
      <c r="CS213" s="412"/>
      <c r="CT213" s="412"/>
      <c r="CU213" s="412"/>
      <c r="CV213" s="412"/>
      <c r="CW213" s="412"/>
      <c r="CX213" s="412"/>
      <c r="CY213" s="412"/>
      <c r="CZ213" s="412"/>
      <c r="DA213" s="412"/>
      <c r="DB213" s="412"/>
      <c r="DC213" s="412"/>
      <c r="DD213" s="412"/>
      <c r="DE213" s="412"/>
      <c r="DF213" s="412"/>
      <c r="DG213" s="412"/>
      <c r="DH213" s="412"/>
      <c r="DI213" s="412"/>
      <c r="DJ213" s="412"/>
      <c r="DK213" s="412"/>
      <c r="DL213" s="412"/>
      <c r="DM213" s="412"/>
      <c r="DN213" s="412"/>
      <c r="DO213" s="412"/>
      <c r="DP213" s="412"/>
      <c r="DQ213" s="412"/>
      <c r="DR213" s="412"/>
      <c r="DS213" s="412"/>
      <c r="DT213" s="412"/>
      <c r="DU213" s="412"/>
      <c r="DV213" s="412"/>
      <c r="DW213" s="412"/>
      <c r="DX213" s="412"/>
      <c r="DY213" s="412"/>
      <c r="DZ213" s="412"/>
      <c r="EA213" s="412"/>
      <c r="EB213" s="412"/>
      <c r="EC213" s="412"/>
      <c r="ED213" s="412"/>
      <c r="EE213" s="412"/>
      <c r="EF213" s="412"/>
      <c r="EG213" s="412"/>
      <c r="EH213" s="412"/>
      <c r="EI213" s="412"/>
      <c r="EJ213" s="412"/>
      <c r="EK213" s="412"/>
      <c r="EL213" s="412"/>
      <c r="EM213" s="412"/>
      <c r="EN213" s="412"/>
      <c r="EO213" s="412"/>
      <c r="EP213" s="412"/>
      <c r="EQ213" s="412"/>
      <c r="ER213" s="412"/>
      <c r="ES213" s="412"/>
      <c r="ET213" s="412"/>
      <c r="EU213" s="412"/>
      <c r="EV213" s="412"/>
      <c r="EW213" s="412"/>
      <c r="EX213" s="412"/>
      <c r="EY213" s="412"/>
      <c r="EZ213" s="412"/>
      <c r="FA213" s="412"/>
      <c r="FB213" s="412"/>
      <c r="FC213" s="412"/>
      <c r="FD213" s="412"/>
      <c r="FE213" s="412"/>
      <c r="FF213" s="412"/>
      <c r="FG213" s="412"/>
      <c r="FH213" s="412"/>
      <c r="FI213" s="412"/>
      <c r="FJ213" s="412"/>
      <c r="FK213" s="412"/>
      <c r="FL213" s="412"/>
      <c r="FM213" s="412"/>
      <c r="FN213" s="412"/>
      <c r="FO213" s="412"/>
      <c r="FP213" s="412"/>
      <c r="FQ213" s="412"/>
      <c r="FR213" s="412"/>
      <c r="FS213" s="412"/>
      <c r="FT213" s="412"/>
      <c r="FU213" s="412"/>
      <c r="FV213" s="412"/>
      <c r="FW213" s="412"/>
      <c r="FX213" s="412"/>
      <c r="FY213" s="412"/>
      <c r="FZ213" s="412"/>
      <c r="GA213" s="412"/>
      <c r="GB213" s="412"/>
      <c r="GC213" s="412"/>
      <c r="GD213" s="412"/>
      <c r="GE213" s="412"/>
      <c r="GF213" s="412"/>
      <c r="GG213" s="412"/>
      <c r="GH213" s="412"/>
      <c r="GI213" s="412"/>
      <c r="GJ213" s="412"/>
      <c r="GK213" s="412"/>
      <c r="GL213" s="412"/>
      <c r="GM213" s="412"/>
      <c r="GN213" s="412"/>
      <c r="GO213" s="412"/>
      <c r="GP213" s="412"/>
      <c r="GQ213" s="412"/>
      <c r="GR213" s="412"/>
      <c r="GS213" s="412"/>
      <c r="GT213" s="412"/>
      <c r="GU213" s="412"/>
      <c r="GV213" s="412"/>
      <c r="GW213" s="412"/>
      <c r="GX213" s="412"/>
      <c r="GY213" s="412"/>
      <c r="GZ213" s="412"/>
      <c r="HA213" s="412"/>
      <c r="HB213" s="412"/>
      <c r="HC213" s="412"/>
      <c r="HD213" s="412"/>
      <c r="HE213" s="412"/>
      <c r="HF213" s="412"/>
      <c r="HG213" s="412"/>
      <c r="HH213" s="412"/>
      <c r="HI213" s="412"/>
      <c r="HJ213" s="412"/>
      <c r="HK213" s="412"/>
      <c r="HL213" s="412"/>
      <c r="HM213" s="412"/>
      <c r="HN213" s="412"/>
      <c r="HO213" s="412"/>
      <c r="HP213" s="412"/>
      <c r="HQ213" s="412"/>
      <c r="HR213" s="412"/>
      <c r="HS213" s="412"/>
      <c r="HT213" s="412"/>
      <c r="HU213" s="412"/>
      <c r="HV213" s="412"/>
      <c r="HW213" s="412"/>
      <c r="HX213" s="412"/>
      <c r="HY213" s="412"/>
      <c r="HZ213" s="412"/>
      <c r="IA213" s="412"/>
      <c r="IB213" s="412"/>
      <c r="IC213" s="412"/>
      <c r="ID213" s="412"/>
      <c r="IE213" s="412"/>
      <c r="IF213" s="412"/>
      <c r="IG213" s="412"/>
      <c r="IH213" s="412"/>
      <c r="II213" s="412"/>
      <c r="IJ213" s="412"/>
      <c r="IK213" s="412"/>
      <c r="IL213" s="412"/>
      <c r="IM213" s="412"/>
      <c r="IN213" s="412"/>
      <c r="IO213" s="412"/>
      <c r="IP213" s="412"/>
      <c r="IQ213" s="412"/>
      <c r="IR213" s="412"/>
      <c r="IS213" s="412"/>
      <c r="IT213" s="412"/>
      <c r="IU213" s="412"/>
      <c r="IV213" s="412"/>
      <c r="IW213" s="412"/>
      <c r="IX213" s="412"/>
      <c r="IY213" s="412"/>
      <c r="IZ213" s="412"/>
      <c r="JA213" s="412"/>
      <c r="JB213" s="412"/>
      <c r="JC213" s="412"/>
      <c r="JD213" s="412"/>
      <c r="JE213" s="412"/>
      <c r="JF213" s="412"/>
      <c r="JG213" s="412"/>
      <c r="JH213" s="412"/>
      <c r="JI213" s="412"/>
      <c r="JJ213" s="412"/>
      <c r="JK213" s="412"/>
      <c r="JL213" s="412"/>
      <c r="JM213" s="412"/>
      <c r="JN213" s="412"/>
      <c r="JO213" s="412"/>
      <c r="JP213" s="412"/>
      <c r="JQ213" s="412"/>
      <c r="JR213" s="412"/>
      <c r="JS213" s="412"/>
      <c r="JT213" s="412"/>
      <c r="JU213" s="412"/>
      <c r="JV213" s="412"/>
      <c r="JW213" s="412"/>
      <c r="JX213" s="412"/>
      <c r="JY213" s="412"/>
      <c r="JZ213" s="412"/>
      <c r="KA213" s="412"/>
      <c r="KB213" s="412"/>
      <c r="KC213" s="412"/>
      <c r="KD213" s="412"/>
      <c r="KE213" s="412"/>
      <c r="KF213" s="412"/>
      <c r="KG213" s="412"/>
      <c r="KH213" s="412"/>
      <c r="KI213" s="412"/>
      <c r="KJ213" s="412"/>
      <c r="KK213" s="412"/>
      <c r="KL213" s="412"/>
      <c r="KM213" s="412"/>
      <c r="KN213" s="412"/>
      <c r="KO213" s="412"/>
      <c r="KP213" s="412"/>
      <c r="KQ213" s="412"/>
      <c r="KR213" s="412"/>
      <c r="KS213" s="412"/>
      <c r="KT213" s="412"/>
      <c r="KU213" s="412"/>
      <c r="KV213" s="412"/>
      <c r="KW213" s="412"/>
      <c r="KX213" s="412"/>
      <c r="KY213" s="412"/>
      <c r="KZ213" s="412"/>
      <c r="LA213" s="412"/>
      <c r="LB213" s="412"/>
      <c r="LC213" s="412"/>
      <c r="LD213" s="412"/>
      <c r="LE213" s="412"/>
      <c r="LF213" s="412"/>
      <c r="LG213" s="412"/>
      <c r="LH213" s="412"/>
      <c r="LI213" s="412"/>
      <c r="LJ213" s="412"/>
      <c r="LK213" s="412"/>
      <c r="LL213" s="412"/>
      <c r="LM213" s="412"/>
      <c r="LN213" s="412"/>
      <c r="LO213" s="412"/>
      <c r="LP213" s="412"/>
      <c r="LQ213" s="412"/>
      <c r="LR213" s="412"/>
      <c r="LS213" s="412"/>
      <c r="LT213" s="412"/>
      <c r="LU213" s="412"/>
      <c r="LV213" s="412"/>
      <c r="LW213" s="412"/>
      <c r="LX213" s="412"/>
      <c r="LY213" s="412"/>
      <c r="LZ213" s="412"/>
      <c r="MA213" s="412"/>
      <c r="MB213" s="412"/>
      <c r="MC213" s="412"/>
      <c r="MD213" s="412"/>
      <c r="ME213" s="412"/>
      <c r="MF213" s="412"/>
      <c r="MG213" s="412"/>
      <c r="MH213" s="412"/>
      <c r="MI213" s="412"/>
      <c r="MJ213" s="412"/>
      <c r="MK213" s="412"/>
      <c r="ML213" s="412"/>
      <c r="MM213" s="412"/>
      <c r="MN213" s="412"/>
      <c r="MO213" s="412"/>
      <c r="MP213" s="412"/>
      <c r="MQ213" s="412"/>
      <c r="MR213" s="412"/>
      <c r="MS213" s="412"/>
      <c r="MT213" s="412"/>
      <c r="MU213" s="412"/>
      <c r="MV213" s="412"/>
      <c r="MW213" s="412"/>
      <c r="MX213" s="412"/>
      <c r="MY213" s="412"/>
      <c r="MZ213" s="412"/>
      <c r="NA213" s="412"/>
      <c r="NB213" s="412"/>
      <c r="NC213" s="412"/>
      <c r="ND213" s="412"/>
      <c r="NE213" s="412"/>
      <c r="NF213" s="412"/>
      <c r="NG213" s="412"/>
      <c r="NH213" s="412"/>
      <c r="NI213" s="412"/>
      <c r="NJ213" s="412"/>
      <c r="NK213" s="412"/>
      <c r="NL213" s="412"/>
      <c r="NM213" s="412"/>
      <c r="NN213" s="412"/>
      <c r="NO213" s="412"/>
      <c r="NP213" s="412"/>
      <c r="NQ213" s="412"/>
      <c r="NR213" s="412"/>
      <c r="NS213" s="412"/>
      <c r="NT213" s="412"/>
      <c r="NU213" s="412"/>
      <c r="NV213" s="412"/>
      <c r="NW213" s="412"/>
      <c r="NX213" s="412"/>
      <c r="NY213" s="412"/>
      <c r="NZ213" s="412"/>
      <c r="OA213" s="412"/>
      <c r="OB213" s="412"/>
      <c r="OC213" s="412"/>
      <c r="OD213" s="412"/>
      <c r="OE213" s="412"/>
      <c r="OF213" s="412"/>
      <c r="OG213" s="412"/>
      <c r="OH213" s="412"/>
      <c r="OI213" s="412"/>
      <c r="OJ213" s="412"/>
      <c r="OK213" s="412"/>
      <c r="OL213" s="412"/>
      <c r="OM213" s="412"/>
      <c r="ON213" s="412"/>
      <c r="OO213" s="412"/>
      <c r="OP213" s="412"/>
      <c r="OQ213" s="412"/>
      <c r="OR213" s="412"/>
      <c r="OS213" s="412"/>
      <c r="OT213" s="412"/>
      <c r="OU213" s="412"/>
      <c r="OV213" s="412"/>
      <c r="OW213" s="412"/>
      <c r="OX213" s="412"/>
      <c r="OY213" s="412"/>
      <c r="OZ213" s="412"/>
      <c r="PA213" s="412"/>
      <c r="PB213" s="412"/>
      <c r="PC213" s="412"/>
      <c r="PD213" s="412"/>
      <c r="PE213" s="412"/>
      <c r="PF213" s="412"/>
      <c r="PG213" s="412"/>
      <c r="PH213" s="412"/>
      <c r="PI213" s="412"/>
      <c r="PJ213" s="412"/>
      <c r="PK213" s="412"/>
      <c r="PL213" s="412"/>
      <c r="PM213" s="412"/>
      <c r="PN213" s="412"/>
      <c r="PO213" s="412"/>
      <c r="PP213" s="412"/>
      <c r="PQ213" s="412"/>
      <c r="PR213" s="412"/>
      <c r="PS213" s="412"/>
      <c r="PT213" s="412"/>
      <c r="PU213" s="412"/>
      <c r="PV213" s="412"/>
      <c r="PW213" s="412"/>
      <c r="PX213" s="412"/>
      <c r="PY213" s="412"/>
      <c r="PZ213" s="412"/>
      <c r="QA213" s="412"/>
      <c r="QB213" s="412"/>
      <c r="QC213" s="412"/>
      <c r="QD213" s="412"/>
      <c r="QE213" s="412"/>
      <c r="QF213" s="412"/>
      <c r="QG213" s="412"/>
      <c r="QH213" s="412"/>
      <c r="QI213" s="412"/>
      <c r="QJ213" s="412"/>
      <c r="QK213" s="412"/>
      <c r="QL213" s="412"/>
      <c r="QM213" s="412"/>
      <c r="QN213" s="412"/>
      <c r="QO213" s="412"/>
      <c r="QP213" s="412"/>
      <c r="QQ213" s="412"/>
      <c r="QR213" s="412"/>
      <c r="QS213" s="412"/>
      <c r="QT213" s="412"/>
      <c r="QU213" s="412"/>
      <c r="QV213" s="412"/>
      <c r="QW213" s="412"/>
      <c r="QX213" s="412"/>
      <c r="QY213" s="412"/>
      <c r="QZ213" s="412"/>
      <c r="RA213" s="412"/>
      <c r="RB213" s="412"/>
      <c r="RC213" s="412"/>
      <c r="RD213" s="412"/>
      <c r="RE213" s="412"/>
      <c r="RF213" s="412"/>
      <c r="RG213" s="412"/>
      <c r="RH213" s="412"/>
      <c r="RI213" s="412"/>
      <c r="RJ213" s="412"/>
      <c r="RK213" s="412"/>
      <c r="RL213" s="412"/>
      <c r="RM213" s="412"/>
      <c r="RN213" s="412"/>
      <c r="RO213" s="412"/>
      <c r="RP213" s="412"/>
      <c r="RQ213" s="412"/>
      <c r="RR213" s="412"/>
      <c r="RS213" s="412"/>
      <c r="RT213" s="412"/>
      <c r="RU213" s="412"/>
      <c r="RV213" s="412"/>
      <c r="RW213" s="412"/>
      <c r="RX213" s="412"/>
      <c r="RY213" s="412"/>
      <c r="RZ213" s="412"/>
      <c r="SA213" s="412"/>
      <c r="SB213" s="412"/>
      <c r="SC213" s="412"/>
      <c r="SD213" s="412"/>
      <c r="SE213" s="412"/>
      <c r="SF213" s="412"/>
      <c r="SG213" s="412"/>
      <c r="SH213" s="412"/>
      <c r="SI213" s="412"/>
      <c r="SJ213" s="412"/>
      <c r="SK213" s="412"/>
      <c r="SL213" s="412"/>
      <c r="SM213" s="412"/>
      <c r="SN213" s="412"/>
      <c r="SO213" s="412"/>
      <c r="SP213" s="412"/>
      <c r="SQ213" s="412"/>
      <c r="SR213" s="412"/>
      <c r="SS213" s="412"/>
      <c r="ST213" s="412"/>
      <c r="SU213" s="412"/>
      <c r="SV213" s="412"/>
      <c r="SW213" s="412"/>
      <c r="SX213" s="412"/>
      <c r="SY213" s="412"/>
      <c r="SZ213" s="412"/>
      <c r="TA213" s="412"/>
      <c r="TB213" s="412"/>
      <c r="TC213" s="412"/>
      <c r="TD213" s="412"/>
      <c r="TE213" s="412"/>
      <c r="TF213" s="412"/>
      <c r="TG213" s="412"/>
      <c r="TH213" s="412"/>
      <c r="TI213" s="412"/>
      <c r="TJ213" s="412"/>
      <c r="TK213" s="412"/>
      <c r="TL213" s="412"/>
      <c r="TM213" s="412"/>
      <c r="TN213" s="412"/>
      <c r="TO213" s="412"/>
      <c r="TP213" s="412"/>
      <c r="TQ213" s="412"/>
      <c r="TR213" s="412"/>
      <c r="TS213" s="412"/>
      <c r="TT213" s="412"/>
      <c r="TU213" s="412"/>
      <c r="TV213" s="412"/>
      <c r="TW213" s="412"/>
      <c r="TX213" s="412"/>
      <c r="TY213" s="412"/>
      <c r="TZ213" s="412"/>
      <c r="UA213" s="412"/>
      <c r="UB213" s="412"/>
      <c r="UC213" s="412"/>
      <c r="UD213" s="412"/>
      <c r="UE213" s="412"/>
      <c r="UF213" s="412"/>
      <c r="UG213" s="412"/>
      <c r="UH213" s="412"/>
      <c r="UI213" s="412"/>
      <c r="UJ213" s="412"/>
      <c r="UK213" s="412"/>
      <c r="UL213" s="412"/>
      <c r="UM213" s="412"/>
      <c r="UN213" s="412"/>
      <c r="UO213" s="412"/>
      <c r="UP213" s="412"/>
      <c r="UQ213" s="412"/>
      <c r="UR213" s="412"/>
      <c r="US213" s="412"/>
      <c r="UT213" s="412"/>
      <c r="UU213" s="412"/>
      <c r="UV213" s="412"/>
      <c r="UW213" s="412"/>
      <c r="UX213" s="412"/>
      <c r="UY213" s="412"/>
      <c r="UZ213" s="412"/>
      <c r="VA213" s="412"/>
      <c r="VB213" s="412"/>
      <c r="VC213" s="412"/>
      <c r="VD213" s="412"/>
      <c r="VE213" s="412"/>
      <c r="VF213" s="412"/>
      <c r="VG213" s="412"/>
      <c r="VH213" s="412"/>
      <c r="VI213" s="412"/>
      <c r="VJ213" s="412"/>
      <c r="VK213" s="412"/>
      <c r="VL213" s="412"/>
      <c r="VM213" s="412"/>
      <c r="VN213" s="412"/>
      <c r="VO213" s="412"/>
      <c r="VP213" s="412"/>
      <c r="VQ213" s="412"/>
      <c r="VR213" s="412"/>
      <c r="VS213" s="412"/>
      <c r="VT213" s="412"/>
      <c r="VU213" s="412"/>
      <c r="VV213" s="412"/>
      <c r="VW213" s="412"/>
      <c r="VX213" s="412"/>
      <c r="VY213" s="412"/>
      <c r="VZ213" s="412"/>
      <c r="WA213" s="412"/>
      <c r="WB213" s="412"/>
      <c r="WC213" s="412"/>
      <c r="WD213" s="412"/>
      <c r="WE213" s="412"/>
      <c r="WF213" s="412"/>
      <c r="WG213" s="412"/>
      <c r="WH213" s="412"/>
      <c r="WI213" s="412"/>
      <c r="WJ213" s="412"/>
      <c r="WK213" s="412"/>
      <c r="WL213" s="412"/>
      <c r="WM213" s="412"/>
      <c r="WN213" s="412"/>
      <c r="WO213" s="412"/>
      <c r="WP213" s="412"/>
      <c r="WQ213" s="412"/>
      <c r="WR213" s="412"/>
      <c r="WS213" s="412"/>
      <c r="WT213" s="412"/>
      <c r="WU213" s="412"/>
      <c r="WV213" s="412"/>
      <c r="WW213" s="412"/>
      <c r="WX213" s="412"/>
      <c r="WY213" s="412"/>
      <c r="WZ213" s="412"/>
      <c r="XA213" s="412"/>
      <c r="XB213" s="412"/>
      <c r="XC213" s="412"/>
      <c r="XD213" s="412"/>
      <c r="XE213" s="412"/>
      <c r="XF213" s="412"/>
      <c r="XG213" s="412"/>
      <c r="XH213" s="412"/>
      <c r="XI213" s="412"/>
      <c r="XJ213" s="412"/>
      <c r="XK213" s="412"/>
      <c r="XL213" s="412"/>
      <c r="XM213" s="412"/>
      <c r="XN213" s="412"/>
      <c r="XO213" s="412"/>
      <c r="XP213" s="412"/>
      <c r="XQ213" s="412"/>
      <c r="XR213" s="412"/>
      <c r="XS213" s="412"/>
      <c r="XT213" s="412"/>
      <c r="XU213" s="412"/>
      <c r="XV213" s="412"/>
      <c r="XW213" s="412"/>
      <c r="XX213" s="412"/>
      <c r="XY213" s="412"/>
      <c r="XZ213" s="412"/>
      <c r="YA213" s="412"/>
      <c r="YB213" s="412"/>
      <c r="YC213" s="412"/>
      <c r="YD213" s="412"/>
      <c r="YE213" s="412"/>
      <c r="YF213" s="412"/>
      <c r="YG213" s="412"/>
      <c r="YH213" s="412"/>
      <c r="YI213" s="412"/>
      <c r="YJ213" s="412"/>
      <c r="YK213" s="412"/>
      <c r="YL213" s="412"/>
      <c r="YM213" s="412"/>
      <c r="YN213" s="412"/>
      <c r="YO213" s="412"/>
      <c r="YP213" s="412"/>
      <c r="YQ213" s="412"/>
      <c r="YR213" s="412"/>
      <c r="YS213" s="412"/>
      <c r="YT213" s="412"/>
      <c r="YU213" s="412"/>
      <c r="YV213" s="412"/>
      <c r="YW213" s="412"/>
      <c r="YX213" s="412"/>
      <c r="YY213" s="412"/>
      <c r="YZ213" s="412"/>
      <c r="ZA213" s="412"/>
      <c r="ZB213" s="412"/>
      <c r="ZC213" s="412"/>
      <c r="ZD213" s="412"/>
      <c r="ZE213" s="412"/>
      <c r="ZF213" s="412"/>
      <c r="ZG213" s="412"/>
      <c r="ZH213" s="412"/>
      <c r="ZI213" s="412"/>
      <c r="ZJ213" s="412"/>
      <c r="ZK213" s="412"/>
      <c r="ZL213" s="412"/>
      <c r="ZM213" s="412"/>
      <c r="ZN213" s="412"/>
      <c r="ZO213" s="412"/>
      <c r="ZP213" s="412"/>
      <c r="ZQ213" s="412"/>
      <c r="ZR213" s="412"/>
      <c r="ZS213" s="412"/>
      <c r="ZT213" s="412"/>
      <c r="ZU213" s="412"/>
      <c r="ZV213" s="412"/>
      <c r="ZW213" s="412"/>
      <c r="ZX213" s="412"/>
      <c r="ZY213" s="412"/>
      <c r="ZZ213" s="412"/>
      <c r="AAA213" s="412"/>
      <c r="AAB213" s="412"/>
      <c r="AAC213" s="412"/>
      <c r="AAD213" s="412"/>
      <c r="AAE213" s="412"/>
      <c r="AAF213" s="412"/>
      <c r="AAG213" s="412"/>
      <c r="AAH213" s="412"/>
      <c r="AAI213" s="412"/>
      <c r="AAJ213" s="412"/>
      <c r="AAK213" s="412"/>
      <c r="AAL213" s="412"/>
      <c r="AAM213" s="412"/>
      <c r="AAN213" s="412"/>
      <c r="AAO213" s="412"/>
      <c r="AAP213" s="412"/>
      <c r="AAQ213" s="412"/>
      <c r="AAR213" s="412"/>
      <c r="AAS213" s="412"/>
      <c r="AAT213" s="412"/>
      <c r="AAU213" s="412"/>
      <c r="AAV213" s="412"/>
      <c r="AAW213" s="412"/>
      <c r="AAX213" s="412"/>
      <c r="AAY213" s="412"/>
      <c r="AAZ213" s="412"/>
      <c r="ABA213" s="412"/>
      <c r="ABB213" s="412"/>
      <c r="ABC213" s="412"/>
      <c r="ABD213" s="412"/>
      <c r="ABE213" s="412"/>
      <c r="ABF213" s="412"/>
      <c r="ABG213" s="412"/>
      <c r="ABH213" s="412"/>
      <c r="ABI213" s="412"/>
      <c r="ABJ213" s="412"/>
      <c r="ABK213" s="412"/>
      <c r="ABL213" s="412"/>
      <c r="ABM213" s="412"/>
      <c r="ABN213" s="412"/>
      <c r="ABO213" s="412"/>
      <c r="ABP213" s="412"/>
      <c r="ABQ213" s="412"/>
      <c r="ABR213" s="412"/>
      <c r="ABS213" s="412"/>
      <c r="ABT213" s="412"/>
      <c r="ABU213" s="412"/>
      <c r="ABV213" s="412"/>
      <c r="ABW213" s="412"/>
      <c r="ABX213" s="412"/>
      <c r="ABY213" s="412"/>
      <c r="ABZ213" s="412"/>
      <c r="ACA213" s="412"/>
      <c r="ACB213" s="412"/>
      <c r="ACC213" s="412"/>
      <c r="ACD213" s="412"/>
      <c r="ACE213" s="412"/>
      <c r="ACF213" s="412"/>
      <c r="ACG213" s="412"/>
      <c r="ACH213" s="412"/>
      <c r="ACI213" s="412"/>
      <c r="ACJ213" s="412"/>
      <c r="ACK213" s="412"/>
      <c r="ACL213" s="412"/>
      <c r="ACM213" s="412"/>
      <c r="ACN213" s="412"/>
      <c r="ACO213" s="412"/>
      <c r="ACP213" s="412"/>
      <c r="ACQ213" s="412"/>
      <c r="ACR213" s="412"/>
      <c r="ACS213" s="412"/>
      <c r="ACT213" s="412"/>
      <c r="ACU213" s="412"/>
      <c r="ACV213" s="412"/>
      <c r="ACW213" s="412"/>
      <c r="ACX213" s="412"/>
      <c r="ACY213" s="412"/>
      <c r="ACZ213" s="412"/>
      <c r="ADA213" s="412"/>
      <c r="ADB213" s="412"/>
      <c r="ADC213" s="412"/>
      <c r="ADD213" s="412"/>
      <c r="ADE213" s="412"/>
      <c r="ADF213" s="412"/>
      <c r="ADG213" s="412"/>
      <c r="ADH213" s="412"/>
      <c r="ADI213" s="412"/>
      <c r="ADJ213" s="412"/>
      <c r="ADK213" s="412"/>
      <c r="ADL213" s="412"/>
      <c r="ADM213" s="412"/>
      <c r="ADN213" s="412"/>
      <c r="ADO213" s="412"/>
      <c r="ADP213" s="412"/>
      <c r="ADQ213" s="412"/>
      <c r="ADR213" s="412"/>
      <c r="ADS213" s="412"/>
      <c r="ADT213" s="412"/>
      <c r="ADU213" s="412"/>
      <c r="ADV213" s="412"/>
      <c r="ADW213" s="412"/>
      <c r="ADX213" s="412"/>
      <c r="ADY213" s="412"/>
      <c r="ADZ213" s="412"/>
      <c r="AEA213" s="412"/>
      <c r="AEB213" s="412"/>
      <c r="AEC213" s="412"/>
      <c r="AED213" s="412"/>
      <c r="AEE213" s="412"/>
      <c r="AEF213" s="412"/>
      <c r="AEG213" s="412"/>
      <c r="AEH213" s="412"/>
      <c r="AEI213" s="412"/>
      <c r="AEJ213" s="412"/>
      <c r="AEK213" s="412"/>
      <c r="AEL213" s="412"/>
      <c r="AEM213" s="412"/>
      <c r="AEN213" s="412"/>
      <c r="AEO213" s="412"/>
      <c r="AEP213" s="412"/>
      <c r="AEQ213" s="412"/>
      <c r="AER213" s="412"/>
      <c r="AES213" s="412"/>
      <c r="AET213" s="412"/>
      <c r="AEU213" s="412"/>
      <c r="AEV213" s="412"/>
      <c r="AEW213" s="412"/>
      <c r="AEX213" s="412"/>
      <c r="AEY213" s="412"/>
      <c r="AEZ213" s="412"/>
      <c r="AFA213" s="412"/>
      <c r="AFB213" s="412"/>
      <c r="AFC213" s="412"/>
      <c r="AFD213" s="412"/>
      <c r="AFE213" s="412"/>
      <c r="AFF213" s="412"/>
      <c r="AFG213" s="412"/>
      <c r="AFH213" s="412"/>
      <c r="AFI213" s="412"/>
      <c r="AFJ213" s="412"/>
      <c r="AFK213" s="412"/>
      <c r="AFL213" s="412"/>
      <c r="AFM213" s="412"/>
      <c r="AFN213" s="412"/>
      <c r="AFO213" s="412"/>
      <c r="AFP213" s="412"/>
      <c r="AFQ213" s="412"/>
      <c r="AFR213" s="412"/>
      <c r="AFS213" s="412"/>
      <c r="AFT213" s="412"/>
      <c r="AFU213" s="412"/>
      <c r="AFV213" s="412"/>
      <c r="AFW213" s="412"/>
      <c r="AFX213" s="412"/>
      <c r="AFY213" s="412"/>
      <c r="AFZ213" s="412"/>
      <c r="AGA213" s="412"/>
      <c r="AGB213" s="412"/>
      <c r="AGC213" s="412"/>
      <c r="AGD213" s="412"/>
      <c r="AGE213" s="412"/>
      <c r="AGF213" s="412"/>
      <c r="AGG213" s="412"/>
      <c r="AGH213" s="412"/>
      <c r="AGI213" s="412"/>
      <c r="AGJ213" s="412"/>
      <c r="AGK213" s="412"/>
      <c r="AGL213" s="412"/>
      <c r="AGM213" s="412"/>
      <c r="AGN213" s="412"/>
      <c r="AGO213" s="412"/>
      <c r="AGP213" s="412"/>
      <c r="AGQ213" s="412"/>
      <c r="AGR213" s="412"/>
      <c r="AGS213" s="412"/>
      <c r="AGT213" s="412"/>
      <c r="AGU213" s="412"/>
      <c r="AGV213" s="412"/>
      <c r="AGW213" s="412"/>
      <c r="AGX213" s="412"/>
      <c r="AGY213" s="412"/>
      <c r="AGZ213" s="412"/>
      <c r="AHA213" s="412"/>
      <c r="AHB213" s="412"/>
      <c r="AHC213" s="412"/>
      <c r="AHD213" s="412"/>
      <c r="AHE213" s="412"/>
      <c r="AHF213" s="412"/>
      <c r="AHG213" s="412"/>
      <c r="AHH213" s="412"/>
      <c r="AHI213" s="412"/>
      <c r="AHJ213" s="412"/>
      <c r="AHK213" s="412"/>
      <c r="AHL213" s="412"/>
      <c r="AHM213" s="412"/>
      <c r="AHN213" s="412"/>
      <c r="AHO213" s="412"/>
      <c r="AHP213" s="412"/>
      <c r="AHQ213" s="412"/>
      <c r="AHR213" s="412"/>
      <c r="AHS213" s="412"/>
      <c r="AHT213" s="412"/>
      <c r="AHU213" s="412"/>
      <c r="AHV213" s="412"/>
      <c r="AHW213" s="412"/>
      <c r="AHX213" s="412"/>
      <c r="AHY213" s="412"/>
      <c r="AHZ213" s="412"/>
      <c r="AIA213" s="412"/>
      <c r="AIB213" s="412"/>
      <c r="AIC213" s="412"/>
      <c r="AID213" s="412"/>
      <c r="AIE213" s="412"/>
      <c r="AIF213" s="412"/>
      <c r="AIG213" s="412"/>
      <c r="AIH213" s="412"/>
      <c r="AII213" s="412"/>
      <c r="AIJ213" s="412"/>
      <c r="AIK213" s="412"/>
      <c r="AIL213" s="412"/>
      <c r="AIM213" s="412"/>
      <c r="AIN213" s="412"/>
      <c r="AIO213" s="412"/>
      <c r="AIP213" s="412"/>
      <c r="AIQ213" s="412"/>
      <c r="AIR213" s="412"/>
      <c r="AIS213" s="412"/>
      <c r="AIT213" s="412"/>
      <c r="AIU213" s="412"/>
      <c r="AIV213" s="412"/>
      <c r="AIW213" s="412"/>
      <c r="AIX213" s="412"/>
      <c r="AIY213" s="412"/>
      <c r="AIZ213" s="412"/>
      <c r="AJA213" s="412"/>
      <c r="AJB213" s="412"/>
      <c r="AJC213" s="412"/>
      <c r="AJD213" s="412"/>
      <c r="AJE213" s="412"/>
      <c r="AJF213" s="412"/>
      <c r="AJG213" s="412"/>
      <c r="AJH213" s="412"/>
      <c r="AJI213" s="412"/>
      <c r="AJJ213" s="412"/>
      <c r="AJK213" s="412"/>
      <c r="AJL213" s="412"/>
      <c r="AJM213" s="412"/>
      <c r="AJN213" s="412"/>
      <c r="AJO213" s="412"/>
      <c r="AJP213" s="412"/>
      <c r="AJQ213" s="412"/>
      <c r="AJR213" s="412"/>
      <c r="AJS213" s="412"/>
      <c r="AJT213" s="412"/>
      <c r="AJU213" s="412"/>
      <c r="AJV213" s="412"/>
      <c r="AJW213" s="412"/>
      <c r="AJX213" s="412"/>
      <c r="AJY213" s="412"/>
      <c r="AJZ213" s="412"/>
      <c r="AKA213" s="412"/>
      <c r="AKB213" s="412"/>
      <c r="AKC213" s="412"/>
      <c r="AKD213" s="412"/>
      <c r="AKE213" s="412"/>
      <c r="AKF213" s="412"/>
      <c r="AKG213" s="412"/>
      <c r="AKH213" s="412"/>
      <c r="AKI213" s="412"/>
      <c r="AKJ213" s="412"/>
      <c r="AKK213" s="412"/>
      <c r="AKL213" s="412"/>
      <c r="AKM213" s="412"/>
      <c r="AKN213" s="412"/>
      <c r="AKO213" s="412"/>
      <c r="AKP213" s="412"/>
      <c r="AKQ213" s="412"/>
      <c r="AKR213" s="412"/>
      <c r="AKS213" s="412"/>
      <c r="AKT213" s="412"/>
      <c r="AKU213" s="412"/>
      <c r="AKV213" s="412"/>
      <c r="AKW213" s="412"/>
      <c r="AKX213" s="412"/>
      <c r="AKY213" s="412"/>
      <c r="AKZ213" s="412"/>
      <c r="ALA213" s="412"/>
      <c r="ALB213" s="412"/>
      <c r="ALC213" s="412"/>
      <c r="ALD213" s="412"/>
      <c r="ALE213" s="412"/>
      <c r="ALF213" s="412"/>
      <c r="ALG213" s="412"/>
      <c r="ALH213" s="412"/>
      <c r="ALI213" s="412"/>
      <c r="ALJ213" s="412"/>
      <c r="ALK213" s="412"/>
      <c r="ALL213" s="412"/>
      <c r="ALM213" s="412"/>
      <c r="ALN213" s="412"/>
      <c r="ALO213" s="412"/>
      <c r="ALP213" s="412"/>
      <c r="ALQ213" s="412"/>
      <c r="ALR213" s="412"/>
      <c r="ALS213" s="412"/>
      <c r="ALT213" s="412"/>
      <c r="ALU213" s="412"/>
      <c r="ALV213" s="412"/>
      <c r="ALW213" s="412"/>
      <c r="ALX213" s="412"/>
      <c r="ALY213" s="412"/>
      <c r="ALZ213" s="412"/>
      <c r="AMA213" s="412"/>
      <c r="AMB213" s="412"/>
      <c r="AMC213" s="412"/>
      <c r="AMD213" s="412"/>
      <c r="AME213" s="412"/>
      <c r="AMF213" s="412"/>
      <c r="AMG213" s="412"/>
      <c r="AMH213" s="412"/>
      <c r="AMI213" s="412"/>
      <c r="AMJ213" s="412"/>
      <c r="AMK213" s="412"/>
      <c r="AML213" s="412"/>
      <c r="AMM213" s="412"/>
      <c r="AMN213" s="412"/>
      <c r="AMO213" s="412"/>
      <c r="AMP213" s="412"/>
      <c r="AMQ213" s="412"/>
      <c r="AMR213" s="412"/>
      <c r="AMS213" s="412"/>
      <c r="AMT213" s="412"/>
      <c r="AMU213" s="412"/>
      <c r="AMV213" s="412"/>
      <c r="AMW213" s="412"/>
      <c r="AMX213" s="412"/>
      <c r="AMY213" s="412"/>
      <c r="AMZ213" s="412"/>
      <c r="ANA213" s="412"/>
      <c r="ANB213" s="412"/>
      <c r="ANC213" s="412"/>
      <c r="AND213" s="412"/>
      <c r="ANE213" s="412"/>
      <c r="ANF213" s="412"/>
      <c r="ANG213" s="412"/>
      <c r="ANH213" s="412"/>
      <c r="ANI213" s="412"/>
      <c r="ANJ213" s="412"/>
      <c r="ANK213" s="412"/>
      <c r="ANL213" s="412"/>
      <c r="ANM213" s="412"/>
      <c r="ANN213" s="412"/>
      <c r="ANO213" s="412"/>
      <c r="ANP213" s="412"/>
      <c r="ANQ213" s="412"/>
      <c r="ANR213" s="412"/>
      <c r="ANS213" s="412"/>
      <c r="ANT213" s="412"/>
      <c r="ANU213" s="412"/>
      <c r="ANV213" s="412"/>
      <c r="ANW213" s="412"/>
      <c r="ANX213" s="412"/>
      <c r="ANY213" s="412"/>
      <c r="ANZ213" s="412"/>
      <c r="AOA213" s="412"/>
      <c r="AOB213" s="412"/>
      <c r="AOC213" s="412"/>
      <c r="AOD213" s="412"/>
      <c r="AOE213" s="412"/>
      <c r="AOF213" s="412"/>
      <c r="AOG213" s="412"/>
      <c r="AOH213" s="412"/>
      <c r="AOI213" s="412"/>
      <c r="AOJ213" s="412"/>
      <c r="AOK213" s="412"/>
      <c r="AOL213" s="412"/>
      <c r="AOM213" s="412"/>
      <c r="AON213" s="412"/>
      <c r="AOO213" s="412"/>
      <c r="AOP213" s="412"/>
      <c r="AOQ213" s="412"/>
      <c r="AOR213" s="412"/>
      <c r="AOS213" s="412"/>
      <c r="AOT213" s="412"/>
      <c r="AOU213" s="412"/>
      <c r="AOV213" s="412"/>
      <c r="AOW213" s="412"/>
      <c r="AOX213" s="412"/>
      <c r="AOY213" s="412"/>
      <c r="AOZ213" s="412"/>
      <c r="APA213" s="412"/>
      <c r="APB213" s="412"/>
      <c r="APC213" s="412"/>
      <c r="APD213" s="412"/>
      <c r="APE213" s="412"/>
      <c r="APF213" s="412"/>
      <c r="APG213" s="412"/>
      <c r="APH213" s="412"/>
      <c r="API213" s="412"/>
      <c r="APJ213" s="412"/>
      <c r="APK213" s="412"/>
      <c r="APL213" s="412"/>
      <c r="APM213" s="412"/>
      <c r="APN213" s="412"/>
      <c r="APO213" s="412"/>
      <c r="APP213" s="412"/>
      <c r="APQ213" s="412"/>
      <c r="APR213" s="412"/>
      <c r="APS213" s="412"/>
      <c r="APT213" s="412"/>
      <c r="APU213" s="412"/>
      <c r="APV213" s="412"/>
      <c r="APW213" s="412"/>
      <c r="APX213" s="412"/>
      <c r="APY213" s="412"/>
      <c r="APZ213" s="412"/>
      <c r="AQA213" s="412"/>
      <c r="AQB213" s="412"/>
      <c r="AQC213" s="412"/>
      <c r="AQD213" s="412"/>
      <c r="AQE213" s="412"/>
      <c r="AQF213" s="412"/>
      <c r="AQG213" s="412"/>
      <c r="AQH213" s="412"/>
      <c r="AQI213" s="412"/>
      <c r="AQJ213" s="412"/>
      <c r="AQK213" s="412"/>
      <c r="AQL213" s="412"/>
      <c r="AQM213" s="412"/>
      <c r="AQN213" s="412"/>
      <c r="AQO213" s="412"/>
      <c r="AQP213" s="412"/>
      <c r="AQQ213" s="412"/>
      <c r="AQR213" s="412"/>
      <c r="AQS213" s="412"/>
      <c r="AQT213" s="412"/>
      <c r="AQU213" s="412"/>
      <c r="AQV213" s="412"/>
      <c r="AQW213" s="412"/>
      <c r="AQX213" s="412"/>
      <c r="AQY213" s="412"/>
      <c r="AQZ213" s="412"/>
      <c r="ARA213" s="412"/>
      <c r="ARB213" s="412"/>
      <c r="ARC213" s="412"/>
      <c r="ARD213" s="412"/>
      <c r="ARE213" s="412"/>
      <c r="ARF213" s="412"/>
      <c r="ARG213" s="412"/>
      <c r="ARH213" s="412"/>
      <c r="ARI213" s="412"/>
      <c r="ARJ213" s="412"/>
      <c r="ARK213" s="412"/>
      <c r="ARL213" s="412"/>
      <c r="ARM213" s="412"/>
      <c r="ARN213" s="412"/>
      <c r="ARO213" s="412"/>
      <c r="ARP213" s="412"/>
      <c r="ARQ213" s="412"/>
      <c r="ARR213" s="412"/>
      <c r="ARS213" s="412"/>
      <c r="ART213" s="412"/>
      <c r="ARU213" s="412"/>
      <c r="ARV213" s="412"/>
      <c r="ARW213" s="412"/>
      <c r="ARX213" s="412"/>
      <c r="ARY213" s="412"/>
      <c r="ARZ213" s="412"/>
      <c r="ASA213" s="412"/>
      <c r="ASB213" s="412"/>
      <c r="ASC213" s="412"/>
      <c r="ASD213" s="412"/>
      <c r="ASE213" s="412"/>
      <c r="ASF213" s="412"/>
      <c r="ASG213" s="412"/>
      <c r="ASH213" s="412"/>
      <c r="ASI213" s="412"/>
      <c r="ASJ213" s="412"/>
      <c r="ASK213" s="412"/>
      <c r="ASL213" s="412"/>
      <c r="ASM213" s="412"/>
      <c r="ASN213" s="412"/>
      <c r="ASO213" s="412"/>
      <c r="ASP213" s="412"/>
      <c r="ASQ213" s="412"/>
      <c r="ASR213" s="412"/>
      <c r="ASS213" s="412"/>
      <c r="AST213" s="412"/>
      <c r="ASU213" s="412"/>
      <c r="ASV213" s="412"/>
      <c r="ASW213" s="412"/>
      <c r="ASX213" s="412"/>
      <c r="ASY213" s="412"/>
      <c r="ASZ213" s="412"/>
      <c r="ATA213" s="412"/>
      <c r="ATB213" s="412"/>
      <c r="ATC213" s="412"/>
      <c r="ATD213" s="412"/>
      <c r="ATE213" s="412"/>
      <c r="ATF213" s="412"/>
      <c r="ATG213" s="412"/>
      <c r="ATH213" s="412"/>
      <c r="ATI213" s="412"/>
      <c r="ATJ213" s="412"/>
      <c r="ATK213" s="412"/>
      <c r="ATL213" s="412"/>
      <c r="ATM213" s="412"/>
      <c r="ATN213" s="412"/>
      <c r="ATO213" s="412"/>
      <c r="ATP213" s="412"/>
      <c r="ATQ213" s="412"/>
      <c r="ATR213" s="412"/>
      <c r="ATS213" s="412"/>
      <c r="ATT213" s="412"/>
      <c r="ATU213" s="412"/>
      <c r="ATV213" s="412"/>
      <c r="ATW213" s="412"/>
      <c r="ATX213" s="412"/>
      <c r="ATY213" s="412"/>
      <c r="ATZ213" s="412"/>
      <c r="AUA213" s="412"/>
      <c r="AUB213" s="412"/>
      <c r="AUC213" s="412"/>
      <c r="AUD213" s="412"/>
      <c r="AUE213" s="412"/>
      <c r="AUF213" s="412"/>
      <c r="AUG213" s="412"/>
      <c r="AUH213" s="412"/>
      <c r="AUI213" s="412"/>
      <c r="AUJ213" s="412"/>
      <c r="AUK213" s="412"/>
      <c r="AUL213" s="412"/>
      <c r="AUM213" s="412"/>
      <c r="AUN213" s="412"/>
      <c r="AUO213" s="412"/>
      <c r="AUP213" s="412"/>
      <c r="AUQ213" s="412"/>
      <c r="AUR213" s="412"/>
      <c r="AUS213" s="412"/>
      <c r="AUT213" s="412"/>
      <c r="AUU213" s="412"/>
      <c r="AUV213" s="412"/>
      <c r="AUW213" s="412"/>
      <c r="AUX213" s="412"/>
      <c r="AUY213" s="412"/>
      <c r="AUZ213" s="412"/>
      <c r="AVA213" s="412"/>
      <c r="AVB213" s="412"/>
      <c r="AVC213" s="412"/>
      <c r="AVD213" s="412"/>
      <c r="AVE213" s="412"/>
      <c r="AVF213" s="412"/>
      <c r="AVG213" s="412"/>
      <c r="AVH213" s="412"/>
      <c r="AVI213" s="412"/>
      <c r="AVJ213" s="412"/>
      <c r="AVK213" s="412"/>
      <c r="AVL213" s="412"/>
      <c r="AVM213" s="412"/>
      <c r="AVN213" s="412"/>
      <c r="AVO213" s="412"/>
      <c r="AVP213" s="412"/>
      <c r="AVQ213" s="412"/>
      <c r="AVR213" s="412"/>
      <c r="AVS213" s="412"/>
      <c r="AVT213" s="412"/>
      <c r="AVU213" s="412"/>
      <c r="AVV213" s="412"/>
      <c r="AVW213" s="412"/>
      <c r="AVX213" s="412"/>
      <c r="AVY213" s="412"/>
      <c r="AVZ213" s="412"/>
      <c r="AWA213" s="412"/>
      <c r="AWB213" s="412"/>
      <c r="AWC213" s="412"/>
      <c r="AWD213" s="412"/>
      <c r="AWE213" s="412"/>
      <c r="AWF213" s="412"/>
      <c r="AWG213" s="412"/>
      <c r="AWH213" s="412"/>
      <c r="AWI213" s="412"/>
      <c r="AWJ213" s="412"/>
      <c r="AWK213" s="412"/>
      <c r="AWL213" s="412"/>
      <c r="AWM213" s="412"/>
      <c r="AWN213" s="412"/>
      <c r="AWO213" s="412"/>
      <c r="AWP213" s="412"/>
      <c r="AWQ213" s="412"/>
      <c r="AWR213" s="412"/>
      <c r="AWS213" s="412"/>
      <c r="AWT213" s="412"/>
      <c r="AWU213" s="412"/>
      <c r="AWV213" s="412"/>
      <c r="AWW213" s="412"/>
      <c r="AWX213" s="412"/>
      <c r="AWY213" s="412"/>
      <c r="AWZ213" s="412"/>
      <c r="AXA213" s="412"/>
      <c r="AXB213" s="412"/>
      <c r="AXC213" s="412"/>
      <c r="AXD213" s="412"/>
      <c r="AXE213" s="412"/>
      <c r="AXF213" s="412"/>
      <c r="AXG213" s="412"/>
      <c r="AXH213" s="412"/>
      <c r="AXI213" s="412"/>
      <c r="AXJ213" s="412"/>
      <c r="AXK213" s="412"/>
      <c r="AXL213" s="412"/>
      <c r="AXM213" s="412"/>
      <c r="AXN213" s="412"/>
      <c r="AXO213" s="412"/>
      <c r="AXP213" s="412"/>
      <c r="AXQ213" s="412"/>
      <c r="AXR213" s="412"/>
      <c r="AXS213" s="412"/>
      <c r="AXT213" s="412"/>
      <c r="AXU213" s="412"/>
      <c r="AXV213" s="412"/>
      <c r="AXW213" s="412"/>
      <c r="AXX213" s="412"/>
      <c r="AXY213" s="412"/>
      <c r="AXZ213" s="412"/>
      <c r="AYA213" s="412"/>
      <c r="AYB213" s="412"/>
      <c r="AYC213" s="412"/>
      <c r="AYD213" s="412"/>
      <c r="AYE213" s="412"/>
      <c r="AYF213" s="412"/>
      <c r="AYG213" s="412"/>
      <c r="AYH213" s="412"/>
      <c r="AYI213" s="412"/>
      <c r="AYJ213" s="412"/>
      <c r="AYK213" s="412"/>
      <c r="AYL213" s="412"/>
      <c r="AYM213" s="412"/>
      <c r="AYN213" s="412"/>
      <c r="AYO213" s="412"/>
      <c r="AYP213" s="412"/>
      <c r="AYQ213" s="412"/>
      <c r="AYR213" s="412"/>
      <c r="AYS213" s="412"/>
      <c r="AYT213" s="412"/>
      <c r="AYU213" s="412"/>
      <c r="AYV213" s="412"/>
      <c r="AYW213" s="412"/>
      <c r="AYX213" s="412"/>
      <c r="AYY213" s="412"/>
      <c r="AYZ213" s="412"/>
      <c r="AZA213" s="412"/>
      <c r="AZB213" s="412"/>
      <c r="AZC213" s="412"/>
      <c r="AZD213" s="412"/>
      <c r="AZE213" s="412"/>
      <c r="AZF213" s="412"/>
      <c r="AZG213" s="412"/>
      <c r="AZH213" s="412"/>
      <c r="AZI213" s="412"/>
      <c r="AZJ213" s="412"/>
      <c r="AZK213" s="412"/>
      <c r="AZL213" s="412"/>
      <c r="AZM213" s="412"/>
      <c r="AZN213" s="412"/>
      <c r="AZO213" s="412"/>
      <c r="AZP213" s="412"/>
      <c r="AZQ213" s="412"/>
      <c r="AZR213" s="412"/>
      <c r="AZS213" s="412"/>
      <c r="AZT213" s="412"/>
      <c r="AZU213" s="412"/>
      <c r="AZV213" s="412"/>
      <c r="AZW213" s="412"/>
      <c r="AZX213" s="412"/>
      <c r="AZY213" s="412"/>
      <c r="AZZ213" s="412"/>
      <c r="BAA213" s="412"/>
      <c r="BAB213" s="412"/>
      <c r="BAC213" s="412"/>
      <c r="BAD213" s="412"/>
      <c r="BAE213" s="412"/>
      <c r="BAF213" s="412"/>
      <c r="BAG213" s="412"/>
      <c r="BAH213" s="412"/>
      <c r="BAI213" s="412"/>
      <c r="BAJ213" s="412"/>
      <c r="BAK213" s="412"/>
      <c r="BAL213" s="412"/>
      <c r="BAM213" s="412"/>
      <c r="BAN213" s="412"/>
      <c r="BAO213" s="412"/>
      <c r="BAP213" s="412"/>
      <c r="BAQ213" s="412"/>
      <c r="BAR213" s="412"/>
      <c r="BAS213" s="412"/>
      <c r="BAT213" s="412"/>
      <c r="BAU213" s="412"/>
      <c r="BAV213" s="412"/>
      <c r="BAW213" s="412"/>
      <c r="BAX213" s="412"/>
      <c r="BAY213" s="412"/>
      <c r="BAZ213" s="412"/>
      <c r="BBA213" s="412"/>
      <c r="BBB213" s="412"/>
      <c r="BBC213" s="412"/>
      <c r="BBD213" s="412"/>
      <c r="BBE213" s="412"/>
      <c r="BBF213" s="412"/>
      <c r="BBG213" s="412"/>
      <c r="BBH213" s="412"/>
      <c r="BBI213" s="412"/>
      <c r="BBJ213" s="412"/>
      <c r="BBK213" s="412"/>
      <c r="BBL213" s="412"/>
      <c r="BBM213" s="412"/>
      <c r="BBN213" s="412"/>
      <c r="BBO213" s="412"/>
      <c r="BBP213" s="412"/>
      <c r="BBQ213" s="412"/>
      <c r="BBR213" s="412"/>
      <c r="BBS213" s="412"/>
      <c r="BBT213" s="412"/>
      <c r="BBU213" s="412"/>
      <c r="BBV213" s="412"/>
      <c r="BBW213" s="412"/>
      <c r="BBX213" s="412"/>
      <c r="BBY213" s="412"/>
      <c r="BBZ213" s="412"/>
      <c r="BCA213" s="412"/>
      <c r="BCB213" s="412"/>
      <c r="BCC213" s="412"/>
      <c r="BCD213" s="412"/>
      <c r="BCE213" s="412"/>
      <c r="BCF213" s="412"/>
      <c r="BCG213" s="412"/>
      <c r="BCH213" s="412"/>
      <c r="BCI213" s="412"/>
      <c r="BCJ213" s="412"/>
      <c r="BCK213" s="412"/>
      <c r="BCL213" s="412"/>
      <c r="BCM213" s="412"/>
      <c r="BCN213" s="412"/>
      <c r="BCO213" s="412"/>
      <c r="BCP213" s="412"/>
      <c r="BCQ213" s="412"/>
      <c r="BCR213" s="412"/>
      <c r="BCS213" s="412"/>
      <c r="BCT213" s="412"/>
      <c r="BCU213" s="412"/>
      <c r="BCV213" s="412"/>
      <c r="BCW213" s="412"/>
      <c r="BCX213" s="412"/>
      <c r="BCY213" s="412"/>
      <c r="BCZ213" s="412"/>
      <c r="BDA213" s="412"/>
      <c r="BDB213" s="412"/>
      <c r="BDC213" s="412"/>
      <c r="BDD213" s="412"/>
      <c r="BDE213" s="412"/>
      <c r="BDF213" s="412"/>
      <c r="BDG213" s="412"/>
      <c r="BDH213" s="412"/>
      <c r="BDI213" s="412"/>
      <c r="BDJ213" s="412"/>
      <c r="BDK213" s="412"/>
      <c r="BDL213" s="412"/>
      <c r="BDM213" s="412"/>
      <c r="BDN213" s="412"/>
      <c r="BDO213" s="412"/>
      <c r="BDP213" s="412"/>
      <c r="BDQ213" s="412"/>
      <c r="BDR213" s="412"/>
      <c r="BDS213" s="412"/>
      <c r="BDT213" s="412"/>
      <c r="BDU213" s="412"/>
      <c r="BDV213" s="412"/>
      <c r="BDW213" s="412"/>
      <c r="BDX213" s="412"/>
      <c r="BDY213" s="412"/>
      <c r="BDZ213" s="412"/>
      <c r="BEA213" s="412"/>
      <c r="BEB213" s="412"/>
      <c r="BEC213" s="412"/>
      <c r="BED213" s="412"/>
      <c r="BEE213" s="412"/>
      <c r="BEF213" s="412"/>
      <c r="BEG213" s="412"/>
      <c r="BEH213" s="412"/>
      <c r="BEI213" s="412"/>
      <c r="BEJ213" s="412"/>
      <c r="BEK213" s="412"/>
      <c r="BEL213" s="412"/>
      <c r="BEM213" s="412"/>
      <c r="BEN213" s="412"/>
      <c r="BEO213" s="412"/>
      <c r="BEP213" s="412"/>
      <c r="BEQ213" s="412"/>
      <c r="BER213" s="412"/>
      <c r="BES213" s="412"/>
      <c r="BET213" s="412"/>
      <c r="BEU213" s="412"/>
      <c r="BEV213" s="412"/>
      <c r="BEW213" s="412"/>
      <c r="BEX213" s="412"/>
      <c r="BEY213" s="412"/>
      <c r="BEZ213" s="412"/>
      <c r="BFA213" s="412"/>
      <c r="BFB213" s="412"/>
      <c r="BFC213" s="412"/>
      <c r="BFD213" s="412"/>
      <c r="BFE213" s="412"/>
      <c r="BFF213" s="412"/>
      <c r="BFG213" s="412"/>
      <c r="BFH213" s="412"/>
      <c r="BFI213" s="412"/>
      <c r="BFJ213" s="412"/>
      <c r="BFK213" s="412"/>
      <c r="BFL213" s="412"/>
      <c r="BFM213" s="412"/>
      <c r="BFN213" s="412"/>
      <c r="BFO213" s="412"/>
      <c r="BFP213" s="412"/>
      <c r="BFQ213" s="412"/>
      <c r="BFR213" s="412"/>
      <c r="BFS213" s="412"/>
      <c r="BFT213" s="412"/>
      <c r="BFU213" s="412"/>
      <c r="BFV213" s="412"/>
      <c r="BFW213" s="412"/>
      <c r="BFX213" s="412"/>
      <c r="BFY213" s="412"/>
      <c r="BFZ213" s="412"/>
      <c r="BGA213" s="412"/>
      <c r="BGB213" s="412"/>
      <c r="BGC213" s="412"/>
      <c r="BGD213" s="412"/>
      <c r="BGE213" s="412"/>
      <c r="BGF213" s="412"/>
      <c r="BGG213" s="412"/>
      <c r="BGH213" s="412"/>
      <c r="BGI213" s="412"/>
      <c r="BGJ213" s="412"/>
      <c r="BGK213" s="412"/>
      <c r="BGL213" s="412"/>
      <c r="BGM213" s="412"/>
      <c r="BGN213" s="412"/>
      <c r="BGO213" s="412"/>
      <c r="BGP213" s="412"/>
      <c r="BGQ213" s="412"/>
      <c r="BGR213" s="412"/>
      <c r="BGS213" s="412"/>
      <c r="BGT213" s="412"/>
      <c r="BGU213" s="412"/>
      <c r="BGV213" s="412"/>
      <c r="BGW213" s="412"/>
      <c r="BGX213" s="412"/>
      <c r="BGY213" s="412"/>
      <c r="BGZ213" s="412"/>
      <c r="BHA213" s="412"/>
      <c r="BHB213" s="412"/>
      <c r="BHC213" s="412"/>
      <c r="BHD213" s="412"/>
      <c r="BHE213" s="412"/>
      <c r="BHF213" s="412"/>
      <c r="BHG213" s="412"/>
      <c r="BHH213" s="412"/>
      <c r="BHI213" s="412"/>
      <c r="BHJ213" s="412"/>
      <c r="BHK213" s="412"/>
      <c r="BHL213" s="412"/>
      <c r="BHM213" s="412"/>
      <c r="BHN213" s="412"/>
      <c r="BHO213" s="412"/>
      <c r="BHP213" s="412"/>
      <c r="BHQ213" s="412"/>
      <c r="BHR213" s="412"/>
      <c r="BHS213" s="412"/>
      <c r="BHT213" s="412"/>
      <c r="BHU213" s="412"/>
      <c r="BHV213" s="412"/>
      <c r="BHW213" s="412"/>
      <c r="BHX213" s="412"/>
      <c r="BHY213" s="412"/>
      <c r="BHZ213" s="412"/>
      <c r="BIA213" s="412"/>
      <c r="BIB213" s="412"/>
      <c r="BIC213" s="412"/>
      <c r="BID213" s="412"/>
      <c r="BIE213" s="412"/>
      <c r="BIF213" s="412"/>
      <c r="BIG213" s="412"/>
      <c r="BIH213" s="412"/>
      <c r="BII213" s="412"/>
      <c r="BIJ213" s="412"/>
      <c r="BIK213" s="412"/>
      <c r="BIL213" s="412"/>
      <c r="BIM213" s="412"/>
      <c r="BIN213" s="412"/>
      <c r="BIO213" s="412"/>
      <c r="BIP213" s="412"/>
      <c r="BIQ213" s="412"/>
      <c r="BIR213" s="412"/>
      <c r="BIS213" s="412"/>
      <c r="BIT213" s="412"/>
      <c r="BIU213" s="412"/>
      <c r="BIV213" s="412"/>
      <c r="BIW213" s="412"/>
      <c r="BIX213" s="412"/>
      <c r="BIY213" s="412"/>
      <c r="BIZ213" s="412"/>
      <c r="BJA213" s="412"/>
      <c r="BJB213" s="412"/>
      <c r="BJC213" s="412"/>
      <c r="BJD213" s="412"/>
      <c r="BJE213" s="412"/>
      <c r="BJF213" s="412"/>
      <c r="BJG213" s="412"/>
      <c r="BJH213" s="412"/>
      <c r="BJI213" s="412"/>
      <c r="BJJ213" s="412"/>
      <c r="BJK213" s="412"/>
      <c r="BJL213" s="412"/>
      <c r="BJM213" s="412"/>
      <c r="BJN213" s="412"/>
      <c r="BJO213" s="412"/>
      <c r="BJP213" s="412"/>
      <c r="BJQ213" s="412"/>
      <c r="BJR213" s="412"/>
      <c r="BJS213" s="412"/>
      <c r="BJT213" s="412"/>
      <c r="BJU213" s="412"/>
      <c r="BJV213" s="412"/>
      <c r="BJW213" s="412"/>
      <c r="BJX213" s="412"/>
      <c r="BJY213" s="412"/>
      <c r="BJZ213" s="412"/>
      <c r="BKA213" s="412"/>
      <c r="BKB213" s="412"/>
      <c r="BKC213" s="412"/>
      <c r="BKD213" s="412"/>
      <c r="BKE213" s="412"/>
      <c r="BKF213" s="412"/>
      <c r="BKG213" s="412"/>
      <c r="BKH213" s="412"/>
      <c r="BKI213" s="412"/>
      <c r="BKJ213" s="412"/>
      <c r="BKK213" s="412"/>
      <c r="BKL213" s="412"/>
      <c r="BKM213" s="412"/>
      <c r="BKN213" s="412"/>
      <c r="BKO213" s="412"/>
      <c r="BKP213" s="412"/>
      <c r="BKQ213" s="412"/>
      <c r="BKR213" s="412"/>
      <c r="BKS213" s="412"/>
      <c r="BKT213" s="412"/>
      <c r="BKU213" s="412"/>
      <c r="BKV213" s="412"/>
      <c r="BKW213" s="412"/>
      <c r="BKX213" s="412"/>
      <c r="BKY213" s="412"/>
      <c r="BKZ213" s="412"/>
      <c r="BLA213" s="412"/>
      <c r="BLB213" s="412"/>
      <c r="BLC213" s="412"/>
      <c r="BLD213" s="412"/>
      <c r="BLE213" s="412"/>
      <c r="BLF213" s="412"/>
      <c r="BLG213" s="412"/>
      <c r="BLH213" s="412"/>
      <c r="BLI213" s="412"/>
      <c r="BLJ213" s="412"/>
      <c r="BLK213" s="412"/>
      <c r="BLL213" s="412"/>
      <c r="BLM213" s="412"/>
      <c r="BLN213" s="412"/>
      <c r="BLO213" s="412"/>
      <c r="BLP213" s="412"/>
      <c r="BLQ213" s="412"/>
      <c r="BLR213" s="412"/>
      <c r="BLS213" s="412"/>
      <c r="BLT213" s="412"/>
      <c r="BLU213" s="412"/>
      <c r="BLV213" s="412"/>
      <c r="BLW213" s="412"/>
      <c r="BLX213" s="412"/>
      <c r="BLY213" s="412"/>
      <c r="BLZ213" s="412"/>
      <c r="BMA213" s="412"/>
      <c r="BMB213" s="412"/>
      <c r="BMC213" s="412"/>
      <c r="BMD213" s="412"/>
      <c r="BME213" s="412"/>
      <c r="BMF213" s="412"/>
      <c r="BMG213" s="412"/>
      <c r="BMH213" s="412"/>
      <c r="BMI213" s="412"/>
      <c r="BMJ213" s="412"/>
      <c r="BMK213" s="412"/>
      <c r="BML213" s="412"/>
      <c r="BMM213" s="412"/>
      <c r="BMN213" s="412"/>
      <c r="BMO213" s="412"/>
      <c r="BMP213" s="412"/>
      <c r="BMQ213" s="412"/>
      <c r="BMR213" s="412"/>
      <c r="BMS213" s="412"/>
      <c r="BMT213" s="412"/>
      <c r="BMU213" s="412"/>
      <c r="BMV213" s="412"/>
      <c r="BMW213" s="412"/>
      <c r="BMX213" s="412"/>
      <c r="BMY213" s="412"/>
      <c r="BMZ213" s="412"/>
      <c r="BNA213" s="412"/>
      <c r="BNB213" s="412"/>
      <c r="BNC213" s="412"/>
      <c r="BND213" s="412"/>
      <c r="BNE213" s="412"/>
      <c r="BNF213" s="412"/>
      <c r="BNG213" s="412"/>
      <c r="BNH213" s="412"/>
      <c r="BNI213" s="412"/>
      <c r="BNJ213" s="412"/>
      <c r="BNK213" s="412"/>
      <c r="BNL213" s="412"/>
      <c r="BNM213" s="412"/>
      <c r="BNN213" s="412"/>
      <c r="BNO213" s="412"/>
      <c r="BNP213" s="412"/>
      <c r="BNQ213" s="412"/>
      <c r="BNR213" s="412"/>
      <c r="BNS213" s="412"/>
      <c r="BNT213" s="412"/>
      <c r="BNU213" s="412"/>
      <c r="BNV213" s="412"/>
      <c r="BNW213" s="412"/>
      <c r="BNX213" s="412"/>
      <c r="BNY213" s="412"/>
      <c r="BNZ213" s="412"/>
      <c r="BOA213" s="412"/>
      <c r="BOB213" s="412"/>
      <c r="BOC213" s="412"/>
      <c r="BOD213" s="412"/>
      <c r="BOE213" s="412"/>
      <c r="BOF213" s="412"/>
      <c r="BOG213" s="412"/>
      <c r="BOH213" s="412"/>
      <c r="BOI213" s="412"/>
      <c r="BOJ213" s="412"/>
      <c r="BOK213" s="412"/>
      <c r="BOL213" s="412"/>
      <c r="BOM213" s="412"/>
      <c r="BON213" s="412"/>
      <c r="BOO213" s="412"/>
      <c r="BOP213" s="412"/>
      <c r="BOQ213" s="412"/>
      <c r="BOR213" s="412"/>
      <c r="BOS213" s="412"/>
      <c r="BOT213" s="412"/>
      <c r="BOU213" s="412"/>
      <c r="BOV213" s="412"/>
      <c r="BOW213" s="412"/>
      <c r="BOX213" s="412"/>
      <c r="BOY213" s="412"/>
      <c r="BOZ213" s="412"/>
      <c r="BPA213" s="412"/>
      <c r="BPB213" s="412"/>
      <c r="BPC213" s="412"/>
      <c r="BPD213" s="412"/>
      <c r="BPE213" s="412"/>
      <c r="BPF213" s="412"/>
      <c r="BPG213" s="412"/>
      <c r="BPH213" s="412"/>
      <c r="BPI213" s="412"/>
      <c r="BPJ213" s="412"/>
      <c r="BPK213" s="412"/>
      <c r="BPL213" s="412"/>
      <c r="BPM213" s="412"/>
      <c r="BPN213" s="412"/>
      <c r="BPO213" s="412"/>
      <c r="BPP213" s="412"/>
      <c r="BPQ213" s="412"/>
      <c r="BPR213" s="412"/>
      <c r="BPS213" s="412"/>
      <c r="BPT213" s="412"/>
      <c r="BPU213" s="412"/>
      <c r="BPV213" s="412"/>
      <c r="BPW213" s="412"/>
      <c r="BPX213" s="412"/>
      <c r="BPY213" s="412"/>
      <c r="BPZ213" s="412"/>
      <c r="BQA213" s="412"/>
      <c r="BQB213" s="412"/>
      <c r="BQC213" s="412"/>
      <c r="BQD213" s="412"/>
      <c r="BQE213" s="412"/>
      <c r="BQF213" s="412"/>
      <c r="BQG213" s="412"/>
      <c r="BQH213" s="412"/>
      <c r="BQI213" s="412"/>
      <c r="BQJ213" s="412"/>
      <c r="BQK213" s="412"/>
      <c r="BQL213" s="412"/>
      <c r="BQM213" s="412"/>
      <c r="BQN213" s="412"/>
      <c r="BQO213" s="412"/>
      <c r="BQP213" s="412"/>
      <c r="BQQ213" s="412"/>
      <c r="BQR213" s="412"/>
      <c r="BQS213" s="412"/>
      <c r="BQT213" s="412"/>
      <c r="BQU213" s="412"/>
      <c r="BQV213" s="412"/>
      <c r="BQW213" s="412"/>
      <c r="BQX213" s="412"/>
      <c r="BQY213" s="412"/>
      <c r="BQZ213" s="412"/>
      <c r="BRA213" s="412"/>
      <c r="BRB213" s="412"/>
      <c r="BRC213" s="412"/>
      <c r="BRD213" s="412"/>
      <c r="BRE213" s="412"/>
      <c r="BRF213" s="412"/>
      <c r="BRG213" s="412"/>
      <c r="BRH213" s="412"/>
      <c r="BRI213" s="412"/>
      <c r="BRJ213" s="412"/>
      <c r="BRK213" s="412"/>
      <c r="BRL213" s="412"/>
      <c r="BRM213" s="412"/>
      <c r="BRN213" s="412"/>
      <c r="BRO213" s="412"/>
      <c r="BRP213" s="412"/>
      <c r="BRQ213" s="412"/>
      <c r="BRR213" s="412"/>
      <c r="BRS213" s="412"/>
      <c r="BRT213" s="412"/>
      <c r="BRU213" s="412"/>
      <c r="BRV213" s="412"/>
      <c r="BRW213" s="412"/>
      <c r="BRX213" s="412"/>
      <c r="BRY213" s="412"/>
      <c r="BRZ213" s="412"/>
      <c r="BSA213" s="412"/>
      <c r="BSB213" s="412"/>
      <c r="BSC213" s="412"/>
      <c r="BSD213" s="412"/>
      <c r="BSE213" s="412"/>
      <c r="BSF213" s="412"/>
      <c r="BSG213" s="412"/>
      <c r="BSH213" s="412"/>
      <c r="BSI213" s="412"/>
      <c r="BSJ213" s="412"/>
      <c r="BSK213" s="412"/>
      <c r="BSL213" s="412"/>
      <c r="BSM213" s="412"/>
      <c r="BSN213" s="412"/>
      <c r="BSO213" s="412"/>
      <c r="BSP213" s="412"/>
      <c r="BSQ213" s="412"/>
      <c r="BSR213" s="412"/>
      <c r="BSS213" s="412"/>
      <c r="BST213" s="412"/>
      <c r="BSU213" s="412"/>
      <c r="BSV213" s="412"/>
      <c r="BSW213" s="412"/>
      <c r="BSX213" s="412"/>
      <c r="BSY213" s="412"/>
      <c r="BSZ213" s="412"/>
      <c r="BTA213" s="412"/>
      <c r="BTB213" s="412"/>
      <c r="BTC213" s="412"/>
      <c r="BTD213" s="412"/>
      <c r="BTE213" s="412"/>
      <c r="BTF213" s="412"/>
      <c r="BTG213" s="412"/>
      <c r="BTH213" s="412"/>
      <c r="BTI213" s="412"/>
    </row>
    <row r="214" spans="1:1881" ht="63.75" customHeight="1" x14ac:dyDescent="0.25">
      <c r="A214" s="479">
        <v>621</v>
      </c>
      <c r="B214" s="479" t="s">
        <v>705</v>
      </c>
      <c r="C214" s="478" t="s">
        <v>826</v>
      </c>
      <c r="D214" s="478" t="s">
        <v>1213</v>
      </c>
      <c r="E214" s="416" t="e">
        <f>HLOOKUP($D$2,'2019 Data(H)'!$C$1:$CG$300,281,FALSE)</f>
        <v>#N/A</v>
      </c>
      <c r="F214" s="647"/>
      <c r="G214" s="582"/>
      <c r="H214" s="150"/>
      <c r="I214" s="298"/>
    </row>
    <row r="215" spans="1:1881" ht="141" customHeight="1" x14ac:dyDescent="0.25">
      <c r="A215" s="189">
        <v>547</v>
      </c>
      <c r="B215" s="151"/>
      <c r="C215" s="151" t="s">
        <v>216</v>
      </c>
      <c r="D215" s="244" t="s">
        <v>621</v>
      </c>
      <c r="E215" s="32" t="e">
        <f>HLOOKUP($D$2,'2019 Data(H)'!$C$1:$CG$300,197,FALSE)</f>
        <v>#N/A</v>
      </c>
      <c r="F215" s="606"/>
      <c r="G215" s="583" t="str">
        <f>IF(F215&lt;1,"Please answer this question","")</f>
        <v>Please answer this question</v>
      </c>
      <c r="H215" s="150"/>
      <c r="I215" s="298"/>
    </row>
    <row r="216" spans="1:1881" s="4" customFormat="1" ht="54.75" customHeight="1" x14ac:dyDescent="0.25">
      <c r="A216" s="473">
        <v>659</v>
      </c>
      <c r="B216" s="469" t="s">
        <v>66</v>
      </c>
      <c r="C216" s="469" t="s">
        <v>800</v>
      </c>
      <c r="D216" s="896" t="s">
        <v>993</v>
      </c>
      <c r="E216" s="472" t="s">
        <v>837</v>
      </c>
      <c r="F216" s="647"/>
      <c r="G216" s="582" t="str">
        <f>IF(ISBLANK(F216),"Please do not leave blank","")</f>
        <v>Please do not leave blank</v>
      </c>
      <c r="H216" s="366">
        <f>IF(F213&lt;0,"Error: Enter as positive.",)</f>
        <v>0</v>
      </c>
      <c r="I216" s="67"/>
      <c r="J216" s="412"/>
      <c r="K216" s="412"/>
      <c r="L216" s="412"/>
      <c r="M216" s="412"/>
      <c r="N216"/>
      <c r="O216" s="412"/>
      <c r="P216" s="412"/>
      <c r="Q216" s="412"/>
      <c r="R216" s="412"/>
      <c r="S216" s="412"/>
      <c r="T216" s="412"/>
      <c r="U216" s="412"/>
      <c r="V216" s="412"/>
      <c r="W216" s="412"/>
      <c r="X216" s="412"/>
      <c r="Y216" s="412"/>
      <c r="Z216" s="412"/>
      <c r="AA216" s="412"/>
      <c r="AB216" s="412"/>
      <c r="AC216" s="412"/>
      <c r="AD216" s="412"/>
      <c r="AE216" s="412"/>
      <c r="AF216" s="412"/>
      <c r="AG216" s="412"/>
      <c r="AH216" s="412"/>
      <c r="AI216" s="412"/>
      <c r="AJ216" s="412"/>
      <c r="AK216" s="412"/>
      <c r="AL216" s="412"/>
      <c r="AM216" s="412"/>
      <c r="AN216" s="412"/>
      <c r="AO216" s="412"/>
      <c r="AP216" s="412"/>
      <c r="AQ216" s="412"/>
      <c r="AR216" s="412"/>
      <c r="AS216" s="412"/>
      <c r="AT216" s="412"/>
      <c r="AU216" s="412"/>
      <c r="AV216" s="412"/>
      <c r="AW216" s="412"/>
      <c r="AX216" s="412"/>
      <c r="AY216" s="412"/>
      <c r="AZ216" s="412"/>
      <c r="BA216" s="412"/>
      <c r="BB216" s="412"/>
      <c r="BC216" s="412"/>
      <c r="BD216" s="412"/>
      <c r="BE216" s="412"/>
      <c r="BF216" s="412"/>
      <c r="BG216" s="412"/>
      <c r="BH216" s="412"/>
      <c r="BI216" s="412"/>
      <c r="BJ216" s="412"/>
      <c r="BK216" s="412"/>
      <c r="BL216" s="412"/>
      <c r="BM216" s="412"/>
      <c r="BN216" s="412"/>
      <c r="BO216" s="412"/>
      <c r="BP216" s="412"/>
      <c r="BQ216" s="412"/>
      <c r="BR216" s="412"/>
      <c r="BS216" s="412"/>
      <c r="BT216" s="412"/>
      <c r="BU216" s="412"/>
      <c r="BV216" s="412"/>
      <c r="BW216" s="412"/>
      <c r="BX216" s="412"/>
      <c r="BY216" s="412"/>
      <c r="BZ216" s="412"/>
      <c r="CA216" s="412"/>
      <c r="CB216" s="412"/>
      <c r="CC216" s="412"/>
      <c r="CD216" s="412"/>
      <c r="CE216" s="412"/>
      <c r="CF216" s="412"/>
      <c r="CG216" s="412"/>
      <c r="CH216" s="412"/>
      <c r="CI216" s="412"/>
      <c r="CJ216" s="412"/>
      <c r="CK216" s="412"/>
      <c r="CL216" s="412"/>
      <c r="CM216" s="412"/>
      <c r="CN216" s="412"/>
      <c r="CO216" s="412"/>
      <c r="CP216" s="412"/>
      <c r="CQ216" s="412"/>
      <c r="CR216" s="412"/>
      <c r="CS216" s="412"/>
      <c r="CT216" s="412"/>
      <c r="CU216" s="412"/>
      <c r="CV216" s="412"/>
      <c r="CW216" s="412"/>
      <c r="CX216" s="412"/>
      <c r="CY216" s="412"/>
      <c r="CZ216" s="412"/>
      <c r="DA216" s="412"/>
      <c r="DB216" s="412"/>
      <c r="DC216" s="412"/>
      <c r="DD216" s="412"/>
      <c r="DE216" s="412"/>
      <c r="DF216" s="412"/>
      <c r="DG216" s="412"/>
      <c r="DH216" s="412"/>
      <c r="DI216" s="412"/>
      <c r="DJ216" s="412"/>
      <c r="DK216" s="412"/>
      <c r="DL216" s="412"/>
      <c r="DM216" s="412"/>
      <c r="DN216" s="412"/>
      <c r="DO216" s="412"/>
      <c r="DP216" s="412"/>
      <c r="DQ216" s="412"/>
      <c r="DR216" s="412"/>
      <c r="DS216" s="412"/>
      <c r="DT216" s="412"/>
      <c r="DU216" s="412"/>
      <c r="DV216" s="412"/>
      <c r="DW216" s="412"/>
      <c r="DX216" s="412"/>
      <c r="DY216" s="412"/>
      <c r="DZ216" s="412"/>
      <c r="EA216" s="412"/>
      <c r="EB216" s="412"/>
      <c r="EC216" s="412"/>
      <c r="ED216" s="412"/>
      <c r="EE216" s="412"/>
      <c r="EF216" s="412"/>
      <c r="EG216" s="412"/>
      <c r="EH216" s="412"/>
      <c r="EI216" s="412"/>
      <c r="EJ216" s="412"/>
      <c r="EK216" s="412"/>
      <c r="EL216" s="412"/>
      <c r="EM216" s="412"/>
      <c r="EN216" s="412"/>
      <c r="EO216" s="412"/>
      <c r="EP216" s="412"/>
      <c r="EQ216" s="412"/>
      <c r="ER216" s="412"/>
      <c r="ES216" s="412"/>
      <c r="ET216" s="412"/>
      <c r="EU216" s="412"/>
      <c r="EV216" s="412"/>
      <c r="EW216" s="412"/>
      <c r="EX216" s="412"/>
      <c r="EY216" s="412"/>
      <c r="EZ216" s="412"/>
      <c r="FA216" s="412"/>
      <c r="FB216" s="412"/>
      <c r="FC216" s="412"/>
      <c r="FD216" s="412"/>
      <c r="FE216" s="412"/>
      <c r="FF216" s="412"/>
      <c r="FG216" s="412"/>
      <c r="FH216" s="412"/>
      <c r="FI216" s="412"/>
      <c r="FJ216" s="412"/>
      <c r="FK216" s="412"/>
      <c r="FL216" s="412"/>
      <c r="FM216" s="412"/>
      <c r="FN216" s="412"/>
      <c r="FO216" s="412"/>
      <c r="FP216" s="412"/>
      <c r="FQ216" s="412"/>
      <c r="FR216" s="412"/>
      <c r="FS216" s="412"/>
      <c r="FT216" s="412"/>
      <c r="FU216" s="412"/>
      <c r="FV216" s="412"/>
      <c r="FW216" s="412"/>
      <c r="FX216" s="412"/>
      <c r="FY216" s="412"/>
      <c r="FZ216" s="412"/>
      <c r="GA216" s="412"/>
      <c r="GB216" s="412"/>
      <c r="GC216" s="412"/>
      <c r="GD216" s="412"/>
      <c r="GE216" s="412"/>
      <c r="GF216" s="412"/>
      <c r="GG216" s="412"/>
      <c r="GH216" s="412"/>
      <c r="GI216" s="412"/>
      <c r="GJ216" s="412"/>
      <c r="GK216" s="412"/>
      <c r="GL216" s="412"/>
      <c r="GM216" s="412"/>
      <c r="GN216" s="412"/>
      <c r="GO216" s="412"/>
      <c r="GP216" s="412"/>
      <c r="GQ216" s="412"/>
      <c r="GR216" s="412"/>
      <c r="GS216" s="412"/>
      <c r="GT216" s="412"/>
      <c r="GU216" s="412"/>
      <c r="GV216" s="412"/>
      <c r="GW216" s="412"/>
      <c r="GX216" s="412"/>
      <c r="GY216" s="412"/>
      <c r="GZ216" s="412"/>
      <c r="HA216" s="412"/>
      <c r="HB216" s="412"/>
      <c r="HC216" s="412"/>
      <c r="HD216" s="412"/>
      <c r="HE216" s="412"/>
      <c r="HF216" s="412"/>
      <c r="HG216" s="412"/>
      <c r="HH216" s="412"/>
      <c r="HI216" s="412"/>
      <c r="HJ216" s="412"/>
      <c r="HK216" s="412"/>
      <c r="HL216" s="412"/>
      <c r="HM216" s="412"/>
      <c r="HN216" s="412"/>
      <c r="HO216" s="412"/>
      <c r="HP216" s="412"/>
      <c r="HQ216" s="412"/>
      <c r="HR216" s="412"/>
      <c r="HS216" s="412"/>
      <c r="HT216" s="412"/>
      <c r="HU216" s="412"/>
      <c r="HV216" s="412"/>
      <c r="HW216" s="412"/>
      <c r="HX216" s="412"/>
      <c r="HY216" s="412"/>
      <c r="HZ216" s="412"/>
      <c r="IA216" s="412"/>
      <c r="IB216" s="412"/>
      <c r="IC216" s="412"/>
      <c r="ID216" s="412"/>
      <c r="IE216" s="412"/>
      <c r="IF216" s="412"/>
      <c r="IG216" s="412"/>
      <c r="IH216" s="412"/>
      <c r="II216" s="412"/>
      <c r="IJ216" s="412"/>
      <c r="IK216" s="412"/>
      <c r="IL216" s="412"/>
      <c r="IM216" s="412"/>
      <c r="IN216" s="412"/>
      <c r="IO216" s="412"/>
      <c r="IP216" s="412"/>
      <c r="IQ216" s="412"/>
      <c r="IR216" s="412"/>
      <c r="IS216" s="412"/>
      <c r="IT216" s="412"/>
      <c r="IU216" s="412"/>
      <c r="IV216" s="412"/>
      <c r="IW216" s="412"/>
      <c r="IX216" s="412"/>
      <c r="IY216" s="412"/>
      <c r="IZ216" s="412"/>
      <c r="JA216" s="412"/>
      <c r="JB216" s="412"/>
      <c r="JC216" s="412"/>
      <c r="JD216" s="412"/>
      <c r="JE216" s="412"/>
      <c r="JF216" s="412"/>
      <c r="JG216" s="412"/>
      <c r="JH216" s="412"/>
      <c r="JI216" s="412"/>
      <c r="JJ216" s="412"/>
      <c r="JK216" s="412"/>
      <c r="JL216" s="412"/>
      <c r="JM216" s="412"/>
      <c r="JN216" s="412"/>
      <c r="JO216" s="412"/>
      <c r="JP216" s="412"/>
      <c r="JQ216" s="412"/>
      <c r="JR216" s="412"/>
      <c r="JS216" s="412"/>
      <c r="JT216" s="412"/>
      <c r="JU216" s="412"/>
      <c r="JV216" s="412"/>
      <c r="JW216" s="412"/>
      <c r="JX216" s="412"/>
      <c r="JY216" s="412"/>
      <c r="JZ216" s="412"/>
      <c r="KA216" s="412"/>
      <c r="KB216" s="412"/>
      <c r="KC216" s="412"/>
      <c r="KD216" s="412"/>
      <c r="KE216" s="412"/>
      <c r="KF216" s="412"/>
      <c r="KG216" s="412"/>
      <c r="KH216" s="412"/>
      <c r="KI216" s="412"/>
      <c r="KJ216" s="412"/>
      <c r="KK216" s="412"/>
      <c r="KL216" s="412"/>
      <c r="KM216" s="412"/>
      <c r="KN216" s="412"/>
      <c r="KO216" s="412"/>
      <c r="KP216" s="412"/>
      <c r="KQ216" s="412"/>
      <c r="KR216" s="412"/>
      <c r="KS216" s="412"/>
      <c r="KT216" s="412"/>
      <c r="KU216" s="412"/>
      <c r="KV216" s="412"/>
      <c r="KW216" s="412"/>
      <c r="KX216" s="412"/>
      <c r="KY216" s="412"/>
      <c r="KZ216" s="412"/>
      <c r="LA216" s="412"/>
      <c r="LB216" s="412"/>
      <c r="LC216" s="412"/>
      <c r="LD216" s="412"/>
      <c r="LE216" s="412"/>
      <c r="LF216" s="412"/>
      <c r="LG216" s="412"/>
      <c r="LH216" s="412"/>
      <c r="LI216" s="412"/>
      <c r="LJ216" s="412"/>
      <c r="LK216" s="412"/>
      <c r="LL216" s="412"/>
      <c r="LM216" s="412"/>
      <c r="LN216" s="412"/>
      <c r="LO216" s="412"/>
      <c r="LP216" s="412"/>
      <c r="LQ216" s="412"/>
      <c r="LR216" s="412"/>
      <c r="LS216" s="412"/>
      <c r="LT216" s="412"/>
      <c r="LU216" s="412"/>
      <c r="LV216" s="412"/>
      <c r="LW216" s="412"/>
      <c r="LX216" s="412"/>
      <c r="LY216" s="412"/>
      <c r="LZ216" s="412"/>
      <c r="MA216" s="412"/>
      <c r="MB216" s="412"/>
      <c r="MC216" s="412"/>
      <c r="MD216" s="412"/>
      <c r="ME216" s="412"/>
      <c r="MF216" s="412"/>
      <c r="MG216" s="412"/>
      <c r="MH216" s="412"/>
      <c r="MI216" s="412"/>
      <c r="MJ216" s="412"/>
      <c r="MK216" s="412"/>
      <c r="ML216" s="412"/>
      <c r="MM216" s="412"/>
      <c r="MN216" s="412"/>
      <c r="MO216" s="412"/>
      <c r="MP216" s="412"/>
      <c r="MQ216" s="412"/>
      <c r="MR216" s="412"/>
      <c r="MS216" s="412"/>
      <c r="MT216" s="412"/>
      <c r="MU216" s="412"/>
      <c r="MV216" s="412"/>
      <c r="MW216" s="412"/>
      <c r="MX216" s="412"/>
      <c r="MY216" s="412"/>
      <c r="MZ216" s="412"/>
      <c r="NA216" s="412"/>
      <c r="NB216" s="412"/>
      <c r="NC216" s="412"/>
      <c r="ND216" s="412"/>
      <c r="NE216" s="412"/>
      <c r="NF216" s="412"/>
      <c r="NG216" s="412"/>
      <c r="NH216" s="412"/>
      <c r="NI216" s="412"/>
      <c r="NJ216" s="412"/>
      <c r="NK216" s="412"/>
      <c r="NL216" s="412"/>
      <c r="NM216" s="412"/>
      <c r="NN216" s="412"/>
      <c r="NO216" s="412"/>
      <c r="NP216" s="412"/>
      <c r="NQ216" s="412"/>
      <c r="NR216" s="412"/>
      <c r="NS216" s="412"/>
      <c r="NT216" s="412"/>
      <c r="NU216" s="412"/>
      <c r="NV216" s="412"/>
      <c r="NW216" s="412"/>
      <c r="NX216" s="412"/>
      <c r="NY216" s="412"/>
      <c r="NZ216" s="412"/>
      <c r="OA216" s="412"/>
      <c r="OB216" s="412"/>
      <c r="OC216" s="412"/>
      <c r="OD216" s="412"/>
      <c r="OE216" s="412"/>
      <c r="OF216" s="412"/>
      <c r="OG216" s="412"/>
      <c r="OH216" s="412"/>
      <c r="OI216" s="412"/>
      <c r="OJ216" s="412"/>
      <c r="OK216" s="412"/>
      <c r="OL216" s="412"/>
      <c r="OM216" s="412"/>
      <c r="ON216" s="412"/>
      <c r="OO216" s="412"/>
      <c r="OP216" s="412"/>
      <c r="OQ216" s="412"/>
      <c r="OR216" s="412"/>
      <c r="OS216" s="412"/>
      <c r="OT216" s="412"/>
      <c r="OU216" s="412"/>
      <c r="OV216" s="412"/>
      <c r="OW216" s="412"/>
      <c r="OX216" s="412"/>
      <c r="OY216" s="412"/>
      <c r="OZ216" s="412"/>
      <c r="PA216" s="412"/>
      <c r="PB216" s="412"/>
      <c r="PC216" s="412"/>
      <c r="PD216" s="412"/>
      <c r="PE216" s="412"/>
      <c r="PF216" s="412"/>
      <c r="PG216" s="412"/>
      <c r="PH216" s="412"/>
      <c r="PI216" s="412"/>
      <c r="PJ216" s="412"/>
      <c r="PK216" s="412"/>
      <c r="PL216" s="412"/>
      <c r="PM216" s="412"/>
      <c r="PN216" s="412"/>
      <c r="PO216" s="412"/>
      <c r="PP216" s="412"/>
      <c r="PQ216" s="412"/>
      <c r="PR216" s="412"/>
      <c r="PS216" s="412"/>
      <c r="PT216" s="412"/>
      <c r="PU216" s="412"/>
      <c r="PV216" s="412"/>
      <c r="PW216" s="412"/>
      <c r="PX216" s="412"/>
      <c r="PY216" s="412"/>
      <c r="PZ216" s="412"/>
      <c r="QA216" s="412"/>
      <c r="QB216" s="412"/>
      <c r="QC216" s="412"/>
      <c r="QD216" s="412"/>
      <c r="QE216" s="412"/>
      <c r="QF216" s="412"/>
      <c r="QG216" s="412"/>
      <c r="QH216" s="412"/>
      <c r="QI216" s="412"/>
      <c r="QJ216" s="412"/>
      <c r="QK216" s="412"/>
      <c r="QL216" s="412"/>
      <c r="QM216" s="412"/>
      <c r="QN216" s="412"/>
      <c r="QO216" s="412"/>
      <c r="QP216" s="412"/>
      <c r="QQ216" s="412"/>
      <c r="QR216" s="412"/>
      <c r="QS216" s="412"/>
      <c r="QT216" s="412"/>
      <c r="QU216" s="412"/>
      <c r="QV216" s="412"/>
      <c r="QW216" s="412"/>
      <c r="QX216" s="412"/>
      <c r="QY216" s="412"/>
      <c r="QZ216" s="412"/>
      <c r="RA216" s="412"/>
      <c r="RB216" s="412"/>
      <c r="RC216" s="412"/>
      <c r="RD216" s="412"/>
      <c r="RE216" s="412"/>
      <c r="RF216" s="412"/>
      <c r="RG216" s="412"/>
      <c r="RH216" s="412"/>
      <c r="RI216" s="412"/>
      <c r="RJ216" s="412"/>
      <c r="RK216" s="412"/>
      <c r="RL216" s="412"/>
      <c r="RM216" s="412"/>
      <c r="RN216" s="412"/>
      <c r="RO216" s="412"/>
      <c r="RP216" s="412"/>
      <c r="RQ216" s="412"/>
      <c r="RR216" s="412"/>
      <c r="RS216" s="412"/>
      <c r="RT216" s="412"/>
      <c r="RU216" s="412"/>
      <c r="RV216" s="412"/>
      <c r="RW216" s="412"/>
      <c r="RX216" s="412"/>
      <c r="RY216" s="412"/>
      <c r="RZ216" s="412"/>
      <c r="SA216" s="412"/>
      <c r="SB216" s="412"/>
      <c r="SC216" s="412"/>
      <c r="SD216" s="412"/>
      <c r="SE216" s="412"/>
      <c r="SF216" s="412"/>
      <c r="SG216" s="412"/>
      <c r="SH216" s="412"/>
      <c r="SI216" s="412"/>
      <c r="SJ216" s="412"/>
      <c r="SK216" s="412"/>
      <c r="SL216" s="412"/>
      <c r="SM216" s="412"/>
      <c r="SN216" s="412"/>
      <c r="SO216" s="412"/>
      <c r="SP216" s="412"/>
      <c r="SQ216" s="412"/>
      <c r="SR216" s="412"/>
      <c r="SS216" s="412"/>
      <c r="ST216" s="412"/>
      <c r="SU216" s="412"/>
      <c r="SV216" s="412"/>
      <c r="SW216" s="412"/>
      <c r="SX216" s="412"/>
      <c r="SY216" s="412"/>
      <c r="SZ216" s="412"/>
      <c r="TA216" s="412"/>
      <c r="TB216" s="412"/>
      <c r="TC216" s="412"/>
      <c r="TD216" s="412"/>
      <c r="TE216" s="412"/>
      <c r="TF216" s="412"/>
      <c r="TG216" s="412"/>
      <c r="TH216" s="412"/>
      <c r="TI216" s="412"/>
      <c r="TJ216" s="412"/>
      <c r="TK216" s="412"/>
      <c r="TL216" s="412"/>
      <c r="TM216" s="412"/>
      <c r="TN216" s="412"/>
      <c r="TO216" s="412"/>
      <c r="TP216" s="412"/>
      <c r="TQ216" s="412"/>
      <c r="TR216" s="412"/>
      <c r="TS216" s="412"/>
      <c r="TT216" s="412"/>
      <c r="TU216" s="412"/>
      <c r="TV216" s="412"/>
      <c r="TW216" s="412"/>
      <c r="TX216" s="412"/>
      <c r="TY216" s="412"/>
      <c r="TZ216" s="412"/>
      <c r="UA216" s="412"/>
      <c r="UB216" s="412"/>
      <c r="UC216" s="412"/>
      <c r="UD216" s="412"/>
      <c r="UE216" s="412"/>
      <c r="UF216" s="412"/>
      <c r="UG216" s="412"/>
      <c r="UH216" s="412"/>
      <c r="UI216" s="412"/>
      <c r="UJ216" s="412"/>
      <c r="UK216" s="412"/>
      <c r="UL216" s="412"/>
      <c r="UM216" s="412"/>
      <c r="UN216" s="412"/>
      <c r="UO216" s="412"/>
      <c r="UP216" s="412"/>
      <c r="UQ216" s="412"/>
      <c r="UR216" s="412"/>
      <c r="US216" s="412"/>
      <c r="UT216" s="412"/>
      <c r="UU216" s="412"/>
      <c r="UV216" s="412"/>
      <c r="UW216" s="412"/>
      <c r="UX216" s="412"/>
      <c r="UY216" s="412"/>
      <c r="UZ216" s="412"/>
      <c r="VA216" s="412"/>
      <c r="VB216" s="412"/>
      <c r="VC216" s="412"/>
      <c r="VD216" s="412"/>
      <c r="VE216" s="412"/>
      <c r="VF216" s="412"/>
      <c r="VG216" s="412"/>
      <c r="VH216" s="412"/>
      <c r="VI216" s="412"/>
      <c r="VJ216" s="412"/>
      <c r="VK216" s="412"/>
      <c r="VL216" s="412"/>
      <c r="VM216" s="412"/>
      <c r="VN216" s="412"/>
      <c r="VO216" s="412"/>
      <c r="VP216" s="412"/>
      <c r="VQ216" s="412"/>
      <c r="VR216" s="412"/>
      <c r="VS216" s="412"/>
      <c r="VT216" s="412"/>
      <c r="VU216" s="412"/>
      <c r="VV216" s="412"/>
      <c r="VW216" s="412"/>
      <c r="VX216" s="412"/>
      <c r="VY216" s="412"/>
      <c r="VZ216" s="412"/>
      <c r="WA216" s="412"/>
      <c r="WB216" s="412"/>
      <c r="WC216" s="412"/>
      <c r="WD216" s="412"/>
      <c r="WE216" s="412"/>
      <c r="WF216" s="412"/>
      <c r="WG216" s="412"/>
      <c r="WH216" s="412"/>
      <c r="WI216" s="412"/>
      <c r="WJ216" s="412"/>
      <c r="WK216" s="412"/>
      <c r="WL216" s="412"/>
      <c r="WM216" s="412"/>
      <c r="WN216" s="412"/>
      <c r="WO216" s="412"/>
      <c r="WP216" s="412"/>
      <c r="WQ216" s="412"/>
      <c r="WR216" s="412"/>
      <c r="WS216" s="412"/>
      <c r="WT216" s="412"/>
      <c r="WU216" s="412"/>
      <c r="WV216" s="412"/>
      <c r="WW216" s="412"/>
      <c r="WX216" s="412"/>
      <c r="WY216" s="412"/>
      <c r="WZ216" s="412"/>
      <c r="XA216" s="412"/>
      <c r="XB216" s="412"/>
      <c r="XC216" s="412"/>
      <c r="XD216" s="412"/>
      <c r="XE216" s="412"/>
      <c r="XF216" s="412"/>
      <c r="XG216" s="412"/>
      <c r="XH216" s="412"/>
      <c r="XI216" s="412"/>
      <c r="XJ216" s="412"/>
      <c r="XK216" s="412"/>
      <c r="XL216" s="412"/>
      <c r="XM216" s="412"/>
      <c r="XN216" s="412"/>
      <c r="XO216" s="412"/>
      <c r="XP216" s="412"/>
      <c r="XQ216" s="412"/>
      <c r="XR216" s="412"/>
      <c r="XS216" s="412"/>
      <c r="XT216" s="412"/>
      <c r="XU216" s="412"/>
      <c r="XV216" s="412"/>
      <c r="XW216" s="412"/>
      <c r="XX216" s="412"/>
      <c r="XY216" s="412"/>
      <c r="XZ216" s="412"/>
      <c r="YA216" s="412"/>
      <c r="YB216" s="412"/>
      <c r="YC216" s="412"/>
      <c r="YD216" s="412"/>
      <c r="YE216" s="412"/>
      <c r="YF216" s="412"/>
      <c r="YG216" s="412"/>
      <c r="YH216" s="412"/>
      <c r="YI216" s="412"/>
      <c r="YJ216" s="412"/>
      <c r="YK216" s="412"/>
      <c r="YL216" s="412"/>
      <c r="YM216" s="412"/>
      <c r="YN216" s="412"/>
      <c r="YO216" s="412"/>
      <c r="YP216" s="412"/>
      <c r="YQ216" s="412"/>
      <c r="YR216" s="412"/>
      <c r="YS216" s="412"/>
      <c r="YT216" s="412"/>
      <c r="YU216" s="412"/>
      <c r="YV216" s="412"/>
      <c r="YW216" s="412"/>
      <c r="YX216" s="412"/>
      <c r="YY216" s="412"/>
      <c r="YZ216" s="412"/>
      <c r="ZA216" s="412"/>
      <c r="ZB216" s="412"/>
      <c r="ZC216" s="412"/>
      <c r="ZD216" s="412"/>
      <c r="ZE216" s="412"/>
      <c r="ZF216" s="412"/>
      <c r="ZG216" s="412"/>
      <c r="ZH216" s="412"/>
      <c r="ZI216" s="412"/>
      <c r="ZJ216" s="412"/>
      <c r="ZK216" s="412"/>
      <c r="ZL216" s="412"/>
      <c r="ZM216" s="412"/>
      <c r="ZN216" s="412"/>
      <c r="ZO216" s="412"/>
      <c r="ZP216" s="412"/>
      <c r="ZQ216" s="412"/>
      <c r="ZR216" s="412"/>
      <c r="ZS216" s="412"/>
      <c r="ZT216" s="412"/>
      <c r="ZU216" s="412"/>
      <c r="ZV216" s="412"/>
      <c r="ZW216" s="412"/>
      <c r="ZX216" s="412"/>
      <c r="ZY216" s="412"/>
      <c r="ZZ216" s="412"/>
      <c r="AAA216" s="412"/>
      <c r="AAB216" s="412"/>
      <c r="AAC216" s="412"/>
      <c r="AAD216" s="412"/>
      <c r="AAE216" s="412"/>
      <c r="AAF216" s="412"/>
      <c r="AAG216" s="412"/>
      <c r="AAH216" s="412"/>
      <c r="AAI216" s="412"/>
      <c r="AAJ216" s="412"/>
      <c r="AAK216" s="412"/>
      <c r="AAL216" s="412"/>
      <c r="AAM216" s="412"/>
      <c r="AAN216" s="412"/>
      <c r="AAO216" s="412"/>
      <c r="AAP216" s="412"/>
      <c r="AAQ216" s="412"/>
      <c r="AAR216" s="412"/>
      <c r="AAS216" s="412"/>
      <c r="AAT216" s="412"/>
      <c r="AAU216" s="412"/>
      <c r="AAV216" s="412"/>
      <c r="AAW216" s="412"/>
      <c r="AAX216" s="412"/>
      <c r="AAY216" s="412"/>
      <c r="AAZ216" s="412"/>
      <c r="ABA216" s="412"/>
      <c r="ABB216" s="412"/>
      <c r="ABC216" s="412"/>
      <c r="ABD216" s="412"/>
      <c r="ABE216" s="412"/>
      <c r="ABF216" s="412"/>
      <c r="ABG216" s="412"/>
      <c r="ABH216" s="412"/>
      <c r="ABI216" s="412"/>
      <c r="ABJ216" s="412"/>
      <c r="ABK216" s="412"/>
      <c r="ABL216" s="412"/>
      <c r="ABM216" s="412"/>
      <c r="ABN216" s="412"/>
      <c r="ABO216" s="412"/>
      <c r="ABP216" s="412"/>
      <c r="ABQ216" s="412"/>
      <c r="ABR216" s="412"/>
      <c r="ABS216" s="412"/>
      <c r="ABT216" s="412"/>
      <c r="ABU216" s="412"/>
      <c r="ABV216" s="412"/>
      <c r="ABW216" s="412"/>
      <c r="ABX216" s="412"/>
      <c r="ABY216" s="412"/>
      <c r="ABZ216" s="412"/>
      <c r="ACA216" s="412"/>
      <c r="ACB216" s="412"/>
      <c r="ACC216" s="412"/>
      <c r="ACD216" s="412"/>
      <c r="ACE216" s="412"/>
      <c r="ACF216" s="412"/>
      <c r="ACG216" s="412"/>
      <c r="ACH216" s="412"/>
      <c r="ACI216" s="412"/>
      <c r="ACJ216" s="412"/>
      <c r="ACK216" s="412"/>
      <c r="ACL216" s="412"/>
      <c r="ACM216" s="412"/>
      <c r="ACN216" s="412"/>
      <c r="ACO216" s="412"/>
      <c r="ACP216" s="412"/>
      <c r="ACQ216" s="412"/>
      <c r="ACR216" s="412"/>
      <c r="ACS216" s="412"/>
      <c r="ACT216" s="412"/>
      <c r="ACU216" s="412"/>
      <c r="ACV216" s="412"/>
      <c r="ACW216" s="412"/>
      <c r="ACX216" s="412"/>
      <c r="ACY216" s="412"/>
      <c r="ACZ216" s="412"/>
      <c r="ADA216" s="412"/>
      <c r="ADB216" s="412"/>
      <c r="ADC216" s="412"/>
      <c r="ADD216" s="412"/>
      <c r="ADE216" s="412"/>
      <c r="ADF216" s="412"/>
      <c r="ADG216" s="412"/>
      <c r="ADH216" s="412"/>
      <c r="ADI216" s="412"/>
      <c r="ADJ216" s="412"/>
      <c r="ADK216" s="412"/>
      <c r="ADL216" s="412"/>
      <c r="ADM216" s="412"/>
      <c r="ADN216" s="412"/>
      <c r="ADO216" s="412"/>
      <c r="ADP216" s="412"/>
      <c r="ADQ216" s="412"/>
      <c r="ADR216" s="412"/>
      <c r="ADS216" s="412"/>
      <c r="ADT216" s="412"/>
      <c r="ADU216" s="412"/>
      <c r="ADV216" s="412"/>
      <c r="ADW216" s="412"/>
      <c r="ADX216" s="412"/>
      <c r="ADY216" s="412"/>
      <c r="ADZ216" s="412"/>
      <c r="AEA216" s="412"/>
      <c r="AEB216" s="412"/>
      <c r="AEC216" s="412"/>
      <c r="AED216" s="412"/>
      <c r="AEE216" s="412"/>
      <c r="AEF216" s="412"/>
      <c r="AEG216" s="412"/>
      <c r="AEH216" s="412"/>
      <c r="AEI216" s="412"/>
      <c r="AEJ216" s="412"/>
      <c r="AEK216" s="412"/>
      <c r="AEL216" s="412"/>
      <c r="AEM216" s="412"/>
      <c r="AEN216" s="412"/>
      <c r="AEO216" s="412"/>
      <c r="AEP216" s="412"/>
      <c r="AEQ216" s="412"/>
      <c r="AER216" s="412"/>
      <c r="AES216" s="412"/>
      <c r="AET216" s="412"/>
      <c r="AEU216" s="412"/>
      <c r="AEV216" s="412"/>
      <c r="AEW216" s="412"/>
      <c r="AEX216" s="412"/>
      <c r="AEY216" s="412"/>
      <c r="AEZ216" s="412"/>
      <c r="AFA216" s="412"/>
      <c r="AFB216" s="412"/>
      <c r="AFC216" s="412"/>
      <c r="AFD216" s="412"/>
      <c r="AFE216" s="412"/>
      <c r="AFF216" s="412"/>
      <c r="AFG216" s="412"/>
      <c r="AFH216" s="412"/>
      <c r="AFI216" s="412"/>
      <c r="AFJ216" s="412"/>
      <c r="AFK216" s="412"/>
      <c r="AFL216" s="412"/>
      <c r="AFM216" s="412"/>
      <c r="AFN216" s="412"/>
      <c r="AFO216" s="412"/>
      <c r="AFP216" s="412"/>
      <c r="AFQ216" s="412"/>
      <c r="AFR216" s="412"/>
      <c r="AFS216" s="412"/>
      <c r="AFT216" s="412"/>
      <c r="AFU216" s="412"/>
      <c r="AFV216" s="412"/>
      <c r="AFW216" s="412"/>
      <c r="AFX216" s="412"/>
      <c r="AFY216" s="412"/>
      <c r="AFZ216" s="412"/>
      <c r="AGA216" s="412"/>
      <c r="AGB216" s="412"/>
      <c r="AGC216" s="412"/>
      <c r="AGD216" s="412"/>
      <c r="AGE216" s="412"/>
      <c r="AGF216" s="412"/>
      <c r="AGG216" s="412"/>
      <c r="AGH216" s="412"/>
      <c r="AGI216" s="412"/>
      <c r="AGJ216" s="412"/>
      <c r="AGK216" s="412"/>
      <c r="AGL216" s="412"/>
      <c r="AGM216" s="412"/>
      <c r="AGN216" s="412"/>
      <c r="AGO216" s="412"/>
      <c r="AGP216" s="412"/>
      <c r="AGQ216" s="412"/>
      <c r="AGR216" s="412"/>
      <c r="AGS216" s="412"/>
      <c r="AGT216" s="412"/>
      <c r="AGU216" s="412"/>
      <c r="AGV216" s="412"/>
      <c r="AGW216" s="412"/>
      <c r="AGX216" s="412"/>
      <c r="AGY216" s="412"/>
      <c r="AGZ216" s="412"/>
      <c r="AHA216" s="412"/>
      <c r="AHB216" s="412"/>
      <c r="AHC216" s="412"/>
      <c r="AHD216" s="412"/>
      <c r="AHE216" s="412"/>
      <c r="AHF216" s="412"/>
      <c r="AHG216" s="412"/>
      <c r="AHH216" s="412"/>
      <c r="AHI216" s="412"/>
      <c r="AHJ216" s="412"/>
      <c r="AHK216" s="412"/>
      <c r="AHL216" s="412"/>
      <c r="AHM216" s="412"/>
      <c r="AHN216" s="412"/>
      <c r="AHO216" s="412"/>
      <c r="AHP216" s="412"/>
      <c r="AHQ216" s="412"/>
      <c r="AHR216" s="412"/>
      <c r="AHS216" s="412"/>
      <c r="AHT216" s="412"/>
      <c r="AHU216" s="412"/>
      <c r="AHV216" s="412"/>
      <c r="AHW216" s="412"/>
      <c r="AHX216" s="412"/>
      <c r="AHY216" s="412"/>
      <c r="AHZ216" s="412"/>
      <c r="AIA216" s="412"/>
      <c r="AIB216" s="412"/>
      <c r="AIC216" s="412"/>
      <c r="AID216" s="412"/>
      <c r="AIE216" s="412"/>
      <c r="AIF216" s="412"/>
      <c r="AIG216" s="412"/>
      <c r="AIH216" s="412"/>
      <c r="AII216" s="412"/>
      <c r="AIJ216" s="412"/>
      <c r="AIK216" s="412"/>
      <c r="AIL216" s="412"/>
      <c r="AIM216" s="412"/>
      <c r="AIN216" s="412"/>
      <c r="AIO216" s="412"/>
      <c r="AIP216" s="412"/>
      <c r="AIQ216" s="412"/>
      <c r="AIR216" s="412"/>
      <c r="AIS216" s="412"/>
      <c r="AIT216" s="412"/>
      <c r="AIU216" s="412"/>
      <c r="AIV216" s="412"/>
      <c r="AIW216" s="412"/>
      <c r="AIX216" s="412"/>
      <c r="AIY216" s="412"/>
      <c r="AIZ216" s="412"/>
      <c r="AJA216" s="412"/>
      <c r="AJB216" s="412"/>
      <c r="AJC216" s="412"/>
      <c r="AJD216" s="412"/>
      <c r="AJE216" s="412"/>
      <c r="AJF216" s="412"/>
      <c r="AJG216" s="412"/>
      <c r="AJH216" s="412"/>
      <c r="AJI216" s="412"/>
      <c r="AJJ216" s="412"/>
      <c r="AJK216" s="412"/>
      <c r="AJL216" s="412"/>
      <c r="AJM216" s="412"/>
      <c r="AJN216" s="412"/>
      <c r="AJO216" s="412"/>
      <c r="AJP216" s="412"/>
      <c r="AJQ216" s="412"/>
      <c r="AJR216" s="412"/>
      <c r="AJS216" s="412"/>
      <c r="AJT216" s="412"/>
      <c r="AJU216" s="412"/>
      <c r="AJV216" s="412"/>
      <c r="AJW216" s="412"/>
      <c r="AJX216" s="412"/>
      <c r="AJY216" s="412"/>
      <c r="AJZ216" s="412"/>
      <c r="AKA216" s="412"/>
      <c r="AKB216" s="412"/>
      <c r="AKC216" s="412"/>
      <c r="AKD216" s="412"/>
      <c r="AKE216" s="412"/>
      <c r="AKF216" s="412"/>
      <c r="AKG216" s="412"/>
      <c r="AKH216" s="412"/>
      <c r="AKI216" s="412"/>
      <c r="AKJ216" s="412"/>
      <c r="AKK216" s="412"/>
      <c r="AKL216" s="412"/>
      <c r="AKM216" s="412"/>
      <c r="AKN216" s="412"/>
      <c r="AKO216" s="412"/>
      <c r="AKP216" s="412"/>
      <c r="AKQ216" s="412"/>
      <c r="AKR216" s="412"/>
      <c r="AKS216" s="412"/>
      <c r="AKT216" s="412"/>
      <c r="AKU216" s="412"/>
      <c r="AKV216" s="412"/>
      <c r="AKW216" s="412"/>
      <c r="AKX216" s="412"/>
      <c r="AKY216" s="412"/>
      <c r="AKZ216" s="412"/>
      <c r="ALA216" s="412"/>
      <c r="ALB216" s="412"/>
      <c r="ALC216" s="412"/>
      <c r="ALD216" s="412"/>
      <c r="ALE216" s="412"/>
      <c r="ALF216" s="412"/>
      <c r="ALG216" s="412"/>
      <c r="ALH216" s="412"/>
      <c r="ALI216" s="412"/>
      <c r="ALJ216" s="412"/>
      <c r="ALK216" s="412"/>
      <c r="ALL216" s="412"/>
      <c r="ALM216" s="412"/>
      <c r="ALN216" s="412"/>
      <c r="ALO216" s="412"/>
      <c r="ALP216" s="412"/>
      <c r="ALQ216" s="412"/>
      <c r="ALR216" s="412"/>
      <c r="ALS216" s="412"/>
      <c r="ALT216" s="412"/>
      <c r="ALU216" s="412"/>
      <c r="ALV216" s="412"/>
      <c r="ALW216" s="412"/>
      <c r="ALX216" s="412"/>
      <c r="ALY216" s="412"/>
      <c r="ALZ216" s="412"/>
      <c r="AMA216" s="412"/>
      <c r="AMB216" s="412"/>
      <c r="AMC216" s="412"/>
      <c r="AMD216" s="412"/>
      <c r="AME216" s="412"/>
      <c r="AMF216" s="412"/>
      <c r="AMG216" s="412"/>
      <c r="AMH216" s="412"/>
      <c r="AMI216" s="412"/>
      <c r="AMJ216" s="412"/>
      <c r="AMK216" s="412"/>
      <c r="AML216" s="412"/>
      <c r="AMM216" s="412"/>
      <c r="AMN216" s="412"/>
      <c r="AMO216" s="412"/>
      <c r="AMP216" s="412"/>
      <c r="AMQ216" s="412"/>
      <c r="AMR216" s="412"/>
      <c r="AMS216" s="412"/>
      <c r="AMT216" s="412"/>
      <c r="AMU216" s="412"/>
      <c r="AMV216" s="412"/>
      <c r="AMW216" s="412"/>
      <c r="AMX216" s="412"/>
      <c r="AMY216" s="412"/>
      <c r="AMZ216" s="412"/>
      <c r="ANA216" s="412"/>
      <c r="ANB216" s="412"/>
      <c r="ANC216" s="412"/>
      <c r="AND216" s="412"/>
      <c r="ANE216" s="412"/>
      <c r="ANF216" s="412"/>
      <c r="ANG216" s="412"/>
      <c r="ANH216" s="412"/>
      <c r="ANI216" s="412"/>
      <c r="ANJ216" s="412"/>
      <c r="ANK216" s="412"/>
      <c r="ANL216" s="412"/>
      <c r="ANM216" s="412"/>
      <c r="ANN216" s="412"/>
      <c r="ANO216" s="412"/>
      <c r="ANP216" s="412"/>
      <c r="ANQ216" s="412"/>
      <c r="ANR216" s="412"/>
      <c r="ANS216" s="412"/>
      <c r="ANT216" s="412"/>
      <c r="ANU216" s="412"/>
      <c r="ANV216" s="412"/>
      <c r="ANW216" s="412"/>
      <c r="ANX216" s="412"/>
      <c r="ANY216" s="412"/>
      <c r="ANZ216" s="412"/>
      <c r="AOA216" s="412"/>
      <c r="AOB216" s="412"/>
      <c r="AOC216" s="412"/>
      <c r="AOD216" s="412"/>
      <c r="AOE216" s="412"/>
      <c r="AOF216" s="412"/>
      <c r="AOG216" s="412"/>
      <c r="AOH216" s="412"/>
      <c r="AOI216" s="412"/>
      <c r="AOJ216" s="412"/>
      <c r="AOK216" s="412"/>
      <c r="AOL216" s="412"/>
      <c r="AOM216" s="412"/>
      <c r="AON216" s="412"/>
      <c r="AOO216" s="412"/>
      <c r="AOP216" s="412"/>
      <c r="AOQ216" s="412"/>
      <c r="AOR216" s="412"/>
      <c r="AOS216" s="412"/>
      <c r="AOT216" s="412"/>
      <c r="AOU216" s="412"/>
      <c r="AOV216" s="412"/>
      <c r="AOW216" s="412"/>
      <c r="AOX216" s="412"/>
      <c r="AOY216" s="412"/>
      <c r="AOZ216" s="412"/>
      <c r="APA216" s="412"/>
      <c r="APB216" s="412"/>
      <c r="APC216" s="412"/>
      <c r="APD216" s="412"/>
      <c r="APE216" s="412"/>
      <c r="APF216" s="412"/>
      <c r="APG216" s="412"/>
      <c r="APH216" s="412"/>
      <c r="API216" s="412"/>
      <c r="APJ216" s="412"/>
      <c r="APK216" s="412"/>
      <c r="APL216" s="412"/>
      <c r="APM216" s="412"/>
      <c r="APN216" s="412"/>
      <c r="APO216" s="412"/>
      <c r="APP216" s="412"/>
      <c r="APQ216" s="412"/>
      <c r="APR216" s="412"/>
      <c r="APS216" s="412"/>
      <c r="APT216" s="412"/>
      <c r="APU216" s="412"/>
      <c r="APV216" s="412"/>
      <c r="APW216" s="412"/>
      <c r="APX216" s="412"/>
      <c r="APY216" s="412"/>
      <c r="APZ216" s="412"/>
      <c r="AQA216" s="412"/>
      <c r="AQB216" s="412"/>
      <c r="AQC216" s="412"/>
      <c r="AQD216" s="412"/>
      <c r="AQE216" s="412"/>
      <c r="AQF216" s="412"/>
      <c r="AQG216" s="412"/>
      <c r="AQH216" s="412"/>
      <c r="AQI216" s="412"/>
      <c r="AQJ216" s="412"/>
      <c r="AQK216" s="412"/>
      <c r="AQL216" s="412"/>
      <c r="AQM216" s="412"/>
      <c r="AQN216" s="412"/>
      <c r="AQO216" s="412"/>
      <c r="AQP216" s="412"/>
      <c r="AQQ216" s="412"/>
      <c r="AQR216" s="412"/>
      <c r="AQS216" s="412"/>
      <c r="AQT216" s="412"/>
      <c r="AQU216" s="412"/>
      <c r="AQV216" s="412"/>
      <c r="AQW216" s="412"/>
      <c r="AQX216" s="412"/>
      <c r="AQY216" s="412"/>
      <c r="AQZ216" s="412"/>
      <c r="ARA216" s="412"/>
      <c r="ARB216" s="412"/>
      <c r="ARC216" s="412"/>
      <c r="ARD216" s="412"/>
      <c r="ARE216" s="412"/>
      <c r="ARF216" s="412"/>
      <c r="ARG216" s="412"/>
      <c r="ARH216" s="412"/>
      <c r="ARI216" s="412"/>
      <c r="ARJ216" s="412"/>
      <c r="ARK216" s="412"/>
      <c r="ARL216" s="412"/>
      <c r="ARM216" s="412"/>
      <c r="ARN216" s="412"/>
      <c r="ARO216" s="412"/>
      <c r="ARP216" s="412"/>
      <c r="ARQ216" s="412"/>
      <c r="ARR216" s="412"/>
      <c r="ARS216" s="412"/>
      <c r="ART216" s="412"/>
      <c r="ARU216" s="412"/>
      <c r="ARV216" s="412"/>
      <c r="ARW216" s="412"/>
      <c r="ARX216" s="412"/>
      <c r="ARY216" s="412"/>
      <c r="ARZ216" s="412"/>
      <c r="ASA216" s="412"/>
      <c r="ASB216" s="412"/>
      <c r="ASC216" s="412"/>
      <c r="ASD216" s="412"/>
      <c r="ASE216" s="412"/>
      <c r="ASF216" s="412"/>
      <c r="ASG216" s="412"/>
      <c r="ASH216" s="412"/>
      <c r="ASI216" s="412"/>
      <c r="ASJ216" s="412"/>
      <c r="ASK216" s="412"/>
      <c r="ASL216" s="412"/>
      <c r="ASM216" s="412"/>
      <c r="ASN216" s="412"/>
      <c r="ASO216" s="412"/>
      <c r="ASP216" s="412"/>
      <c r="ASQ216" s="412"/>
      <c r="ASR216" s="412"/>
      <c r="ASS216" s="412"/>
      <c r="AST216" s="412"/>
      <c r="ASU216" s="412"/>
      <c r="ASV216" s="412"/>
      <c r="ASW216" s="412"/>
      <c r="ASX216" s="412"/>
      <c r="ASY216" s="412"/>
      <c r="ASZ216" s="412"/>
      <c r="ATA216" s="412"/>
      <c r="ATB216" s="412"/>
      <c r="ATC216" s="412"/>
      <c r="ATD216" s="412"/>
      <c r="ATE216" s="412"/>
      <c r="ATF216" s="412"/>
      <c r="ATG216" s="412"/>
      <c r="ATH216" s="412"/>
      <c r="ATI216" s="412"/>
      <c r="ATJ216" s="412"/>
      <c r="ATK216" s="412"/>
      <c r="ATL216" s="412"/>
      <c r="ATM216" s="412"/>
      <c r="ATN216" s="412"/>
      <c r="ATO216" s="412"/>
      <c r="ATP216" s="412"/>
      <c r="ATQ216" s="412"/>
      <c r="ATR216" s="412"/>
      <c r="ATS216" s="412"/>
      <c r="ATT216" s="412"/>
      <c r="ATU216" s="412"/>
      <c r="ATV216" s="412"/>
      <c r="ATW216" s="412"/>
      <c r="ATX216" s="412"/>
      <c r="ATY216" s="412"/>
      <c r="ATZ216" s="412"/>
      <c r="AUA216" s="412"/>
      <c r="AUB216" s="412"/>
      <c r="AUC216" s="412"/>
      <c r="AUD216" s="412"/>
      <c r="AUE216" s="412"/>
      <c r="AUF216" s="412"/>
      <c r="AUG216" s="412"/>
      <c r="AUH216" s="412"/>
      <c r="AUI216" s="412"/>
      <c r="AUJ216" s="412"/>
      <c r="AUK216" s="412"/>
      <c r="AUL216" s="412"/>
      <c r="AUM216" s="412"/>
      <c r="AUN216" s="412"/>
      <c r="AUO216" s="412"/>
      <c r="AUP216" s="412"/>
      <c r="AUQ216" s="412"/>
      <c r="AUR216" s="412"/>
      <c r="AUS216" s="412"/>
      <c r="AUT216" s="412"/>
      <c r="AUU216" s="412"/>
      <c r="AUV216" s="412"/>
      <c r="AUW216" s="412"/>
      <c r="AUX216" s="412"/>
      <c r="AUY216" s="412"/>
      <c r="AUZ216" s="412"/>
      <c r="AVA216" s="412"/>
      <c r="AVB216" s="412"/>
      <c r="AVC216" s="412"/>
      <c r="AVD216" s="412"/>
      <c r="AVE216" s="412"/>
      <c r="AVF216" s="412"/>
      <c r="AVG216" s="412"/>
      <c r="AVH216" s="412"/>
      <c r="AVI216" s="412"/>
      <c r="AVJ216" s="412"/>
      <c r="AVK216" s="412"/>
      <c r="AVL216" s="412"/>
      <c r="AVM216" s="412"/>
      <c r="AVN216" s="412"/>
      <c r="AVO216" s="412"/>
      <c r="AVP216" s="412"/>
      <c r="AVQ216" s="412"/>
      <c r="AVR216" s="412"/>
      <c r="AVS216" s="412"/>
      <c r="AVT216" s="412"/>
      <c r="AVU216" s="412"/>
      <c r="AVV216" s="412"/>
      <c r="AVW216" s="412"/>
      <c r="AVX216" s="412"/>
      <c r="AVY216" s="412"/>
      <c r="AVZ216" s="412"/>
      <c r="AWA216" s="412"/>
      <c r="AWB216" s="412"/>
      <c r="AWC216" s="412"/>
      <c r="AWD216" s="412"/>
      <c r="AWE216" s="412"/>
      <c r="AWF216" s="412"/>
      <c r="AWG216" s="412"/>
      <c r="AWH216" s="412"/>
      <c r="AWI216" s="412"/>
      <c r="AWJ216" s="412"/>
      <c r="AWK216" s="412"/>
      <c r="AWL216" s="412"/>
      <c r="AWM216" s="412"/>
      <c r="AWN216" s="412"/>
      <c r="AWO216" s="412"/>
      <c r="AWP216" s="412"/>
      <c r="AWQ216" s="412"/>
      <c r="AWR216" s="412"/>
      <c r="AWS216" s="412"/>
      <c r="AWT216" s="412"/>
      <c r="AWU216" s="412"/>
      <c r="AWV216" s="412"/>
      <c r="AWW216" s="412"/>
      <c r="AWX216" s="412"/>
      <c r="AWY216" s="412"/>
      <c r="AWZ216" s="412"/>
      <c r="AXA216" s="412"/>
      <c r="AXB216" s="412"/>
      <c r="AXC216" s="412"/>
      <c r="AXD216" s="412"/>
      <c r="AXE216" s="412"/>
      <c r="AXF216" s="412"/>
      <c r="AXG216" s="412"/>
      <c r="AXH216" s="412"/>
      <c r="AXI216" s="412"/>
      <c r="AXJ216" s="412"/>
      <c r="AXK216" s="412"/>
      <c r="AXL216" s="412"/>
      <c r="AXM216" s="412"/>
      <c r="AXN216" s="412"/>
      <c r="AXO216" s="412"/>
      <c r="AXP216" s="412"/>
      <c r="AXQ216" s="412"/>
      <c r="AXR216" s="412"/>
      <c r="AXS216" s="412"/>
      <c r="AXT216" s="412"/>
      <c r="AXU216" s="412"/>
      <c r="AXV216" s="412"/>
      <c r="AXW216" s="412"/>
      <c r="AXX216" s="412"/>
      <c r="AXY216" s="412"/>
      <c r="AXZ216" s="412"/>
      <c r="AYA216" s="412"/>
      <c r="AYB216" s="412"/>
      <c r="AYC216" s="412"/>
      <c r="AYD216" s="412"/>
      <c r="AYE216" s="412"/>
      <c r="AYF216" s="412"/>
      <c r="AYG216" s="412"/>
      <c r="AYH216" s="412"/>
      <c r="AYI216" s="412"/>
      <c r="AYJ216" s="412"/>
      <c r="AYK216" s="412"/>
      <c r="AYL216" s="412"/>
      <c r="AYM216" s="412"/>
      <c r="AYN216" s="412"/>
      <c r="AYO216" s="412"/>
      <c r="AYP216" s="412"/>
      <c r="AYQ216" s="412"/>
      <c r="AYR216" s="412"/>
      <c r="AYS216" s="412"/>
      <c r="AYT216" s="412"/>
      <c r="AYU216" s="412"/>
      <c r="AYV216" s="412"/>
      <c r="AYW216" s="412"/>
      <c r="AYX216" s="412"/>
      <c r="AYY216" s="412"/>
      <c r="AYZ216" s="412"/>
      <c r="AZA216" s="412"/>
      <c r="AZB216" s="412"/>
      <c r="AZC216" s="412"/>
      <c r="AZD216" s="412"/>
      <c r="AZE216" s="412"/>
      <c r="AZF216" s="412"/>
      <c r="AZG216" s="412"/>
      <c r="AZH216" s="412"/>
      <c r="AZI216" s="412"/>
      <c r="AZJ216" s="412"/>
      <c r="AZK216" s="412"/>
      <c r="AZL216" s="412"/>
      <c r="AZM216" s="412"/>
      <c r="AZN216" s="412"/>
      <c r="AZO216" s="412"/>
      <c r="AZP216" s="412"/>
      <c r="AZQ216" s="412"/>
      <c r="AZR216" s="412"/>
      <c r="AZS216" s="412"/>
      <c r="AZT216" s="412"/>
      <c r="AZU216" s="412"/>
      <c r="AZV216" s="412"/>
      <c r="AZW216" s="412"/>
      <c r="AZX216" s="412"/>
      <c r="AZY216" s="412"/>
      <c r="AZZ216" s="412"/>
      <c r="BAA216" s="412"/>
      <c r="BAB216" s="412"/>
      <c r="BAC216" s="412"/>
      <c r="BAD216" s="412"/>
      <c r="BAE216" s="412"/>
      <c r="BAF216" s="412"/>
      <c r="BAG216" s="412"/>
      <c r="BAH216" s="412"/>
      <c r="BAI216" s="412"/>
      <c r="BAJ216" s="412"/>
      <c r="BAK216" s="412"/>
      <c r="BAL216" s="412"/>
      <c r="BAM216" s="412"/>
      <c r="BAN216" s="412"/>
      <c r="BAO216" s="412"/>
      <c r="BAP216" s="412"/>
      <c r="BAQ216" s="412"/>
      <c r="BAR216" s="412"/>
      <c r="BAS216" s="412"/>
      <c r="BAT216" s="412"/>
      <c r="BAU216" s="412"/>
      <c r="BAV216" s="412"/>
      <c r="BAW216" s="412"/>
      <c r="BAX216" s="412"/>
      <c r="BAY216" s="412"/>
      <c r="BAZ216" s="412"/>
      <c r="BBA216" s="412"/>
      <c r="BBB216" s="412"/>
      <c r="BBC216" s="412"/>
      <c r="BBD216" s="412"/>
      <c r="BBE216" s="412"/>
      <c r="BBF216" s="412"/>
      <c r="BBG216" s="412"/>
      <c r="BBH216" s="412"/>
      <c r="BBI216" s="412"/>
      <c r="BBJ216" s="412"/>
      <c r="BBK216" s="412"/>
      <c r="BBL216" s="412"/>
      <c r="BBM216" s="412"/>
      <c r="BBN216" s="412"/>
      <c r="BBO216" s="412"/>
      <c r="BBP216" s="412"/>
      <c r="BBQ216" s="412"/>
      <c r="BBR216" s="412"/>
      <c r="BBS216" s="412"/>
      <c r="BBT216" s="412"/>
      <c r="BBU216" s="412"/>
      <c r="BBV216" s="412"/>
      <c r="BBW216" s="412"/>
      <c r="BBX216" s="412"/>
      <c r="BBY216" s="412"/>
      <c r="BBZ216" s="412"/>
      <c r="BCA216" s="412"/>
      <c r="BCB216" s="412"/>
      <c r="BCC216" s="412"/>
      <c r="BCD216" s="412"/>
      <c r="BCE216" s="412"/>
      <c r="BCF216" s="412"/>
      <c r="BCG216" s="412"/>
      <c r="BCH216" s="412"/>
      <c r="BCI216" s="412"/>
      <c r="BCJ216" s="412"/>
      <c r="BCK216" s="412"/>
      <c r="BCL216" s="412"/>
      <c r="BCM216" s="412"/>
      <c r="BCN216" s="412"/>
      <c r="BCO216" s="412"/>
      <c r="BCP216" s="412"/>
      <c r="BCQ216" s="412"/>
      <c r="BCR216" s="412"/>
      <c r="BCS216" s="412"/>
      <c r="BCT216" s="412"/>
      <c r="BCU216" s="412"/>
      <c r="BCV216" s="412"/>
      <c r="BCW216" s="412"/>
      <c r="BCX216" s="412"/>
      <c r="BCY216" s="412"/>
      <c r="BCZ216" s="412"/>
      <c r="BDA216" s="412"/>
      <c r="BDB216" s="412"/>
      <c r="BDC216" s="412"/>
      <c r="BDD216" s="412"/>
      <c r="BDE216" s="412"/>
      <c r="BDF216" s="412"/>
      <c r="BDG216" s="412"/>
      <c r="BDH216" s="412"/>
      <c r="BDI216" s="412"/>
      <c r="BDJ216" s="412"/>
      <c r="BDK216" s="412"/>
      <c r="BDL216" s="412"/>
      <c r="BDM216" s="412"/>
      <c r="BDN216" s="412"/>
      <c r="BDO216" s="412"/>
      <c r="BDP216" s="412"/>
      <c r="BDQ216" s="412"/>
      <c r="BDR216" s="412"/>
      <c r="BDS216" s="412"/>
      <c r="BDT216" s="412"/>
      <c r="BDU216" s="412"/>
      <c r="BDV216" s="412"/>
      <c r="BDW216" s="412"/>
      <c r="BDX216" s="412"/>
      <c r="BDY216" s="412"/>
      <c r="BDZ216" s="412"/>
      <c r="BEA216" s="412"/>
      <c r="BEB216" s="412"/>
      <c r="BEC216" s="412"/>
      <c r="BED216" s="412"/>
      <c r="BEE216" s="412"/>
      <c r="BEF216" s="412"/>
      <c r="BEG216" s="412"/>
      <c r="BEH216" s="412"/>
      <c r="BEI216" s="412"/>
      <c r="BEJ216" s="412"/>
      <c r="BEK216" s="412"/>
      <c r="BEL216" s="412"/>
      <c r="BEM216" s="412"/>
      <c r="BEN216" s="412"/>
      <c r="BEO216" s="412"/>
      <c r="BEP216" s="412"/>
      <c r="BEQ216" s="412"/>
      <c r="BER216" s="412"/>
      <c r="BES216" s="412"/>
      <c r="BET216" s="412"/>
      <c r="BEU216" s="412"/>
      <c r="BEV216" s="412"/>
      <c r="BEW216" s="412"/>
      <c r="BEX216" s="412"/>
      <c r="BEY216" s="412"/>
      <c r="BEZ216" s="412"/>
      <c r="BFA216" s="412"/>
      <c r="BFB216" s="412"/>
      <c r="BFC216" s="412"/>
      <c r="BFD216" s="412"/>
      <c r="BFE216" s="412"/>
      <c r="BFF216" s="412"/>
      <c r="BFG216" s="412"/>
      <c r="BFH216" s="412"/>
      <c r="BFI216" s="412"/>
      <c r="BFJ216" s="412"/>
      <c r="BFK216" s="412"/>
      <c r="BFL216" s="412"/>
      <c r="BFM216" s="412"/>
      <c r="BFN216" s="412"/>
      <c r="BFO216" s="412"/>
      <c r="BFP216" s="412"/>
      <c r="BFQ216" s="412"/>
      <c r="BFR216" s="412"/>
      <c r="BFS216" s="412"/>
      <c r="BFT216" s="412"/>
      <c r="BFU216" s="412"/>
      <c r="BFV216" s="412"/>
      <c r="BFW216" s="412"/>
      <c r="BFX216" s="412"/>
      <c r="BFY216" s="412"/>
      <c r="BFZ216" s="412"/>
      <c r="BGA216" s="412"/>
      <c r="BGB216" s="412"/>
      <c r="BGC216" s="412"/>
      <c r="BGD216" s="412"/>
      <c r="BGE216" s="412"/>
      <c r="BGF216" s="412"/>
      <c r="BGG216" s="412"/>
      <c r="BGH216" s="412"/>
      <c r="BGI216" s="412"/>
      <c r="BGJ216" s="412"/>
      <c r="BGK216" s="412"/>
      <c r="BGL216" s="412"/>
      <c r="BGM216" s="412"/>
      <c r="BGN216" s="412"/>
      <c r="BGO216" s="412"/>
      <c r="BGP216" s="412"/>
      <c r="BGQ216" s="412"/>
      <c r="BGR216" s="412"/>
      <c r="BGS216" s="412"/>
      <c r="BGT216" s="412"/>
      <c r="BGU216" s="412"/>
      <c r="BGV216" s="412"/>
      <c r="BGW216" s="412"/>
      <c r="BGX216" s="412"/>
      <c r="BGY216" s="412"/>
      <c r="BGZ216" s="412"/>
      <c r="BHA216" s="412"/>
      <c r="BHB216" s="412"/>
      <c r="BHC216" s="412"/>
      <c r="BHD216" s="412"/>
      <c r="BHE216" s="412"/>
      <c r="BHF216" s="412"/>
      <c r="BHG216" s="412"/>
      <c r="BHH216" s="412"/>
      <c r="BHI216" s="412"/>
      <c r="BHJ216" s="412"/>
      <c r="BHK216" s="412"/>
      <c r="BHL216" s="412"/>
      <c r="BHM216" s="412"/>
      <c r="BHN216" s="412"/>
      <c r="BHO216" s="412"/>
      <c r="BHP216" s="412"/>
      <c r="BHQ216" s="412"/>
      <c r="BHR216" s="412"/>
      <c r="BHS216" s="412"/>
      <c r="BHT216" s="412"/>
      <c r="BHU216" s="412"/>
      <c r="BHV216" s="412"/>
      <c r="BHW216" s="412"/>
      <c r="BHX216" s="412"/>
      <c r="BHY216" s="412"/>
      <c r="BHZ216" s="412"/>
      <c r="BIA216" s="412"/>
      <c r="BIB216" s="412"/>
      <c r="BIC216" s="412"/>
      <c r="BID216" s="412"/>
      <c r="BIE216" s="412"/>
      <c r="BIF216" s="412"/>
      <c r="BIG216" s="412"/>
      <c r="BIH216" s="412"/>
      <c r="BII216" s="412"/>
      <c r="BIJ216" s="412"/>
      <c r="BIK216" s="412"/>
      <c r="BIL216" s="412"/>
      <c r="BIM216" s="412"/>
      <c r="BIN216" s="412"/>
      <c r="BIO216" s="412"/>
      <c r="BIP216" s="412"/>
      <c r="BIQ216" s="412"/>
      <c r="BIR216" s="412"/>
      <c r="BIS216" s="412"/>
      <c r="BIT216" s="412"/>
      <c r="BIU216" s="412"/>
      <c r="BIV216" s="412"/>
      <c r="BIW216" s="412"/>
      <c r="BIX216" s="412"/>
      <c r="BIY216" s="412"/>
      <c r="BIZ216" s="412"/>
      <c r="BJA216" s="412"/>
      <c r="BJB216" s="412"/>
      <c r="BJC216" s="412"/>
      <c r="BJD216" s="412"/>
      <c r="BJE216" s="412"/>
      <c r="BJF216" s="412"/>
      <c r="BJG216" s="412"/>
      <c r="BJH216" s="412"/>
      <c r="BJI216" s="412"/>
      <c r="BJJ216" s="412"/>
      <c r="BJK216" s="412"/>
      <c r="BJL216" s="412"/>
      <c r="BJM216" s="412"/>
      <c r="BJN216" s="412"/>
      <c r="BJO216" s="412"/>
      <c r="BJP216" s="412"/>
      <c r="BJQ216" s="412"/>
      <c r="BJR216" s="412"/>
      <c r="BJS216" s="412"/>
      <c r="BJT216" s="412"/>
      <c r="BJU216" s="412"/>
      <c r="BJV216" s="412"/>
      <c r="BJW216" s="412"/>
      <c r="BJX216" s="412"/>
      <c r="BJY216" s="412"/>
      <c r="BJZ216" s="412"/>
      <c r="BKA216" s="412"/>
      <c r="BKB216" s="412"/>
      <c r="BKC216" s="412"/>
      <c r="BKD216" s="412"/>
      <c r="BKE216" s="412"/>
      <c r="BKF216" s="412"/>
      <c r="BKG216" s="412"/>
      <c r="BKH216" s="412"/>
      <c r="BKI216" s="412"/>
      <c r="BKJ216" s="412"/>
      <c r="BKK216" s="412"/>
      <c r="BKL216" s="412"/>
      <c r="BKM216" s="412"/>
      <c r="BKN216" s="412"/>
      <c r="BKO216" s="412"/>
      <c r="BKP216" s="412"/>
      <c r="BKQ216" s="412"/>
      <c r="BKR216" s="412"/>
      <c r="BKS216" s="412"/>
      <c r="BKT216" s="412"/>
      <c r="BKU216" s="412"/>
      <c r="BKV216" s="412"/>
      <c r="BKW216" s="412"/>
      <c r="BKX216" s="412"/>
      <c r="BKY216" s="412"/>
      <c r="BKZ216" s="412"/>
      <c r="BLA216" s="412"/>
      <c r="BLB216" s="412"/>
      <c r="BLC216" s="412"/>
      <c r="BLD216" s="412"/>
      <c r="BLE216" s="412"/>
      <c r="BLF216" s="412"/>
      <c r="BLG216" s="412"/>
      <c r="BLH216" s="412"/>
      <c r="BLI216" s="412"/>
      <c r="BLJ216" s="412"/>
      <c r="BLK216" s="412"/>
      <c r="BLL216" s="412"/>
      <c r="BLM216" s="412"/>
      <c r="BLN216" s="412"/>
      <c r="BLO216" s="412"/>
      <c r="BLP216" s="412"/>
      <c r="BLQ216" s="412"/>
      <c r="BLR216" s="412"/>
      <c r="BLS216" s="412"/>
      <c r="BLT216" s="412"/>
      <c r="BLU216" s="412"/>
      <c r="BLV216" s="412"/>
      <c r="BLW216" s="412"/>
      <c r="BLX216" s="412"/>
      <c r="BLY216" s="412"/>
      <c r="BLZ216" s="412"/>
      <c r="BMA216" s="412"/>
      <c r="BMB216" s="412"/>
      <c r="BMC216" s="412"/>
      <c r="BMD216" s="412"/>
      <c r="BME216" s="412"/>
      <c r="BMF216" s="412"/>
      <c r="BMG216" s="412"/>
      <c r="BMH216" s="412"/>
      <c r="BMI216" s="412"/>
      <c r="BMJ216" s="412"/>
      <c r="BMK216" s="412"/>
      <c r="BML216" s="412"/>
      <c r="BMM216" s="412"/>
      <c r="BMN216" s="412"/>
      <c r="BMO216" s="412"/>
      <c r="BMP216" s="412"/>
      <c r="BMQ216" s="412"/>
      <c r="BMR216" s="412"/>
      <c r="BMS216" s="412"/>
      <c r="BMT216" s="412"/>
      <c r="BMU216" s="412"/>
      <c r="BMV216" s="412"/>
      <c r="BMW216" s="412"/>
      <c r="BMX216" s="412"/>
      <c r="BMY216" s="412"/>
      <c r="BMZ216" s="412"/>
      <c r="BNA216" s="412"/>
      <c r="BNB216" s="412"/>
      <c r="BNC216" s="412"/>
      <c r="BND216" s="412"/>
      <c r="BNE216" s="412"/>
      <c r="BNF216" s="412"/>
      <c r="BNG216" s="412"/>
      <c r="BNH216" s="412"/>
      <c r="BNI216" s="412"/>
      <c r="BNJ216" s="412"/>
      <c r="BNK216" s="412"/>
      <c r="BNL216" s="412"/>
      <c r="BNM216" s="412"/>
      <c r="BNN216" s="412"/>
      <c r="BNO216" s="412"/>
      <c r="BNP216" s="412"/>
      <c r="BNQ216" s="412"/>
      <c r="BNR216" s="412"/>
      <c r="BNS216" s="412"/>
      <c r="BNT216" s="412"/>
      <c r="BNU216" s="412"/>
      <c r="BNV216" s="412"/>
      <c r="BNW216" s="412"/>
      <c r="BNX216" s="412"/>
      <c r="BNY216" s="412"/>
      <c r="BNZ216" s="412"/>
      <c r="BOA216" s="412"/>
      <c r="BOB216" s="412"/>
      <c r="BOC216" s="412"/>
      <c r="BOD216" s="412"/>
      <c r="BOE216" s="412"/>
      <c r="BOF216" s="412"/>
      <c r="BOG216" s="412"/>
      <c r="BOH216" s="412"/>
      <c r="BOI216" s="412"/>
      <c r="BOJ216" s="412"/>
      <c r="BOK216" s="412"/>
      <c r="BOL216" s="412"/>
      <c r="BOM216" s="412"/>
      <c r="BON216" s="412"/>
      <c r="BOO216" s="412"/>
      <c r="BOP216" s="412"/>
      <c r="BOQ216" s="412"/>
      <c r="BOR216" s="412"/>
      <c r="BOS216" s="412"/>
      <c r="BOT216" s="412"/>
      <c r="BOU216" s="412"/>
      <c r="BOV216" s="412"/>
      <c r="BOW216" s="412"/>
      <c r="BOX216" s="412"/>
      <c r="BOY216" s="412"/>
      <c r="BOZ216" s="412"/>
      <c r="BPA216" s="412"/>
      <c r="BPB216" s="412"/>
      <c r="BPC216" s="412"/>
      <c r="BPD216" s="412"/>
      <c r="BPE216" s="412"/>
      <c r="BPF216" s="412"/>
      <c r="BPG216" s="412"/>
      <c r="BPH216" s="412"/>
      <c r="BPI216" s="412"/>
      <c r="BPJ216" s="412"/>
      <c r="BPK216" s="412"/>
      <c r="BPL216" s="412"/>
      <c r="BPM216" s="412"/>
      <c r="BPN216" s="412"/>
      <c r="BPO216" s="412"/>
      <c r="BPP216" s="412"/>
      <c r="BPQ216" s="412"/>
      <c r="BPR216" s="412"/>
      <c r="BPS216" s="412"/>
      <c r="BPT216" s="412"/>
      <c r="BPU216" s="412"/>
      <c r="BPV216" s="412"/>
      <c r="BPW216" s="412"/>
      <c r="BPX216" s="412"/>
      <c r="BPY216" s="412"/>
      <c r="BPZ216" s="412"/>
      <c r="BQA216" s="412"/>
      <c r="BQB216" s="412"/>
      <c r="BQC216" s="412"/>
      <c r="BQD216" s="412"/>
      <c r="BQE216" s="412"/>
      <c r="BQF216" s="412"/>
      <c r="BQG216" s="412"/>
      <c r="BQH216" s="412"/>
      <c r="BQI216" s="412"/>
      <c r="BQJ216" s="412"/>
      <c r="BQK216" s="412"/>
      <c r="BQL216" s="412"/>
      <c r="BQM216" s="412"/>
      <c r="BQN216" s="412"/>
      <c r="BQO216" s="412"/>
      <c r="BQP216" s="412"/>
      <c r="BQQ216" s="412"/>
      <c r="BQR216" s="412"/>
      <c r="BQS216" s="412"/>
      <c r="BQT216" s="412"/>
      <c r="BQU216" s="412"/>
      <c r="BQV216" s="412"/>
      <c r="BQW216" s="412"/>
      <c r="BQX216" s="412"/>
      <c r="BQY216" s="412"/>
      <c r="BQZ216" s="412"/>
      <c r="BRA216" s="412"/>
      <c r="BRB216" s="412"/>
      <c r="BRC216" s="412"/>
      <c r="BRD216" s="412"/>
      <c r="BRE216" s="412"/>
      <c r="BRF216" s="412"/>
      <c r="BRG216" s="412"/>
      <c r="BRH216" s="412"/>
      <c r="BRI216" s="412"/>
      <c r="BRJ216" s="412"/>
      <c r="BRK216" s="412"/>
      <c r="BRL216" s="412"/>
      <c r="BRM216" s="412"/>
      <c r="BRN216" s="412"/>
      <c r="BRO216" s="412"/>
      <c r="BRP216" s="412"/>
      <c r="BRQ216" s="412"/>
      <c r="BRR216" s="412"/>
      <c r="BRS216" s="412"/>
      <c r="BRT216" s="412"/>
      <c r="BRU216" s="412"/>
      <c r="BRV216" s="412"/>
      <c r="BRW216" s="412"/>
      <c r="BRX216" s="412"/>
      <c r="BRY216" s="412"/>
      <c r="BRZ216" s="412"/>
      <c r="BSA216" s="412"/>
      <c r="BSB216" s="412"/>
      <c r="BSC216" s="412"/>
      <c r="BSD216" s="412"/>
      <c r="BSE216" s="412"/>
      <c r="BSF216" s="412"/>
      <c r="BSG216" s="412"/>
      <c r="BSH216" s="412"/>
      <c r="BSI216" s="412"/>
      <c r="BSJ216" s="412"/>
      <c r="BSK216" s="412"/>
      <c r="BSL216" s="412"/>
      <c r="BSM216" s="412"/>
      <c r="BSN216" s="412"/>
      <c r="BSO216" s="412"/>
      <c r="BSP216" s="412"/>
      <c r="BSQ216" s="412"/>
      <c r="BSR216" s="412"/>
      <c r="BSS216" s="412"/>
      <c r="BST216" s="412"/>
      <c r="BSU216" s="412"/>
      <c r="BSV216" s="412"/>
      <c r="BSW216" s="412"/>
      <c r="BSX216" s="412"/>
      <c r="BSY216" s="412"/>
      <c r="BSZ216" s="412"/>
      <c r="BTA216" s="412"/>
      <c r="BTB216" s="412"/>
      <c r="BTC216" s="412"/>
      <c r="BTD216" s="412"/>
      <c r="BTE216" s="412"/>
      <c r="BTF216" s="412"/>
      <c r="BTG216" s="412"/>
      <c r="BTH216" s="412"/>
      <c r="BTI216" s="412"/>
    </row>
    <row r="217" spans="1:1881" ht="65.25" customHeight="1" x14ac:dyDescent="0.25">
      <c r="A217" s="473">
        <v>660</v>
      </c>
      <c r="B217" s="469" t="s">
        <v>66</v>
      </c>
      <c r="C217" s="469" t="s">
        <v>800</v>
      </c>
      <c r="D217" s="896" t="s">
        <v>994</v>
      </c>
      <c r="E217" s="472" t="s">
        <v>837</v>
      </c>
      <c r="F217" s="647"/>
      <c r="G217" s="582" t="str">
        <f>IF(ISBLANK(F217),"Please do not leave blank","")</f>
        <v>Please do not leave blank</v>
      </c>
      <c r="H217" s="366">
        <f>IF(F214&lt;0,"Note: Number is normally positive.",)</f>
        <v>0</v>
      </c>
      <c r="I217" s="67"/>
    </row>
    <row r="218" spans="1:1881" ht="94.5" customHeight="1" x14ac:dyDescent="0.25">
      <c r="A218" s="473">
        <v>661</v>
      </c>
      <c r="B218" s="469" t="s">
        <v>66</v>
      </c>
      <c r="C218" s="469" t="s">
        <v>804</v>
      </c>
      <c r="D218" s="897" t="s">
        <v>995</v>
      </c>
      <c r="E218" s="472" t="s">
        <v>837</v>
      </c>
      <c r="F218" s="694"/>
      <c r="G218" s="582" t="str">
        <f>IF(ISBLANK(F218),"Please do not leave blank ",IF(F218=H218,"","Please review percentage"))</f>
        <v xml:space="preserve">Please do not leave blank </v>
      </c>
      <c r="H218" s="363">
        <f>ROUND(IFERROR((F217/F216)*100,0),1)</f>
        <v>0</v>
      </c>
      <c r="I218" s="363"/>
    </row>
    <row r="219" spans="1:1881" ht="68.25" customHeight="1" x14ac:dyDescent="0.25">
      <c r="A219" s="190"/>
      <c r="B219" s="151"/>
      <c r="C219" s="151"/>
      <c r="D219" s="152" t="s">
        <v>28</v>
      </c>
      <c r="E219" s="48"/>
      <c r="F219" s="599"/>
      <c r="G219" s="582"/>
      <c r="H219" s="363"/>
      <c r="I219" s="353"/>
    </row>
    <row r="220" spans="1:1881" ht="32.25" customHeight="1" x14ac:dyDescent="0.25">
      <c r="A220" s="190"/>
      <c r="B220" s="162" t="s">
        <v>29</v>
      </c>
      <c r="C220" s="161"/>
      <c r="D220" s="155"/>
      <c r="E220" s="149"/>
      <c r="F220" s="762"/>
      <c r="G220" s="571"/>
      <c r="H220" s="13"/>
      <c r="I220" s="31"/>
    </row>
    <row r="221" spans="1:1881" ht="63.75" customHeight="1" x14ac:dyDescent="0.25">
      <c r="A221" s="191">
        <v>371</v>
      </c>
      <c r="B221" s="64" t="s">
        <v>63</v>
      </c>
      <c r="C221" s="160" t="s">
        <v>219</v>
      </c>
      <c r="D221" s="166" t="s">
        <v>217</v>
      </c>
      <c r="E221" s="32" t="e">
        <f>HLOOKUP($D$2,'2019 Data(H)'!$C$1:$CG$300,132,FALSE)</f>
        <v>#N/A</v>
      </c>
      <c r="F221" s="647"/>
      <c r="G221" s="601">
        <f>IF(F221&lt;0,"Error: Enter as positive.",)</f>
        <v>0</v>
      </c>
      <c r="H221" s="13"/>
      <c r="I221" s="31"/>
    </row>
    <row r="222" spans="1:1881" ht="70.5" customHeight="1" x14ac:dyDescent="0.25">
      <c r="A222" s="189">
        <v>513</v>
      </c>
      <c r="B222" s="65" t="s">
        <v>65</v>
      </c>
      <c r="C222" s="160" t="s">
        <v>219</v>
      </c>
      <c r="D222" s="166" t="s">
        <v>218</v>
      </c>
      <c r="E222" s="32" t="e">
        <f>HLOOKUP($D$2,'2019 Data(H)'!$C$1:$CG$300,163,FALSE)</f>
        <v>#N/A</v>
      </c>
      <c r="F222" s="694"/>
      <c r="G222" s="601">
        <f>IF(F222&lt;0,"Error: Enter as positive.",)</f>
        <v>0</v>
      </c>
      <c r="H222" s="17"/>
      <c r="I222" s="298"/>
    </row>
    <row r="223" spans="1:1881" ht="80.25" customHeight="1" x14ac:dyDescent="0.25">
      <c r="A223" s="189">
        <v>514</v>
      </c>
      <c r="B223" s="65" t="s">
        <v>65</v>
      </c>
      <c r="C223" s="160" t="s">
        <v>219</v>
      </c>
      <c r="D223" s="166" t="s">
        <v>631</v>
      </c>
      <c r="E223" s="32" t="e">
        <f>HLOOKUP($D$2,'2019 Data(H)'!$C$1:$CG$300,164,FALSE)</f>
        <v>#N/A</v>
      </c>
      <c r="F223" s="647"/>
      <c r="G223" s="601">
        <f>IF(F223&lt;0,"Error: Enter as positive.",)</f>
        <v>0</v>
      </c>
      <c r="H223" s="13"/>
      <c r="I223" s="298"/>
    </row>
    <row r="224" spans="1:1881" ht="32.25" customHeight="1" x14ac:dyDescent="0.25">
      <c r="A224" s="189"/>
      <c r="B224" s="162" t="s">
        <v>30</v>
      </c>
      <c r="C224" s="161"/>
      <c r="D224" s="155"/>
      <c r="E224" s="149"/>
      <c r="F224" s="763"/>
      <c r="G224" s="571"/>
      <c r="H224" s="13"/>
      <c r="I224" s="31"/>
    </row>
    <row r="225" spans="1:1881" ht="68.25" customHeight="1" x14ac:dyDescent="0.25">
      <c r="A225" s="189">
        <v>6</v>
      </c>
      <c r="B225" s="64" t="s">
        <v>62</v>
      </c>
      <c r="C225" s="160" t="s">
        <v>221</v>
      </c>
      <c r="D225" s="166" t="s">
        <v>220</v>
      </c>
      <c r="E225" s="32" t="e">
        <f>HLOOKUP($D$2,'2019 Data(H)'!$C$1:$CG$300,5,FALSE)</f>
        <v>#N/A</v>
      </c>
      <c r="F225" s="694"/>
      <c r="G225" s="601">
        <f>IF(F225&lt;0,"Error: Enter as positive.",)</f>
        <v>0</v>
      </c>
      <c r="H225" s="13"/>
      <c r="I225" s="31"/>
      <c r="J225" s="368"/>
    </row>
    <row r="226" spans="1:1881" s="320" customFormat="1" ht="33" customHeight="1" x14ac:dyDescent="0.25">
      <c r="A226" s="189"/>
      <c r="B226" s="162" t="s">
        <v>239</v>
      </c>
      <c r="C226" s="161"/>
      <c r="D226" s="155"/>
      <c r="E226" s="153"/>
      <c r="F226" s="764"/>
      <c r="G226" s="154"/>
      <c r="H226" s="17"/>
      <c r="I226" s="298"/>
      <c r="J226" s="368"/>
      <c r="K226" s="412"/>
      <c r="L226" s="412"/>
      <c r="M226" s="412"/>
      <c r="N226"/>
      <c r="O226" s="412"/>
      <c r="P226" s="412"/>
      <c r="Q226" s="412"/>
      <c r="R226" s="412"/>
      <c r="S226" s="412"/>
      <c r="T226" s="412"/>
      <c r="U226" s="412"/>
      <c r="V226" s="412"/>
      <c r="W226" s="412"/>
      <c r="X226" s="412"/>
      <c r="Y226" s="412"/>
      <c r="Z226" s="412"/>
      <c r="AA226" s="412"/>
      <c r="AB226" s="412"/>
      <c r="AC226" s="412"/>
      <c r="AD226" s="412"/>
      <c r="AE226" s="412"/>
      <c r="AF226" s="412"/>
      <c r="AG226" s="412"/>
      <c r="AH226" s="412"/>
      <c r="AI226" s="412"/>
      <c r="AJ226" s="412"/>
      <c r="AK226" s="412"/>
      <c r="AL226" s="412"/>
      <c r="AM226" s="412"/>
      <c r="AN226" s="412"/>
      <c r="AO226" s="412"/>
      <c r="AP226" s="412"/>
      <c r="AQ226" s="412"/>
      <c r="AR226" s="412"/>
      <c r="AS226" s="412"/>
      <c r="AT226" s="412"/>
      <c r="AU226" s="412"/>
      <c r="AV226" s="412"/>
      <c r="AW226" s="412"/>
      <c r="AX226" s="412"/>
      <c r="AY226" s="412"/>
      <c r="AZ226" s="412"/>
      <c r="BA226" s="412"/>
      <c r="BB226" s="412"/>
      <c r="BC226" s="412"/>
      <c r="BD226" s="412"/>
      <c r="BE226" s="412"/>
      <c r="BF226" s="412"/>
      <c r="BG226" s="412"/>
      <c r="BH226" s="412"/>
      <c r="BI226" s="412"/>
      <c r="BJ226" s="412"/>
      <c r="BK226" s="412"/>
      <c r="BL226" s="412"/>
      <c r="BM226" s="412"/>
      <c r="BN226" s="412"/>
      <c r="BO226" s="412"/>
      <c r="BP226" s="412"/>
      <c r="BQ226" s="412"/>
      <c r="BR226" s="412"/>
      <c r="BS226" s="412"/>
      <c r="BT226" s="412"/>
      <c r="BU226" s="412"/>
      <c r="BV226" s="412"/>
      <c r="BW226" s="412"/>
      <c r="BX226" s="412"/>
      <c r="BY226" s="412"/>
      <c r="BZ226" s="412"/>
      <c r="CA226" s="412"/>
      <c r="CB226" s="412"/>
      <c r="CC226" s="412"/>
      <c r="CD226" s="412"/>
      <c r="CE226" s="412"/>
      <c r="CF226" s="412"/>
      <c r="CG226" s="412"/>
      <c r="CH226" s="412"/>
      <c r="CI226" s="412"/>
      <c r="CJ226" s="412"/>
      <c r="CK226" s="412"/>
      <c r="CL226" s="412"/>
      <c r="CM226" s="412"/>
      <c r="CN226" s="412"/>
      <c r="CO226" s="412"/>
      <c r="CP226" s="412"/>
      <c r="CQ226" s="412"/>
      <c r="CR226" s="412"/>
      <c r="CS226" s="412"/>
      <c r="CT226" s="412"/>
      <c r="CU226" s="412"/>
      <c r="CV226" s="412"/>
      <c r="CW226" s="412"/>
      <c r="CX226" s="412"/>
      <c r="CY226" s="412"/>
      <c r="CZ226" s="412"/>
      <c r="DA226" s="412"/>
      <c r="DB226" s="412"/>
      <c r="DC226" s="412"/>
      <c r="DD226" s="412"/>
      <c r="DE226" s="412"/>
      <c r="DF226" s="412"/>
      <c r="DG226" s="412"/>
      <c r="DH226" s="412"/>
      <c r="DI226" s="412"/>
      <c r="DJ226" s="412"/>
      <c r="DK226" s="412"/>
      <c r="DL226" s="412"/>
      <c r="DM226" s="412"/>
      <c r="DN226" s="412"/>
      <c r="DO226" s="412"/>
      <c r="DP226" s="412"/>
      <c r="DQ226" s="412"/>
      <c r="DR226" s="412"/>
      <c r="DS226" s="412"/>
      <c r="DT226" s="412"/>
      <c r="DU226" s="412"/>
      <c r="DV226" s="412"/>
      <c r="DW226" s="412"/>
      <c r="DX226" s="412"/>
      <c r="DY226" s="412"/>
      <c r="DZ226" s="412"/>
      <c r="EA226" s="412"/>
      <c r="EB226" s="412"/>
      <c r="EC226" s="412"/>
      <c r="ED226" s="412"/>
      <c r="EE226" s="412"/>
      <c r="EF226" s="412"/>
      <c r="EG226" s="412"/>
      <c r="EH226" s="412"/>
      <c r="EI226" s="412"/>
      <c r="EJ226" s="412"/>
      <c r="EK226" s="412"/>
      <c r="EL226" s="412"/>
      <c r="EM226" s="412"/>
      <c r="EN226" s="412"/>
      <c r="EO226" s="412"/>
      <c r="EP226" s="412"/>
      <c r="EQ226" s="412"/>
      <c r="ER226" s="412"/>
      <c r="ES226" s="412"/>
      <c r="ET226" s="412"/>
      <c r="EU226" s="412"/>
      <c r="EV226" s="412"/>
      <c r="EW226" s="412"/>
      <c r="EX226" s="412"/>
      <c r="EY226" s="412"/>
      <c r="EZ226" s="412"/>
      <c r="FA226" s="412"/>
      <c r="FB226" s="412"/>
      <c r="FC226" s="412"/>
      <c r="FD226" s="412"/>
      <c r="FE226" s="412"/>
      <c r="FF226" s="412"/>
      <c r="FG226" s="412"/>
      <c r="FH226" s="412"/>
      <c r="FI226" s="412"/>
      <c r="FJ226" s="412"/>
      <c r="FK226" s="412"/>
      <c r="FL226" s="412"/>
      <c r="FM226" s="412"/>
      <c r="FN226" s="412"/>
      <c r="FO226" s="412"/>
      <c r="FP226" s="412"/>
      <c r="FQ226" s="412"/>
      <c r="FR226" s="412"/>
      <c r="FS226" s="412"/>
      <c r="FT226" s="412"/>
      <c r="FU226" s="412"/>
      <c r="FV226" s="412"/>
      <c r="FW226" s="412"/>
      <c r="FX226" s="412"/>
      <c r="FY226" s="412"/>
      <c r="FZ226" s="412"/>
      <c r="GA226" s="412"/>
      <c r="GB226" s="412"/>
      <c r="GC226" s="412"/>
      <c r="GD226" s="412"/>
      <c r="GE226" s="412"/>
      <c r="GF226" s="412"/>
      <c r="GG226" s="412"/>
      <c r="GH226" s="412"/>
      <c r="GI226" s="412"/>
      <c r="GJ226" s="412"/>
      <c r="GK226" s="412"/>
      <c r="GL226" s="412"/>
      <c r="GM226" s="412"/>
      <c r="GN226" s="412"/>
      <c r="GO226" s="412"/>
      <c r="GP226" s="412"/>
      <c r="GQ226" s="412"/>
      <c r="GR226" s="412"/>
      <c r="GS226" s="412"/>
      <c r="GT226" s="412"/>
      <c r="GU226" s="412"/>
      <c r="GV226" s="412"/>
      <c r="GW226" s="412"/>
      <c r="GX226" s="412"/>
      <c r="GY226" s="412"/>
      <c r="GZ226" s="412"/>
      <c r="HA226" s="412"/>
      <c r="HB226" s="412"/>
      <c r="HC226" s="412"/>
      <c r="HD226" s="412"/>
      <c r="HE226" s="412"/>
      <c r="HF226" s="412"/>
      <c r="HG226" s="412"/>
      <c r="HH226" s="412"/>
      <c r="HI226" s="412"/>
      <c r="HJ226" s="412"/>
      <c r="HK226" s="412"/>
      <c r="HL226" s="412"/>
      <c r="HM226" s="412"/>
      <c r="HN226" s="412"/>
      <c r="HO226" s="412"/>
      <c r="HP226" s="412"/>
      <c r="HQ226" s="412"/>
      <c r="HR226" s="412"/>
      <c r="HS226" s="412"/>
      <c r="HT226" s="412"/>
      <c r="HU226" s="412"/>
      <c r="HV226" s="412"/>
      <c r="HW226" s="412"/>
      <c r="HX226" s="412"/>
      <c r="HY226" s="412"/>
      <c r="HZ226" s="412"/>
      <c r="IA226" s="412"/>
      <c r="IB226" s="412"/>
      <c r="IC226" s="412"/>
      <c r="ID226" s="412"/>
      <c r="IE226" s="412"/>
      <c r="IF226" s="412"/>
      <c r="IG226" s="412"/>
      <c r="IH226" s="412"/>
      <c r="II226" s="412"/>
      <c r="IJ226" s="412"/>
      <c r="IK226" s="412"/>
      <c r="IL226" s="412"/>
      <c r="IM226" s="412"/>
      <c r="IN226" s="412"/>
      <c r="IO226" s="412"/>
      <c r="IP226" s="412"/>
      <c r="IQ226" s="412"/>
      <c r="IR226" s="412"/>
      <c r="IS226" s="412"/>
      <c r="IT226" s="412"/>
      <c r="IU226" s="412"/>
      <c r="IV226" s="412"/>
      <c r="IW226" s="412"/>
      <c r="IX226" s="412"/>
      <c r="IY226" s="412"/>
      <c r="IZ226" s="412"/>
      <c r="JA226" s="412"/>
      <c r="JB226" s="412"/>
      <c r="JC226" s="412"/>
      <c r="JD226" s="412"/>
      <c r="JE226" s="412"/>
      <c r="JF226" s="412"/>
      <c r="JG226" s="412"/>
      <c r="JH226" s="412"/>
      <c r="JI226" s="412"/>
      <c r="JJ226" s="412"/>
      <c r="JK226" s="412"/>
      <c r="JL226" s="412"/>
      <c r="JM226" s="412"/>
      <c r="JN226" s="412"/>
      <c r="JO226" s="412"/>
      <c r="JP226" s="412"/>
      <c r="JQ226" s="412"/>
      <c r="JR226" s="412"/>
      <c r="JS226" s="412"/>
      <c r="JT226" s="412"/>
      <c r="JU226" s="412"/>
      <c r="JV226" s="412"/>
      <c r="JW226" s="412"/>
      <c r="JX226" s="412"/>
      <c r="JY226" s="412"/>
      <c r="JZ226" s="412"/>
      <c r="KA226" s="412"/>
      <c r="KB226" s="412"/>
      <c r="KC226" s="412"/>
      <c r="KD226" s="412"/>
      <c r="KE226" s="412"/>
      <c r="KF226" s="412"/>
      <c r="KG226" s="412"/>
      <c r="KH226" s="412"/>
      <c r="KI226" s="412"/>
      <c r="KJ226" s="412"/>
      <c r="KK226" s="412"/>
      <c r="KL226" s="412"/>
      <c r="KM226" s="412"/>
      <c r="KN226" s="412"/>
      <c r="KO226" s="412"/>
      <c r="KP226" s="412"/>
      <c r="KQ226" s="412"/>
      <c r="KR226" s="412"/>
      <c r="KS226" s="412"/>
      <c r="KT226" s="412"/>
      <c r="KU226" s="412"/>
      <c r="KV226" s="412"/>
      <c r="KW226" s="412"/>
      <c r="KX226" s="412"/>
      <c r="KY226" s="412"/>
      <c r="KZ226" s="412"/>
      <c r="LA226" s="412"/>
      <c r="LB226" s="412"/>
      <c r="LC226" s="412"/>
      <c r="LD226" s="412"/>
      <c r="LE226" s="412"/>
      <c r="LF226" s="412"/>
      <c r="LG226" s="412"/>
      <c r="LH226" s="412"/>
      <c r="LI226" s="412"/>
      <c r="LJ226" s="412"/>
      <c r="LK226" s="412"/>
      <c r="LL226" s="412"/>
      <c r="LM226" s="412"/>
      <c r="LN226" s="412"/>
      <c r="LO226" s="412"/>
      <c r="LP226" s="412"/>
      <c r="LQ226" s="412"/>
      <c r="LR226" s="412"/>
      <c r="LS226" s="412"/>
      <c r="LT226" s="412"/>
      <c r="LU226" s="412"/>
      <c r="LV226" s="412"/>
      <c r="LW226" s="412"/>
      <c r="LX226" s="412"/>
      <c r="LY226" s="412"/>
      <c r="LZ226" s="412"/>
      <c r="MA226" s="412"/>
      <c r="MB226" s="412"/>
      <c r="MC226" s="412"/>
      <c r="MD226" s="412"/>
      <c r="ME226" s="412"/>
      <c r="MF226" s="412"/>
      <c r="MG226" s="412"/>
      <c r="MH226" s="412"/>
      <c r="MI226" s="412"/>
      <c r="MJ226" s="412"/>
      <c r="MK226" s="412"/>
      <c r="ML226" s="412"/>
      <c r="MM226" s="412"/>
      <c r="MN226" s="412"/>
      <c r="MO226" s="412"/>
      <c r="MP226" s="412"/>
      <c r="MQ226" s="412"/>
      <c r="MR226" s="412"/>
      <c r="MS226" s="412"/>
      <c r="MT226" s="412"/>
      <c r="MU226" s="412"/>
      <c r="MV226" s="412"/>
      <c r="MW226" s="412"/>
      <c r="MX226" s="412"/>
      <c r="MY226" s="412"/>
      <c r="MZ226" s="412"/>
      <c r="NA226" s="412"/>
      <c r="NB226" s="412"/>
      <c r="NC226" s="412"/>
      <c r="ND226" s="412"/>
      <c r="NE226" s="412"/>
      <c r="NF226" s="412"/>
      <c r="NG226" s="412"/>
      <c r="NH226" s="412"/>
      <c r="NI226" s="412"/>
      <c r="NJ226" s="412"/>
      <c r="NK226" s="412"/>
      <c r="NL226" s="412"/>
      <c r="NM226" s="412"/>
      <c r="NN226" s="412"/>
      <c r="NO226" s="412"/>
      <c r="NP226" s="412"/>
      <c r="NQ226" s="412"/>
      <c r="NR226" s="412"/>
      <c r="NS226" s="412"/>
      <c r="NT226" s="412"/>
      <c r="NU226" s="412"/>
      <c r="NV226" s="412"/>
      <c r="NW226" s="412"/>
      <c r="NX226" s="412"/>
      <c r="NY226" s="412"/>
      <c r="NZ226" s="412"/>
      <c r="OA226" s="412"/>
      <c r="OB226" s="412"/>
      <c r="OC226" s="412"/>
      <c r="OD226" s="412"/>
      <c r="OE226" s="412"/>
      <c r="OF226" s="412"/>
      <c r="OG226" s="412"/>
      <c r="OH226" s="412"/>
      <c r="OI226" s="412"/>
      <c r="OJ226" s="412"/>
      <c r="OK226" s="412"/>
      <c r="OL226" s="412"/>
      <c r="OM226" s="412"/>
      <c r="ON226" s="412"/>
      <c r="OO226" s="412"/>
      <c r="OP226" s="412"/>
      <c r="OQ226" s="412"/>
      <c r="OR226" s="412"/>
      <c r="OS226" s="412"/>
      <c r="OT226" s="412"/>
      <c r="OU226" s="412"/>
      <c r="OV226" s="412"/>
      <c r="OW226" s="412"/>
      <c r="OX226" s="412"/>
      <c r="OY226" s="412"/>
      <c r="OZ226" s="412"/>
      <c r="PA226" s="412"/>
      <c r="PB226" s="412"/>
      <c r="PC226" s="412"/>
      <c r="PD226" s="412"/>
      <c r="PE226" s="412"/>
      <c r="PF226" s="412"/>
      <c r="PG226" s="412"/>
      <c r="PH226" s="412"/>
      <c r="PI226" s="412"/>
      <c r="PJ226" s="412"/>
      <c r="PK226" s="412"/>
      <c r="PL226" s="412"/>
      <c r="PM226" s="412"/>
      <c r="PN226" s="412"/>
      <c r="PO226" s="412"/>
      <c r="PP226" s="412"/>
      <c r="PQ226" s="412"/>
      <c r="PR226" s="412"/>
      <c r="PS226" s="412"/>
      <c r="PT226" s="412"/>
      <c r="PU226" s="412"/>
      <c r="PV226" s="412"/>
      <c r="PW226" s="412"/>
      <c r="PX226" s="412"/>
      <c r="PY226" s="412"/>
      <c r="PZ226" s="412"/>
      <c r="QA226" s="412"/>
      <c r="QB226" s="412"/>
      <c r="QC226" s="412"/>
      <c r="QD226" s="412"/>
      <c r="QE226" s="412"/>
      <c r="QF226" s="412"/>
      <c r="QG226" s="412"/>
      <c r="QH226" s="412"/>
      <c r="QI226" s="412"/>
      <c r="QJ226" s="412"/>
      <c r="QK226" s="412"/>
      <c r="QL226" s="412"/>
      <c r="QM226" s="412"/>
      <c r="QN226" s="412"/>
      <c r="QO226" s="412"/>
      <c r="QP226" s="412"/>
      <c r="QQ226" s="412"/>
      <c r="QR226" s="412"/>
      <c r="QS226" s="412"/>
      <c r="QT226" s="412"/>
      <c r="QU226" s="412"/>
      <c r="QV226" s="412"/>
      <c r="QW226" s="412"/>
      <c r="QX226" s="412"/>
      <c r="QY226" s="412"/>
      <c r="QZ226" s="412"/>
      <c r="RA226" s="412"/>
      <c r="RB226" s="412"/>
      <c r="RC226" s="412"/>
      <c r="RD226" s="412"/>
      <c r="RE226" s="412"/>
      <c r="RF226" s="412"/>
      <c r="RG226" s="412"/>
      <c r="RH226" s="412"/>
      <c r="RI226" s="412"/>
      <c r="RJ226" s="412"/>
      <c r="RK226" s="412"/>
      <c r="RL226" s="412"/>
      <c r="RM226" s="412"/>
      <c r="RN226" s="412"/>
      <c r="RO226" s="412"/>
      <c r="RP226" s="412"/>
      <c r="RQ226" s="412"/>
      <c r="RR226" s="412"/>
      <c r="RS226" s="412"/>
      <c r="RT226" s="412"/>
      <c r="RU226" s="412"/>
      <c r="RV226" s="412"/>
      <c r="RW226" s="412"/>
      <c r="RX226" s="412"/>
      <c r="RY226" s="412"/>
      <c r="RZ226" s="412"/>
      <c r="SA226" s="412"/>
      <c r="SB226" s="412"/>
      <c r="SC226" s="412"/>
      <c r="SD226" s="412"/>
      <c r="SE226" s="412"/>
      <c r="SF226" s="412"/>
      <c r="SG226" s="412"/>
      <c r="SH226" s="412"/>
      <c r="SI226" s="412"/>
      <c r="SJ226" s="412"/>
      <c r="SK226" s="412"/>
      <c r="SL226" s="412"/>
      <c r="SM226" s="412"/>
      <c r="SN226" s="412"/>
      <c r="SO226" s="412"/>
      <c r="SP226" s="412"/>
      <c r="SQ226" s="412"/>
      <c r="SR226" s="412"/>
      <c r="SS226" s="412"/>
      <c r="ST226" s="412"/>
      <c r="SU226" s="412"/>
      <c r="SV226" s="412"/>
      <c r="SW226" s="412"/>
      <c r="SX226" s="412"/>
      <c r="SY226" s="412"/>
      <c r="SZ226" s="412"/>
      <c r="TA226" s="412"/>
      <c r="TB226" s="412"/>
      <c r="TC226" s="412"/>
      <c r="TD226" s="412"/>
      <c r="TE226" s="412"/>
      <c r="TF226" s="412"/>
      <c r="TG226" s="412"/>
      <c r="TH226" s="412"/>
      <c r="TI226" s="412"/>
      <c r="TJ226" s="412"/>
      <c r="TK226" s="412"/>
      <c r="TL226" s="412"/>
      <c r="TM226" s="412"/>
      <c r="TN226" s="412"/>
      <c r="TO226" s="412"/>
      <c r="TP226" s="412"/>
      <c r="TQ226" s="412"/>
      <c r="TR226" s="412"/>
      <c r="TS226" s="412"/>
      <c r="TT226" s="412"/>
      <c r="TU226" s="412"/>
      <c r="TV226" s="412"/>
      <c r="TW226" s="412"/>
      <c r="TX226" s="412"/>
      <c r="TY226" s="412"/>
      <c r="TZ226" s="412"/>
      <c r="UA226" s="412"/>
      <c r="UB226" s="412"/>
      <c r="UC226" s="412"/>
      <c r="UD226" s="412"/>
      <c r="UE226" s="412"/>
      <c r="UF226" s="412"/>
      <c r="UG226" s="412"/>
      <c r="UH226" s="412"/>
      <c r="UI226" s="412"/>
      <c r="UJ226" s="412"/>
      <c r="UK226" s="412"/>
      <c r="UL226" s="412"/>
      <c r="UM226" s="412"/>
      <c r="UN226" s="412"/>
      <c r="UO226" s="412"/>
      <c r="UP226" s="412"/>
      <c r="UQ226" s="412"/>
      <c r="UR226" s="412"/>
      <c r="US226" s="412"/>
      <c r="UT226" s="412"/>
      <c r="UU226" s="412"/>
      <c r="UV226" s="412"/>
      <c r="UW226" s="412"/>
      <c r="UX226" s="412"/>
      <c r="UY226" s="412"/>
      <c r="UZ226" s="412"/>
      <c r="VA226" s="412"/>
      <c r="VB226" s="412"/>
      <c r="VC226" s="412"/>
      <c r="VD226" s="412"/>
      <c r="VE226" s="412"/>
      <c r="VF226" s="412"/>
      <c r="VG226" s="412"/>
      <c r="VH226" s="412"/>
      <c r="VI226" s="412"/>
      <c r="VJ226" s="412"/>
      <c r="VK226" s="412"/>
      <c r="VL226" s="412"/>
      <c r="VM226" s="412"/>
      <c r="VN226" s="412"/>
      <c r="VO226" s="412"/>
      <c r="VP226" s="412"/>
      <c r="VQ226" s="412"/>
      <c r="VR226" s="412"/>
      <c r="VS226" s="412"/>
      <c r="VT226" s="412"/>
      <c r="VU226" s="412"/>
      <c r="VV226" s="412"/>
      <c r="VW226" s="412"/>
      <c r="VX226" s="412"/>
      <c r="VY226" s="412"/>
      <c r="VZ226" s="412"/>
      <c r="WA226" s="412"/>
      <c r="WB226" s="412"/>
      <c r="WC226" s="412"/>
      <c r="WD226" s="412"/>
      <c r="WE226" s="412"/>
      <c r="WF226" s="412"/>
      <c r="WG226" s="412"/>
      <c r="WH226" s="412"/>
      <c r="WI226" s="412"/>
      <c r="WJ226" s="412"/>
      <c r="WK226" s="412"/>
      <c r="WL226" s="412"/>
      <c r="WM226" s="412"/>
      <c r="WN226" s="412"/>
      <c r="WO226" s="412"/>
      <c r="WP226" s="412"/>
      <c r="WQ226" s="412"/>
      <c r="WR226" s="412"/>
      <c r="WS226" s="412"/>
      <c r="WT226" s="412"/>
      <c r="WU226" s="412"/>
      <c r="WV226" s="412"/>
      <c r="WW226" s="412"/>
      <c r="WX226" s="412"/>
      <c r="WY226" s="412"/>
      <c r="WZ226" s="412"/>
      <c r="XA226" s="412"/>
      <c r="XB226" s="412"/>
      <c r="XC226" s="412"/>
      <c r="XD226" s="412"/>
      <c r="XE226" s="412"/>
      <c r="XF226" s="412"/>
      <c r="XG226" s="412"/>
      <c r="XH226" s="412"/>
      <c r="XI226" s="412"/>
      <c r="XJ226" s="412"/>
      <c r="XK226" s="412"/>
      <c r="XL226" s="412"/>
      <c r="XM226" s="412"/>
      <c r="XN226" s="412"/>
      <c r="XO226" s="412"/>
      <c r="XP226" s="412"/>
      <c r="XQ226" s="412"/>
      <c r="XR226" s="412"/>
      <c r="XS226" s="412"/>
      <c r="XT226" s="412"/>
      <c r="XU226" s="412"/>
      <c r="XV226" s="412"/>
      <c r="XW226" s="412"/>
      <c r="XX226" s="412"/>
      <c r="XY226" s="412"/>
      <c r="XZ226" s="412"/>
      <c r="YA226" s="412"/>
      <c r="YB226" s="412"/>
      <c r="YC226" s="412"/>
      <c r="YD226" s="412"/>
      <c r="YE226" s="412"/>
      <c r="YF226" s="412"/>
      <c r="YG226" s="412"/>
      <c r="YH226" s="412"/>
      <c r="YI226" s="412"/>
      <c r="YJ226" s="412"/>
      <c r="YK226" s="412"/>
      <c r="YL226" s="412"/>
      <c r="YM226" s="412"/>
      <c r="YN226" s="412"/>
      <c r="YO226" s="412"/>
      <c r="YP226" s="412"/>
      <c r="YQ226" s="412"/>
      <c r="YR226" s="412"/>
      <c r="YS226" s="412"/>
      <c r="YT226" s="412"/>
      <c r="YU226" s="412"/>
      <c r="YV226" s="412"/>
      <c r="YW226" s="412"/>
      <c r="YX226" s="412"/>
      <c r="YY226" s="412"/>
      <c r="YZ226" s="412"/>
      <c r="ZA226" s="412"/>
      <c r="ZB226" s="412"/>
      <c r="ZC226" s="412"/>
      <c r="ZD226" s="412"/>
      <c r="ZE226" s="412"/>
      <c r="ZF226" s="412"/>
      <c r="ZG226" s="412"/>
      <c r="ZH226" s="412"/>
      <c r="ZI226" s="412"/>
      <c r="ZJ226" s="412"/>
      <c r="ZK226" s="412"/>
      <c r="ZL226" s="412"/>
      <c r="ZM226" s="412"/>
      <c r="ZN226" s="412"/>
      <c r="ZO226" s="412"/>
      <c r="ZP226" s="412"/>
      <c r="ZQ226" s="412"/>
      <c r="ZR226" s="412"/>
      <c r="ZS226" s="412"/>
      <c r="ZT226" s="412"/>
      <c r="ZU226" s="412"/>
      <c r="ZV226" s="412"/>
      <c r="ZW226" s="412"/>
      <c r="ZX226" s="412"/>
      <c r="ZY226" s="412"/>
      <c r="ZZ226" s="412"/>
      <c r="AAA226" s="412"/>
      <c r="AAB226" s="412"/>
      <c r="AAC226" s="412"/>
      <c r="AAD226" s="412"/>
      <c r="AAE226" s="412"/>
      <c r="AAF226" s="412"/>
      <c r="AAG226" s="412"/>
      <c r="AAH226" s="412"/>
      <c r="AAI226" s="412"/>
      <c r="AAJ226" s="412"/>
      <c r="AAK226" s="412"/>
      <c r="AAL226" s="412"/>
      <c r="AAM226" s="412"/>
      <c r="AAN226" s="412"/>
      <c r="AAO226" s="412"/>
      <c r="AAP226" s="412"/>
      <c r="AAQ226" s="412"/>
      <c r="AAR226" s="412"/>
      <c r="AAS226" s="412"/>
      <c r="AAT226" s="412"/>
      <c r="AAU226" s="412"/>
      <c r="AAV226" s="412"/>
      <c r="AAW226" s="412"/>
      <c r="AAX226" s="412"/>
      <c r="AAY226" s="412"/>
      <c r="AAZ226" s="412"/>
      <c r="ABA226" s="412"/>
      <c r="ABB226" s="412"/>
      <c r="ABC226" s="412"/>
      <c r="ABD226" s="412"/>
      <c r="ABE226" s="412"/>
      <c r="ABF226" s="412"/>
      <c r="ABG226" s="412"/>
      <c r="ABH226" s="412"/>
      <c r="ABI226" s="412"/>
      <c r="ABJ226" s="412"/>
      <c r="ABK226" s="412"/>
      <c r="ABL226" s="412"/>
      <c r="ABM226" s="412"/>
      <c r="ABN226" s="412"/>
      <c r="ABO226" s="412"/>
      <c r="ABP226" s="412"/>
      <c r="ABQ226" s="412"/>
      <c r="ABR226" s="412"/>
      <c r="ABS226" s="412"/>
      <c r="ABT226" s="412"/>
      <c r="ABU226" s="412"/>
      <c r="ABV226" s="412"/>
      <c r="ABW226" s="412"/>
      <c r="ABX226" s="412"/>
      <c r="ABY226" s="412"/>
      <c r="ABZ226" s="412"/>
      <c r="ACA226" s="412"/>
      <c r="ACB226" s="412"/>
      <c r="ACC226" s="412"/>
      <c r="ACD226" s="412"/>
      <c r="ACE226" s="412"/>
      <c r="ACF226" s="412"/>
      <c r="ACG226" s="412"/>
      <c r="ACH226" s="412"/>
      <c r="ACI226" s="412"/>
      <c r="ACJ226" s="412"/>
      <c r="ACK226" s="412"/>
      <c r="ACL226" s="412"/>
      <c r="ACM226" s="412"/>
      <c r="ACN226" s="412"/>
      <c r="ACO226" s="412"/>
      <c r="ACP226" s="412"/>
      <c r="ACQ226" s="412"/>
      <c r="ACR226" s="412"/>
      <c r="ACS226" s="412"/>
      <c r="ACT226" s="412"/>
      <c r="ACU226" s="412"/>
      <c r="ACV226" s="412"/>
      <c r="ACW226" s="412"/>
      <c r="ACX226" s="412"/>
      <c r="ACY226" s="412"/>
      <c r="ACZ226" s="412"/>
      <c r="ADA226" s="412"/>
      <c r="ADB226" s="412"/>
      <c r="ADC226" s="412"/>
      <c r="ADD226" s="412"/>
      <c r="ADE226" s="412"/>
      <c r="ADF226" s="412"/>
      <c r="ADG226" s="412"/>
      <c r="ADH226" s="412"/>
      <c r="ADI226" s="412"/>
      <c r="ADJ226" s="412"/>
      <c r="ADK226" s="412"/>
      <c r="ADL226" s="412"/>
      <c r="ADM226" s="412"/>
      <c r="ADN226" s="412"/>
      <c r="ADO226" s="412"/>
      <c r="ADP226" s="412"/>
      <c r="ADQ226" s="412"/>
      <c r="ADR226" s="412"/>
      <c r="ADS226" s="412"/>
      <c r="ADT226" s="412"/>
      <c r="ADU226" s="412"/>
      <c r="ADV226" s="412"/>
      <c r="ADW226" s="412"/>
      <c r="ADX226" s="412"/>
      <c r="ADY226" s="412"/>
      <c r="ADZ226" s="412"/>
      <c r="AEA226" s="412"/>
      <c r="AEB226" s="412"/>
      <c r="AEC226" s="412"/>
      <c r="AED226" s="412"/>
      <c r="AEE226" s="412"/>
      <c r="AEF226" s="412"/>
      <c r="AEG226" s="412"/>
      <c r="AEH226" s="412"/>
      <c r="AEI226" s="412"/>
      <c r="AEJ226" s="412"/>
      <c r="AEK226" s="412"/>
      <c r="AEL226" s="412"/>
      <c r="AEM226" s="412"/>
      <c r="AEN226" s="412"/>
      <c r="AEO226" s="412"/>
      <c r="AEP226" s="412"/>
      <c r="AEQ226" s="412"/>
      <c r="AER226" s="412"/>
      <c r="AES226" s="412"/>
      <c r="AET226" s="412"/>
      <c r="AEU226" s="412"/>
      <c r="AEV226" s="412"/>
      <c r="AEW226" s="412"/>
      <c r="AEX226" s="412"/>
      <c r="AEY226" s="412"/>
      <c r="AEZ226" s="412"/>
      <c r="AFA226" s="412"/>
      <c r="AFB226" s="412"/>
      <c r="AFC226" s="412"/>
      <c r="AFD226" s="412"/>
      <c r="AFE226" s="412"/>
      <c r="AFF226" s="412"/>
      <c r="AFG226" s="412"/>
      <c r="AFH226" s="412"/>
      <c r="AFI226" s="412"/>
      <c r="AFJ226" s="412"/>
      <c r="AFK226" s="412"/>
      <c r="AFL226" s="412"/>
      <c r="AFM226" s="412"/>
      <c r="AFN226" s="412"/>
      <c r="AFO226" s="412"/>
      <c r="AFP226" s="412"/>
      <c r="AFQ226" s="412"/>
      <c r="AFR226" s="412"/>
      <c r="AFS226" s="412"/>
      <c r="AFT226" s="412"/>
      <c r="AFU226" s="412"/>
      <c r="AFV226" s="412"/>
      <c r="AFW226" s="412"/>
      <c r="AFX226" s="412"/>
      <c r="AFY226" s="412"/>
      <c r="AFZ226" s="412"/>
      <c r="AGA226" s="412"/>
      <c r="AGB226" s="412"/>
      <c r="AGC226" s="412"/>
      <c r="AGD226" s="412"/>
      <c r="AGE226" s="412"/>
      <c r="AGF226" s="412"/>
      <c r="AGG226" s="412"/>
      <c r="AGH226" s="412"/>
      <c r="AGI226" s="412"/>
      <c r="AGJ226" s="412"/>
      <c r="AGK226" s="412"/>
      <c r="AGL226" s="412"/>
      <c r="AGM226" s="412"/>
      <c r="AGN226" s="412"/>
      <c r="AGO226" s="412"/>
      <c r="AGP226" s="412"/>
      <c r="AGQ226" s="412"/>
      <c r="AGR226" s="412"/>
      <c r="AGS226" s="412"/>
      <c r="AGT226" s="412"/>
      <c r="AGU226" s="412"/>
      <c r="AGV226" s="412"/>
      <c r="AGW226" s="412"/>
      <c r="AGX226" s="412"/>
      <c r="AGY226" s="412"/>
      <c r="AGZ226" s="412"/>
      <c r="AHA226" s="412"/>
      <c r="AHB226" s="412"/>
      <c r="AHC226" s="412"/>
      <c r="AHD226" s="412"/>
      <c r="AHE226" s="412"/>
      <c r="AHF226" s="412"/>
      <c r="AHG226" s="412"/>
      <c r="AHH226" s="412"/>
      <c r="AHI226" s="412"/>
      <c r="AHJ226" s="412"/>
      <c r="AHK226" s="412"/>
      <c r="AHL226" s="412"/>
      <c r="AHM226" s="412"/>
      <c r="AHN226" s="412"/>
      <c r="AHO226" s="412"/>
      <c r="AHP226" s="412"/>
      <c r="AHQ226" s="412"/>
      <c r="AHR226" s="412"/>
      <c r="AHS226" s="412"/>
      <c r="AHT226" s="412"/>
      <c r="AHU226" s="412"/>
      <c r="AHV226" s="412"/>
      <c r="AHW226" s="412"/>
      <c r="AHX226" s="412"/>
      <c r="AHY226" s="412"/>
      <c r="AHZ226" s="412"/>
      <c r="AIA226" s="412"/>
      <c r="AIB226" s="412"/>
      <c r="AIC226" s="412"/>
      <c r="AID226" s="412"/>
      <c r="AIE226" s="412"/>
      <c r="AIF226" s="412"/>
      <c r="AIG226" s="412"/>
      <c r="AIH226" s="412"/>
      <c r="AII226" s="412"/>
      <c r="AIJ226" s="412"/>
      <c r="AIK226" s="412"/>
      <c r="AIL226" s="412"/>
      <c r="AIM226" s="412"/>
      <c r="AIN226" s="412"/>
      <c r="AIO226" s="412"/>
      <c r="AIP226" s="412"/>
      <c r="AIQ226" s="412"/>
      <c r="AIR226" s="412"/>
      <c r="AIS226" s="412"/>
      <c r="AIT226" s="412"/>
      <c r="AIU226" s="412"/>
      <c r="AIV226" s="412"/>
      <c r="AIW226" s="412"/>
      <c r="AIX226" s="412"/>
      <c r="AIY226" s="412"/>
      <c r="AIZ226" s="412"/>
      <c r="AJA226" s="412"/>
      <c r="AJB226" s="412"/>
      <c r="AJC226" s="412"/>
      <c r="AJD226" s="412"/>
      <c r="AJE226" s="412"/>
      <c r="AJF226" s="412"/>
      <c r="AJG226" s="412"/>
      <c r="AJH226" s="412"/>
      <c r="AJI226" s="412"/>
      <c r="AJJ226" s="412"/>
      <c r="AJK226" s="412"/>
      <c r="AJL226" s="412"/>
      <c r="AJM226" s="412"/>
      <c r="AJN226" s="412"/>
      <c r="AJO226" s="412"/>
      <c r="AJP226" s="412"/>
      <c r="AJQ226" s="412"/>
      <c r="AJR226" s="412"/>
      <c r="AJS226" s="412"/>
      <c r="AJT226" s="412"/>
      <c r="AJU226" s="412"/>
      <c r="AJV226" s="412"/>
      <c r="AJW226" s="412"/>
      <c r="AJX226" s="412"/>
      <c r="AJY226" s="412"/>
      <c r="AJZ226" s="412"/>
      <c r="AKA226" s="412"/>
      <c r="AKB226" s="412"/>
      <c r="AKC226" s="412"/>
      <c r="AKD226" s="412"/>
      <c r="AKE226" s="412"/>
      <c r="AKF226" s="412"/>
      <c r="AKG226" s="412"/>
      <c r="AKH226" s="412"/>
      <c r="AKI226" s="412"/>
      <c r="AKJ226" s="412"/>
      <c r="AKK226" s="412"/>
      <c r="AKL226" s="412"/>
      <c r="AKM226" s="412"/>
      <c r="AKN226" s="412"/>
      <c r="AKO226" s="412"/>
      <c r="AKP226" s="412"/>
      <c r="AKQ226" s="412"/>
      <c r="AKR226" s="412"/>
      <c r="AKS226" s="412"/>
      <c r="AKT226" s="412"/>
      <c r="AKU226" s="412"/>
      <c r="AKV226" s="412"/>
      <c r="AKW226" s="412"/>
      <c r="AKX226" s="412"/>
      <c r="AKY226" s="412"/>
      <c r="AKZ226" s="412"/>
      <c r="ALA226" s="412"/>
      <c r="ALB226" s="412"/>
      <c r="ALC226" s="412"/>
      <c r="ALD226" s="412"/>
      <c r="ALE226" s="412"/>
      <c r="ALF226" s="412"/>
      <c r="ALG226" s="412"/>
      <c r="ALH226" s="412"/>
      <c r="ALI226" s="412"/>
      <c r="ALJ226" s="412"/>
      <c r="ALK226" s="412"/>
      <c r="ALL226" s="412"/>
      <c r="ALM226" s="412"/>
      <c r="ALN226" s="412"/>
      <c r="ALO226" s="412"/>
      <c r="ALP226" s="412"/>
      <c r="ALQ226" s="412"/>
      <c r="ALR226" s="412"/>
      <c r="ALS226" s="412"/>
      <c r="ALT226" s="412"/>
      <c r="ALU226" s="412"/>
      <c r="ALV226" s="412"/>
      <c r="ALW226" s="412"/>
      <c r="ALX226" s="412"/>
      <c r="ALY226" s="412"/>
      <c r="ALZ226" s="412"/>
      <c r="AMA226" s="412"/>
      <c r="AMB226" s="412"/>
      <c r="AMC226" s="412"/>
      <c r="AMD226" s="412"/>
      <c r="AME226" s="412"/>
      <c r="AMF226" s="412"/>
      <c r="AMG226" s="412"/>
      <c r="AMH226" s="412"/>
      <c r="AMI226" s="412"/>
      <c r="AMJ226" s="412"/>
      <c r="AMK226" s="412"/>
      <c r="AML226" s="412"/>
      <c r="AMM226" s="412"/>
      <c r="AMN226" s="412"/>
      <c r="AMO226" s="412"/>
      <c r="AMP226" s="412"/>
      <c r="AMQ226" s="412"/>
      <c r="AMR226" s="412"/>
      <c r="AMS226" s="412"/>
      <c r="AMT226" s="412"/>
      <c r="AMU226" s="412"/>
      <c r="AMV226" s="412"/>
      <c r="AMW226" s="412"/>
      <c r="AMX226" s="412"/>
      <c r="AMY226" s="412"/>
      <c r="AMZ226" s="412"/>
      <c r="ANA226" s="412"/>
      <c r="ANB226" s="412"/>
      <c r="ANC226" s="412"/>
      <c r="AND226" s="412"/>
      <c r="ANE226" s="412"/>
      <c r="ANF226" s="412"/>
      <c r="ANG226" s="412"/>
      <c r="ANH226" s="412"/>
      <c r="ANI226" s="412"/>
      <c r="ANJ226" s="412"/>
      <c r="ANK226" s="412"/>
      <c r="ANL226" s="412"/>
      <c r="ANM226" s="412"/>
      <c r="ANN226" s="412"/>
      <c r="ANO226" s="412"/>
      <c r="ANP226" s="412"/>
      <c r="ANQ226" s="412"/>
      <c r="ANR226" s="412"/>
      <c r="ANS226" s="412"/>
      <c r="ANT226" s="412"/>
      <c r="ANU226" s="412"/>
      <c r="ANV226" s="412"/>
      <c r="ANW226" s="412"/>
      <c r="ANX226" s="412"/>
      <c r="ANY226" s="412"/>
      <c r="ANZ226" s="412"/>
      <c r="AOA226" s="412"/>
      <c r="AOB226" s="412"/>
      <c r="AOC226" s="412"/>
      <c r="AOD226" s="412"/>
      <c r="AOE226" s="412"/>
      <c r="AOF226" s="412"/>
      <c r="AOG226" s="412"/>
      <c r="AOH226" s="412"/>
      <c r="AOI226" s="412"/>
      <c r="AOJ226" s="412"/>
      <c r="AOK226" s="412"/>
      <c r="AOL226" s="412"/>
      <c r="AOM226" s="412"/>
      <c r="AON226" s="412"/>
      <c r="AOO226" s="412"/>
      <c r="AOP226" s="412"/>
      <c r="AOQ226" s="412"/>
      <c r="AOR226" s="412"/>
      <c r="AOS226" s="412"/>
      <c r="AOT226" s="412"/>
      <c r="AOU226" s="412"/>
      <c r="AOV226" s="412"/>
      <c r="AOW226" s="412"/>
      <c r="AOX226" s="412"/>
      <c r="AOY226" s="412"/>
      <c r="AOZ226" s="412"/>
      <c r="APA226" s="412"/>
      <c r="APB226" s="412"/>
      <c r="APC226" s="412"/>
      <c r="APD226" s="412"/>
      <c r="APE226" s="412"/>
      <c r="APF226" s="412"/>
      <c r="APG226" s="412"/>
      <c r="APH226" s="412"/>
      <c r="API226" s="412"/>
      <c r="APJ226" s="412"/>
      <c r="APK226" s="412"/>
      <c r="APL226" s="412"/>
      <c r="APM226" s="412"/>
      <c r="APN226" s="412"/>
      <c r="APO226" s="412"/>
      <c r="APP226" s="412"/>
      <c r="APQ226" s="412"/>
      <c r="APR226" s="412"/>
      <c r="APS226" s="412"/>
      <c r="APT226" s="412"/>
      <c r="APU226" s="412"/>
      <c r="APV226" s="412"/>
      <c r="APW226" s="412"/>
      <c r="APX226" s="412"/>
      <c r="APY226" s="412"/>
      <c r="APZ226" s="412"/>
      <c r="AQA226" s="412"/>
      <c r="AQB226" s="412"/>
      <c r="AQC226" s="412"/>
      <c r="AQD226" s="412"/>
      <c r="AQE226" s="412"/>
      <c r="AQF226" s="412"/>
      <c r="AQG226" s="412"/>
      <c r="AQH226" s="412"/>
      <c r="AQI226" s="412"/>
      <c r="AQJ226" s="412"/>
      <c r="AQK226" s="412"/>
      <c r="AQL226" s="412"/>
      <c r="AQM226" s="412"/>
      <c r="AQN226" s="412"/>
      <c r="AQO226" s="412"/>
      <c r="AQP226" s="412"/>
      <c r="AQQ226" s="412"/>
      <c r="AQR226" s="412"/>
      <c r="AQS226" s="412"/>
      <c r="AQT226" s="412"/>
      <c r="AQU226" s="412"/>
      <c r="AQV226" s="412"/>
      <c r="AQW226" s="412"/>
      <c r="AQX226" s="412"/>
      <c r="AQY226" s="412"/>
      <c r="AQZ226" s="412"/>
      <c r="ARA226" s="412"/>
      <c r="ARB226" s="412"/>
      <c r="ARC226" s="412"/>
      <c r="ARD226" s="412"/>
      <c r="ARE226" s="412"/>
      <c r="ARF226" s="412"/>
      <c r="ARG226" s="412"/>
      <c r="ARH226" s="412"/>
      <c r="ARI226" s="412"/>
      <c r="ARJ226" s="412"/>
      <c r="ARK226" s="412"/>
      <c r="ARL226" s="412"/>
      <c r="ARM226" s="412"/>
      <c r="ARN226" s="412"/>
      <c r="ARO226" s="412"/>
      <c r="ARP226" s="412"/>
      <c r="ARQ226" s="412"/>
      <c r="ARR226" s="412"/>
      <c r="ARS226" s="412"/>
      <c r="ART226" s="412"/>
      <c r="ARU226" s="412"/>
      <c r="ARV226" s="412"/>
      <c r="ARW226" s="412"/>
      <c r="ARX226" s="412"/>
      <c r="ARY226" s="412"/>
      <c r="ARZ226" s="412"/>
      <c r="ASA226" s="412"/>
      <c r="ASB226" s="412"/>
      <c r="ASC226" s="412"/>
      <c r="ASD226" s="412"/>
      <c r="ASE226" s="412"/>
      <c r="ASF226" s="412"/>
      <c r="ASG226" s="412"/>
      <c r="ASH226" s="412"/>
      <c r="ASI226" s="412"/>
      <c r="ASJ226" s="412"/>
      <c r="ASK226" s="412"/>
      <c r="ASL226" s="412"/>
      <c r="ASM226" s="412"/>
      <c r="ASN226" s="412"/>
      <c r="ASO226" s="412"/>
      <c r="ASP226" s="412"/>
      <c r="ASQ226" s="412"/>
      <c r="ASR226" s="412"/>
      <c r="ASS226" s="412"/>
      <c r="AST226" s="412"/>
      <c r="ASU226" s="412"/>
      <c r="ASV226" s="412"/>
      <c r="ASW226" s="412"/>
      <c r="ASX226" s="412"/>
      <c r="ASY226" s="412"/>
      <c r="ASZ226" s="412"/>
      <c r="ATA226" s="412"/>
      <c r="ATB226" s="412"/>
      <c r="ATC226" s="412"/>
      <c r="ATD226" s="412"/>
      <c r="ATE226" s="412"/>
      <c r="ATF226" s="412"/>
      <c r="ATG226" s="412"/>
      <c r="ATH226" s="412"/>
      <c r="ATI226" s="412"/>
      <c r="ATJ226" s="412"/>
      <c r="ATK226" s="412"/>
      <c r="ATL226" s="412"/>
      <c r="ATM226" s="412"/>
      <c r="ATN226" s="412"/>
      <c r="ATO226" s="412"/>
      <c r="ATP226" s="412"/>
      <c r="ATQ226" s="412"/>
      <c r="ATR226" s="412"/>
      <c r="ATS226" s="412"/>
      <c r="ATT226" s="412"/>
      <c r="ATU226" s="412"/>
      <c r="ATV226" s="412"/>
      <c r="ATW226" s="412"/>
      <c r="ATX226" s="412"/>
      <c r="ATY226" s="412"/>
      <c r="ATZ226" s="412"/>
      <c r="AUA226" s="412"/>
      <c r="AUB226" s="412"/>
      <c r="AUC226" s="412"/>
      <c r="AUD226" s="412"/>
      <c r="AUE226" s="412"/>
      <c r="AUF226" s="412"/>
      <c r="AUG226" s="412"/>
      <c r="AUH226" s="412"/>
      <c r="AUI226" s="412"/>
      <c r="AUJ226" s="412"/>
      <c r="AUK226" s="412"/>
      <c r="AUL226" s="412"/>
      <c r="AUM226" s="412"/>
      <c r="AUN226" s="412"/>
      <c r="AUO226" s="412"/>
      <c r="AUP226" s="412"/>
      <c r="AUQ226" s="412"/>
      <c r="AUR226" s="412"/>
      <c r="AUS226" s="412"/>
      <c r="AUT226" s="412"/>
      <c r="AUU226" s="412"/>
      <c r="AUV226" s="412"/>
      <c r="AUW226" s="412"/>
      <c r="AUX226" s="412"/>
      <c r="AUY226" s="412"/>
      <c r="AUZ226" s="412"/>
      <c r="AVA226" s="412"/>
      <c r="AVB226" s="412"/>
      <c r="AVC226" s="412"/>
      <c r="AVD226" s="412"/>
      <c r="AVE226" s="412"/>
      <c r="AVF226" s="412"/>
      <c r="AVG226" s="412"/>
      <c r="AVH226" s="412"/>
      <c r="AVI226" s="412"/>
      <c r="AVJ226" s="412"/>
      <c r="AVK226" s="412"/>
      <c r="AVL226" s="412"/>
      <c r="AVM226" s="412"/>
      <c r="AVN226" s="412"/>
      <c r="AVO226" s="412"/>
      <c r="AVP226" s="412"/>
      <c r="AVQ226" s="412"/>
      <c r="AVR226" s="412"/>
      <c r="AVS226" s="412"/>
      <c r="AVT226" s="412"/>
      <c r="AVU226" s="412"/>
      <c r="AVV226" s="412"/>
      <c r="AVW226" s="412"/>
      <c r="AVX226" s="412"/>
      <c r="AVY226" s="412"/>
      <c r="AVZ226" s="412"/>
      <c r="AWA226" s="412"/>
      <c r="AWB226" s="412"/>
      <c r="AWC226" s="412"/>
      <c r="AWD226" s="412"/>
      <c r="AWE226" s="412"/>
      <c r="AWF226" s="412"/>
      <c r="AWG226" s="412"/>
      <c r="AWH226" s="412"/>
      <c r="AWI226" s="412"/>
      <c r="AWJ226" s="412"/>
      <c r="AWK226" s="412"/>
      <c r="AWL226" s="412"/>
      <c r="AWM226" s="412"/>
      <c r="AWN226" s="412"/>
      <c r="AWO226" s="412"/>
      <c r="AWP226" s="412"/>
      <c r="AWQ226" s="412"/>
      <c r="AWR226" s="412"/>
      <c r="AWS226" s="412"/>
      <c r="AWT226" s="412"/>
      <c r="AWU226" s="412"/>
      <c r="AWV226" s="412"/>
      <c r="AWW226" s="412"/>
      <c r="AWX226" s="412"/>
      <c r="AWY226" s="412"/>
      <c r="AWZ226" s="412"/>
      <c r="AXA226" s="412"/>
      <c r="AXB226" s="412"/>
      <c r="AXC226" s="412"/>
      <c r="AXD226" s="412"/>
      <c r="AXE226" s="412"/>
      <c r="AXF226" s="412"/>
      <c r="AXG226" s="412"/>
      <c r="AXH226" s="412"/>
      <c r="AXI226" s="412"/>
      <c r="AXJ226" s="412"/>
      <c r="AXK226" s="412"/>
      <c r="AXL226" s="412"/>
      <c r="AXM226" s="412"/>
      <c r="AXN226" s="412"/>
      <c r="AXO226" s="412"/>
      <c r="AXP226" s="412"/>
      <c r="AXQ226" s="412"/>
      <c r="AXR226" s="412"/>
      <c r="AXS226" s="412"/>
      <c r="AXT226" s="412"/>
      <c r="AXU226" s="412"/>
      <c r="AXV226" s="412"/>
      <c r="AXW226" s="412"/>
      <c r="AXX226" s="412"/>
      <c r="AXY226" s="412"/>
      <c r="AXZ226" s="412"/>
      <c r="AYA226" s="412"/>
      <c r="AYB226" s="412"/>
      <c r="AYC226" s="412"/>
      <c r="AYD226" s="412"/>
      <c r="AYE226" s="412"/>
      <c r="AYF226" s="412"/>
      <c r="AYG226" s="412"/>
      <c r="AYH226" s="412"/>
      <c r="AYI226" s="412"/>
      <c r="AYJ226" s="412"/>
      <c r="AYK226" s="412"/>
      <c r="AYL226" s="412"/>
      <c r="AYM226" s="412"/>
      <c r="AYN226" s="412"/>
      <c r="AYO226" s="412"/>
      <c r="AYP226" s="412"/>
      <c r="AYQ226" s="412"/>
      <c r="AYR226" s="412"/>
      <c r="AYS226" s="412"/>
      <c r="AYT226" s="412"/>
      <c r="AYU226" s="412"/>
      <c r="AYV226" s="412"/>
      <c r="AYW226" s="412"/>
      <c r="AYX226" s="412"/>
      <c r="AYY226" s="412"/>
      <c r="AYZ226" s="412"/>
      <c r="AZA226" s="412"/>
      <c r="AZB226" s="412"/>
      <c r="AZC226" s="412"/>
      <c r="AZD226" s="412"/>
      <c r="AZE226" s="412"/>
      <c r="AZF226" s="412"/>
      <c r="AZG226" s="412"/>
      <c r="AZH226" s="412"/>
      <c r="AZI226" s="412"/>
      <c r="AZJ226" s="412"/>
      <c r="AZK226" s="412"/>
      <c r="AZL226" s="412"/>
      <c r="AZM226" s="412"/>
      <c r="AZN226" s="412"/>
      <c r="AZO226" s="412"/>
      <c r="AZP226" s="412"/>
      <c r="AZQ226" s="412"/>
      <c r="AZR226" s="412"/>
      <c r="AZS226" s="412"/>
      <c r="AZT226" s="412"/>
      <c r="AZU226" s="412"/>
      <c r="AZV226" s="412"/>
      <c r="AZW226" s="412"/>
      <c r="AZX226" s="412"/>
      <c r="AZY226" s="412"/>
      <c r="AZZ226" s="412"/>
      <c r="BAA226" s="412"/>
      <c r="BAB226" s="412"/>
      <c r="BAC226" s="412"/>
      <c r="BAD226" s="412"/>
      <c r="BAE226" s="412"/>
      <c r="BAF226" s="412"/>
      <c r="BAG226" s="412"/>
      <c r="BAH226" s="412"/>
      <c r="BAI226" s="412"/>
      <c r="BAJ226" s="412"/>
      <c r="BAK226" s="412"/>
      <c r="BAL226" s="412"/>
      <c r="BAM226" s="412"/>
      <c r="BAN226" s="412"/>
      <c r="BAO226" s="412"/>
      <c r="BAP226" s="412"/>
      <c r="BAQ226" s="412"/>
      <c r="BAR226" s="412"/>
      <c r="BAS226" s="412"/>
      <c r="BAT226" s="412"/>
      <c r="BAU226" s="412"/>
      <c r="BAV226" s="412"/>
      <c r="BAW226" s="412"/>
      <c r="BAX226" s="412"/>
      <c r="BAY226" s="412"/>
      <c r="BAZ226" s="412"/>
      <c r="BBA226" s="412"/>
      <c r="BBB226" s="412"/>
      <c r="BBC226" s="412"/>
      <c r="BBD226" s="412"/>
      <c r="BBE226" s="412"/>
      <c r="BBF226" s="412"/>
      <c r="BBG226" s="412"/>
      <c r="BBH226" s="412"/>
      <c r="BBI226" s="412"/>
      <c r="BBJ226" s="412"/>
      <c r="BBK226" s="412"/>
      <c r="BBL226" s="412"/>
      <c r="BBM226" s="412"/>
      <c r="BBN226" s="412"/>
      <c r="BBO226" s="412"/>
      <c r="BBP226" s="412"/>
      <c r="BBQ226" s="412"/>
      <c r="BBR226" s="412"/>
      <c r="BBS226" s="412"/>
      <c r="BBT226" s="412"/>
      <c r="BBU226" s="412"/>
      <c r="BBV226" s="412"/>
      <c r="BBW226" s="412"/>
      <c r="BBX226" s="412"/>
      <c r="BBY226" s="412"/>
      <c r="BBZ226" s="412"/>
      <c r="BCA226" s="412"/>
      <c r="BCB226" s="412"/>
      <c r="BCC226" s="412"/>
      <c r="BCD226" s="412"/>
      <c r="BCE226" s="412"/>
      <c r="BCF226" s="412"/>
      <c r="BCG226" s="412"/>
      <c r="BCH226" s="412"/>
      <c r="BCI226" s="412"/>
      <c r="BCJ226" s="412"/>
      <c r="BCK226" s="412"/>
      <c r="BCL226" s="412"/>
      <c r="BCM226" s="412"/>
      <c r="BCN226" s="412"/>
      <c r="BCO226" s="412"/>
      <c r="BCP226" s="412"/>
      <c r="BCQ226" s="412"/>
      <c r="BCR226" s="412"/>
      <c r="BCS226" s="412"/>
      <c r="BCT226" s="412"/>
      <c r="BCU226" s="412"/>
      <c r="BCV226" s="412"/>
      <c r="BCW226" s="412"/>
      <c r="BCX226" s="412"/>
      <c r="BCY226" s="412"/>
      <c r="BCZ226" s="412"/>
      <c r="BDA226" s="412"/>
      <c r="BDB226" s="412"/>
      <c r="BDC226" s="412"/>
      <c r="BDD226" s="412"/>
      <c r="BDE226" s="412"/>
      <c r="BDF226" s="412"/>
      <c r="BDG226" s="412"/>
      <c r="BDH226" s="412"/>
      <c r="BDI226" s="412"/>
      <c r="BDJ226" s="412"/>
      <c r="BDK226" s="412"/>
      <c r="BDL226" s="412"/>
      <c r="BDM226" s="412"/>
      <c r="BDN226" s="412"/>
      <c r="BDO226" s="412"/>
      <c r="BDP226" s="412"/>
      <c r="BDQ226" s="412"/>
      <c r="BDR226" s="412"/>
      <c r="BDS226" s="412"/>
      <c r="BDT226" s="412"/>
      <c r="BDU226" s="412"/>
      <c r="BDV226" s="412"/>
      <c r="BDW226" s="412"/>
      <c r="BDX226" s="412"/>
      <c r="BDY226" s="412"/>
      <c r="BDZ226" s="412"/>
      <c r="BEA226" s="412"/>
      <c r="BEB226" s="412"/>
      <c r="BEC226" s="412"/>
      <c r="BED226" s="412"/>
      <c r="BEE226" s="412"/>
      <c r="BEF226" s="412"/>
      <c r="BEG226" s="412"/>
      <c r="BEH226" s="412"/>
      <c r="BEI226" s="412"/>
      <c r="BEJ226" s="412"/>
      <c r="BEK226" s="412"/>
      <c r="BEL226" s="412"/>
      <c r="BEM226" s="412"/>
      <c r="BEN226" s="412"/>
      <c r="BEO226" s="412"/>
      <c r="BEP226" s="412"/>
      <c r="BEQ226" s="412"/>
      <c r="BER226" s="412"/>
      <c r="BES226" s="412"/>
      <c r="BET226" s="412"/>
      <c r="BEU226" s="412"/>
      <c r="BEV226" s="412"/>
      <c r="BEW226" s="412"/>
      <c r="BEX226" s="412"/>
      <c r="BEY226" s="412"/>
      <c r="BEZ226" s="412"/>
      <c r="BFA226" s="412"/>
      <c r="BFB226" s="412"/>
      <c r="BFC226" s="412"/>
      <c r="BFD226" s="412"/>
      <c r="BFE226" s="412"/>
      <c r="BFF226" s="412"/>
      <c r="BFG226" s="412"/>
      <c r="BFH226" s="412"/>
      <c r="BFI226" s="412"/>
      <c r="BFJ226" s="412"/>
      <c r="BFK226" s="412"/>
      <c r="BFL226" s="412"/>
      <c r="BFM226" s="412"/>
      <c r="BFN226" s="412"/>
      <c r="BFO226" s="412"/>
      <c r="BFP226" s="412"/>
      <c r="BFQ226" s="412"/>
      <c r="BFR226" s="412"/>
      <c r="BFS226" s="412"/>
      <c r="BFT226" s="412"/>
      <c r="BFU226" s="412"/>
      <c r="BFV226" s="412"/>
      <c r="BFW226" s="412"/>
      <c r="BFX226" s="412"/>
      <c r="BFY226" s="412"/>
      <c r="BFZ226" s="412"/>
      <c r="BGA226" s="412"/>
      <c r="BGB226" s="412"/>
      <c r="BGC226" s="412"/>
      <c r="BGD226" s="412"/>
      <c r="BGE226" s="412"/>
      <c r="BGF226" s="412"/>
      <c r="BGG226" s="412"/>
      <c r="BGH226" s="412"/>
      <c r="BGI226" s="412"/>
      <c r="BGJ226" s="412"/>
      <c r="BGK226" s="412"/>
      <c r="BGL226" s="412"/>
      <c r="BGM226" s="412"/>
      <c r="BGN226" s="412"/>
      <c r="BGO226" s="412"/>
      <c r="BGP226" s="412"/>
      <c r="BGQ226" s="412"/>
      <c r="BGR226" s="412"/>
      <c r="BGS226" s="412"/>
      <c r="BGT226" s="412"/>
      <c r="BGU226" s="412"/>
      <c r="BGV226" s="412"/>
      <c r="BGW226" s="412"/>
      <c r="BGX226" s="412"/>
      <c r="BGY226" s="412"/>
      <c r="BGZ226" s="412"/>
      <c r="BHA226" s="412"/>
      <c r="BHB226" s="412"/>
      <c r="BHC226" s="412"/>
      <c r="BHD226" s="412"/>
      <c r="BHE226" s="412"/>
      <c r="BHF226" s="412"/>
      <c r="BHG226" s="412"/>
      <c r="BHH226" s="412"/>
      <c r="BHI226" s="412"/>
      <c r="BHJ226" s="412"/>
      <c r="BHK226" s="412"/>
      <c r="BHL226" s="412"/>
      <c r="BHM226" s="412"/>
      <c r="BHN226" s="412"/>
      <c r="BHO226" s="412"/>
      <c r="BHP226" s="412"/>
      <c r="BHQ226" s="412"/>
      <c r="BHR226" s="412"/>
      <c r="BHS226" s="412"/>
      <c r="BHT226" s="412"/>
      <c r="BHU226" s="412"/>
      <c r="BHV226" s="412"/>
      <c r="BHW226" s="412"/>
      <c r="BHX226" s="412"/>
      <c r="BHY226" s="412"/>
      <c r="BHZ226" s="412"/>
      <c r="BIA226" s="412"/>
      <c r="BIB226" s="412"/>
      <c r="BIC226" s="412"/>
      <c r="BID226" s="412"/>
      <c r="BIE226" s="412"/>
      <c r="BIF226" s="412"/>
      <c r="BIG226" s="412"/>
      <c r="BIH226" s="412"/>
      <c r="BII226" s="412"/>
      <c r="BIJ226" s="412"/>
      <c r="BIK226" s="412"/>
      <c r="BIL226" s="412"/>
      <c r="BIM226" s="412"/>
      <c r="BIN226" s="412"/>
      <c r="BIO226" s="412"/>
      <c r="BIP226" s="412"/>
      <c r="BIQ226" s="412"/>
      <c r="BIR226" s="412"/>
      <c r="BIS226" s="412"/>
      <c r="BIT226" s="412"/>
      <c r="BIU226" s="412"/>
      <c r="BIV226" s="412"/>
      <c r="BIW226" s="412"/>
      <c r="BIX226" s="412"/>
      <c r="BIY226" s="412"/>
      <c r="BIZ226" s="412"/>
      <c r="BJA226" s="412"/>
      <c r="BJB226" s="412"/>
      <c r="BJC226" s="412"/>
      <c r="BJD226" s="412"/>
      <c r="BJE226" s="412"/>
      <c r="BJF226" s="412"/>
      <c r="BJG226" s="412"/>
      <c r="BJH226" s="412"/>
      <c r="BJI226" s="412"/>
      <c r="BJJ226" s="412"/>
      <c r="BJK226" s="412"/>
      <c r="BJL226" s="412"/>
      <c r="BJM226" s="412"/>
      <c r="BJN226" s="412"/>
      <c r="BJO226" s="412"/>
      <c r="BJP226" s="412"/>
      <c r="BJQ226" s="412"/>
      <c r="BJR226" s="412"/>
      <c r="BJS226" s="412"/>
      <c r="BJT226" s="412"/>
      <c r="BJU226" s="412"/>
      <c r="BJV226" s="412"/>
      <c r="BJW226" s="412"/>
      <c r="BJX226" s="412"/>
      <c r="BJY226" s="412"/>
      <c r="BJZ226" s="412"/>
      <c r="BKA226" s="412"/>
      <c r="BKB226" s="412"/>
      <c r="BKC226" s="412"/>
      <c r="BKD226" s="412"/>
      <c r="BKE226" s="412"/>
      <c r="BKF226" s="412"/>
      <c r="BKG226" s="412"/>
      <c r="BKH226" s="412"/>
      <c r="BKI226" s="412"/>
      <c r="BKJ226" s="412"/>
      <c r="BKK226" s="412"/>
      <c r="BKL226" s="412"/>
      <c r="BKM226" s="412"/>
      <c r="BKN226" s="412"/>
      <c r="BKO226" s="412"/>
      <c r="BKP226" s="412"/>
      <c r="BKQ226" s="412"/>
      <c r="BKR226" s="412"/>
      <c r="BKS226" s="412"/>
      <c r="BKT226" s="412"/>
      <c r="BKU226" s="412"/>
      <c r="BKV226" s="412"/>
      <c r="BKW226" s="412"/>
      <c r="BKX226" s="412"/>
      <c r="BKY226" s="412"/>
      <c r="BKZ226" s="412"/>
      <c r="BLA226" s="412"/>
      <c r="BLB226" s="412"/>
      <c r="BLC226" s="412"/>
      <c r="BLD226" s="412"/>
      <c r="BLE226" s="412"/>
      <c r="BLF226" s="412"/>
      <c r="BLG226" s="412"/>
      <c r="BLH226" s="412"/>
      <c r="BLI226" s="412"/>
      <c r="BLJ226" s="412"/>
      <c r="BLK226" s="412"/>
      <c r="BLL226" s="412"/>
      <c r="BLM226" s="412"/>
      <c r="BLN226" s="412"/>
      <c r="BLO226" s="412"/>
      <c r="BLP226" s="412"/>
      <c r="BLQ226" s="412"/>
      <c r="BLR226" s="412"/>
      <c r="BLS226" s="412"/>
      <c r="BLT226" s="412"/>
      <c r="BLU226" s="412"/>
      <c r="BLV226" s="412"/>
      <c r="BLW226" s="412"/>
      <c r="BLX226" s="412"/>
      <c r="BLY226" s="412"/>
      <c r="BLZ226" s="412"/>
      <c r="BMA226" s="412"/>
      <c r="BMB226" s="412"/>
      <c r="BMC226" s="412"/>
      <c r="BMD226" s="412"/>
      <c r="BME226" s="412"/>
      <c r="BMF226" s="412"/>
      <c r="BMG226" s="412"/>
      <c r="BMH226" s="412"/>
      <c r="BMI226" s="412"/>
      <c r="BMJ226" s="412"/>
      <c r="BMK226" s="412"/>
      <c r="BML226" s="412"/>
      <c r="BMM226" s="412"/>
      <c r="BMN226" s="412"/>
      <c r="BMO226" s="412"/>
      <c r="BMP226" s="412"/>
      <c r="BMQ226" s="412"/>
      <c r="BMR226" s="412"/>
      <c r="BMS226" s="412"/>
      <c r="BMT226" s="412"/>
      <c r="BMU226" s="412"/>
      <c r="BMV226" s="412"/>
      <c r="BMW226" s="412"/>
      <c r="BMX226" s="412"/>
      <c r="BMY226" s="412"/>
      <c r="BMZ226" s="412"/>
      <c r="BNA226" s="412"/>
      <c r="BNB226" s="412"/>
      <c r="BNC226" s="412"/>
      <c r="BND226" s="412"/>
      <c r="BNE226" s="412"/>
      <c r="BNF226" s="412"/>
      <c r="BNG226" s="412"/>
      <c r="BNH226" s="412"/>
      <c r="BNI226" s="412"/>
      <c r="BNJ226" s="412"/>
      <c r="BNK226" s="412"/>
      <c r="BNL226" s="412"/>
      <c r="BNM226" s="412"/>
      <c r="BNN226" s="412"/>
      <c r="BNO226" s="412"/>
      <c r="BNP226" s="412"/>
      <c r="BNQ226" s="412"/>
      <c r="BNR226" s="412"/>
      <c r="BNS226" s="412"/>
      <c r="BNT226" s="412"/>
      <c r="BNU226" s="412"/>
      <c r="BNV226" s="412"/>
      <c r="BNW226" s="412"/>
      <c r="BNX226" s="412"/>
      <c r="BNY226" s="412"/>
      <c r="BNZ226" s="412"/>
      <c r="BOA226" s="412"/>
      <c r="BOB226" s="412"/>
      <c r="BOC226" s="412"/>
      <c r="BOD226" s="412"/>
      <c r="BOE226" s="412"/>
      <c r="BOF226" s="412"/>
      <c r="BOG226" s="412"/>
      <c r="BOH226" s="412"/>
      <c r="BOI226" s="412"/>
      <c r="BOJ226" s="412"/>
      <c r="BOK226" s="412"/>
      <c r="BOL226" s="412"/>
      <c r="BOM226" s="412"/>
      <c r="BON226" s="412"/>
      <c r="BOO226" s="412"/>
      <c r="BOP226" s="412"/>
      <c r="BOQ226" s="412"/>
      <c r="BOR226" s="412"/>
      <c r="BOS226" s="412"/>
      <c r="BOT226" s="412"/>
      <c r="BOU226" s="412"/>
      <c r="BOV226" s="412"/>
      <c r="BOW226" s="412"/>
      <c r="BOX226" s="412"/>
      <c r="BOY226" s="412"/>
      <c r="BOZ226" s="412"/>
      <c r="BPA226" s="412"/>
      <c r="BPB226" s="412"/>
      <c r="BPC226" s="412"/>
      <c r="BPD226" s="412"/>
      <c r="BPE226" s="412"/>
      <c r="BPF226" s="412"/>
      <c r="BPG226" s="412"/>
      <c r="BPH226" s="412"/>
      <c r="BPI226" s="412"/>
      <c r="BPJ226" s="412"/>
      <c r="BPK226" s="412"/>
      <c r="BPL226" s="412"/>
      <c r="BPM226" s="412"/>
      <c r="BPN226" s="412"/>
      <c r="BPO226" s="412"/>
      <c r="BPP226" s="412"/>
      <c r="BPQ226" s="412"/>
      <c r="BPR226" s="412"/>
      <c r="BPS226" s="412"/>
      <c r="BPT226" s="412"/>
      <c r="BPU226" s="412"/>
      <c r="BPV226" s="412"/>
      <c r="BPW226" s="412"/>
      <c r="BPX226" s="412"/>
      <c r="BPY226" s="412"/>
      <c r="BPZ226" s="412"/>
      <c r="BQA226" s="412"/>
      <c r="BQB226" s="412"/>
      <c r="BQC226" s="412"/>
      <c r="BQD226" s="412"/>
      <c r="BQE226" s="412"/>
      <c r="BQF226" s="412"/>
      <c r="BQG226" s="412"/>
      <c r="BQH226" s="412"/>
      <c r="BQI226" s="412"/>
      <c r="BQJ226" s="412"/>
      <c r="BQK226" s="412"/>
      <c r="BQL226" s="412"/>
      <c r="BQM226" s="412"/>
      <c r="BQN226" s="412"/>
      <c r="BQO226" s="412"/>
      <c r="BQP226" s="412"/>
      <c r="BQQ226" s="412"/>
      <c r="BQR226" s="412"/>
      <c r="BQS226" s="412"/>
      <c r="BQT226" s="412"/>
      <c r="BQU226" s="412"/>
      <c r="BQV226" s="412"/>
      <c r="BQW226" s="412"/>
      <c r="BQX226" s="412"/>
      <c r="BQY226" s="412"/>
      <c r="BQZ226" s="412"/>
      <c r="BRA226" s="412"/>
      <c r="BRB226" s="412"/>
      <c r="BRC226" s="412"/>
      <c r="BRD226" s="412"/>
      <c r="BRE226" s="412"/>
      <c r="BRF226" s="412"/>
      <c r="BRG226" s="412"/>
      <c r="BRH226" s="412"/>
      <c r="BRI226" s="412"/>
      <c r="BRJ226" s="412"/>
      <c r="BRK226" s="412"/>
      <c r="BRL226" s="412"/>
      <c r="BRM226" s="412"/>
      <c r="BRN226" s="412"/>
      <c r="BRO226" s="412"/>
      <c r="BRP226" s="412"/>
      <c r="BRQ226" s="412"/>
      <c r="BRR226" s="412"/>
      <c r="BRS226" s="412"/>
      <c r="BRT226" s="412"/>
      <c r="BRU226" s="412"/>
      <c r="BRV226" s="412"/>
      <c r="BRW226" s="412"/>
      <c r="BRX226" s="412"/>
      <c r="BRY226" s="412"/>
      <c r="BRZ226" s="412"/>
      <c r="BSA226" s="412"/>
      <c r="BSB226" s="412"/>
      <c r="BSC226" s="412"/>
      <c r="BSD226" s="412"/>
      <c r="BSE226" s="412"/>
      <c r="BSF226" s="412"/>
      <c r="BSG226" s="412"/>
      <c r="BSH226" s="412"/>
      <c r="BSI226" s="412"/>
      <c r="BSJ226" s="412"/>
      <c r="BSK226" s="412"/>
      <c r="BSL226" s="412"/>
      <c r="BSM226" s="412"/>
      <c r="BSN226" s="412"/>
      <c r="BSO226" s="412"/>
      <c r="BSP226" s="412"/>
      <c r="BSQ226" s="412"/>
      <c r="BSR226" s="412"/>
      <c r="BSS226" s="412"/>
      <c r="BST226" s="412"/>
      <c r="BSU226" s="412"/>
      <c r="BSV226" s="412"/>
      <c r="BSW226" s="412"/>
      <c r="BSX226" s="412"/>
      <c r="BSY226" s="412"/>
      <c r="BSZ226" s="412"/>
      <c r="BTA226" s="412"/>
      <c r="BTB226" s="412"/>
      <c r="BTC226" s="412"/>
      <c r="BTD226" s="412"/>
      <c r="BTE226" s="412"/>
      <c r="BTF226" s="412"/>
      <c r="BTG226" s="412"/>
      <c r="BTH226" s="412"/>
      <c r="BTI226" s="412"/>
    </row>
    <row r="227" spans="1:1881" s="320" customFormat="1" ht="141" customHeight="1" x14ac:dyDescent="0.25">
      <c r="A227" s="189">
        <v>541</v>
      </c>
      <c r="B227" s="151" t="s">
        <v>66</v>
      </c>
      <c r="C227" s="183" t="s">
        <v>224</v>
      </c>
      <c r="D227" s="251" t="s">
        <v>893</v>
      </c>
      <c r="E227" s="32" t="e">
        <f>HLOOKUP($D$2,'2019 Data(H)'!$C$1:$CG$300,191,FALSE)</f>
        <v>#N/A</v>
      </c>
      <c r="F227" s="746"/>
      <c r="G227" s="413"/>
      <c r="H227" s="17"/>
      <c r="I227" s="298"/>
      <c r="J227" s="368"/>
      <c r="K227" s="412"/>
      <c r="L227" s="412"/>
      <c r="M227" s="412"/>
      <c r="N227"/>
      <c r="O227" s="412"/>
      <c r="P227" s="412"/>
      <c r="Q227" s="412"/>
      <c r="R227" s="412"/>
      <c r="S227" s="412"/>
      <c r="T227" s="412"/>
      <c r="U227" s="412"/>
      <c r="V227" s="412"/>
      <c r="W227" s="412"/>
      <c r="X227" s="412"/>
      <c r="Y227" s="412"/>
      <c r="Z227" s="412"/>
      <c r="AA227" s="412"/>
      <c r="AB227" s="412"/>
      <c r="AC227" s="412"/>
      <c r="AD227" s="412"/>
      <c r="AE227" s="412"/>
      <c r="AF227" s="412"/>
      <c r="AG227" s="412"/>
      <c r="AH227" s="412"/>
      <c r="AI227" s="412"/>
      <c r="AJ227" s="412"/>
      <c r="AK227" s="412"/>
      <c r="AL227" s="412"/>
      <c r="AM227" s="412"/>
      <c r="AN227" s="412"/>
      <c r="AO227" s="412"/>
      <c r="AP227" s="412"/>
      <c r="AQ227" s="412"/>
      <c r="AR227" s="412"/>
      <c r="AS227" s="412"/>
      <c r="AT227" s="412"/>
      <c r="AU227" s="412"/>
      <c r="AV227" s="412"/>
      <c r="AW227" s="412"/>
      <c r="AX227" s="412"/>
      <c r="AY227" s="412"/>
      <c r="AZ227" s="412"/>
      <c r="BA227" s="412"/>
      <c r="BB227" s="412"/>
      <c r="BC227" s="412"/>
      <c r="BD227" s="412"/>
      <c r="BE227" s="412"/>
      <c r="BF227" s="412"/>
      <c r="BG227" s="412"/>
      <c r="BH227" s="412"/>
      <c r="BI227" s="412"/>
      <c r="BJ227" s="412"/>
      <c r="BK227" s="412"/>
      <c r="BL227" s="412"/>
      <c r="BM227" s="412"/>
      <c r="BN227" s="412"/>
      <c r="BO227" s="412"/>
      <c r="BP227" s="412"/>
      <c r="BQ227" s="412"/>
      <c r="BR227" s="412"/>
      <c r="BS227" s="412"/>
      <c r="BT227" s="412"/>
      <c r="BU227" s="412"/>
      <c r="BV227" s="412"/>
      <c r="BW227" s="412"/>
      <c r="BX227" s="412"/>
      <c r="BY227" s="412"/>
      <c r="BZ227" s="412"/>
      <c r="CA227" s="412"/>
      <c r="CB227" s="412"/>
      <c r="CC227" s="412"/>
      <c r="CD227" s="412"/>
      <c r="CE227" s="412"/>
      <c r="CF227" s="412"/>
      <c r="CG227" s="412"/>
      <c r="CH227" s="412"/>
      <c r="CI227" s="412"/>
      <c r="CJ227" s="412"/>
      <c r="CK227" s="412"/>
      <c r="CL227" s="412"/>
      <c r="CM227" s="412"/>
      <c r="CN227" s="412"/>
      <c r="CO227" s="412"/>
      <c r="CP227" s="412"/>
      <c r="CQ227" s="412"/>
      <c r="CR227" s="412"/>
      <c r="CS227" s="412"/>
      <c r="CT227" s="412"/>
      <c r="CU227" s="412"/>
      <c r="CV227" s="412"/>
      <c r="CW227" s="412"/>
      <c r="CX227" s="412"/>
      <c r="CY227" s="412"/>
      <c r="CZ227" s="412"/>
      <c r="DA227" s="412"/>
      <c r="DB227" s="412"/>
      <c r="DC227" s="412"/>
      <c r="DD227" s="412"/>
      <c r="DE227" s="412"/>
      <c r="DF227" s="412"/>
      <c r="DG227" s="412"/>
      <c r="DH227" s="412"/>
      <c r="DI227" s="412"/>
      <c r="DJ227" s="412"/>
      <c r="DK227" s="412"/>
      <c r="DL227" s="412"/>
      <c r="DM227" s="412"/>
      <c r="DN227" s="412"/>
      <c r="DO227" s="412"/>
      <c r="DP227" s="412"/>
      <c r="DQ227" s="412"/>
      <c r="DR227" s="412"/>
      <c r="DS227" s="412"/>
      <c r="DT227" s="412"/>
      <c r="DU227" s="412"/>
      <c r="DV227" s="412"/>
      <c r="DW227" s="412"/>
      <c r="DX227" s="412"/>
      <c r="DY227" s="412"/>
      <c r="DZ227" s="412"/>
      <c r="EA227" s="412"/>
      <c r="EB227" s="412"/>
      <c r="EC227" s="412"/>
      <c r="ED227" s="412"/>
      <c r="EE227" s="412"/>
      <c r="EF227" s="412"/>
      <c r="EG227" s="412"/>
      <c r="EH227" s="412"/>
      <c r="EI227" s="412"/>
      <c r="EJ227" s="412"/>
      <c r="EK227" s="412"/>
      <c r="EL227" s="412"/>
      <c r="EM227" s="412"/>
      <c r="EN227" s="412"/>
      <c r="EO227" s="412"/>
      <c r="EP227" s="412"/>
      <c r="EQ227" s="412"/>
      <c r="ER227" s="412"/>
      <c r="ES227" s="412"/>
      <c r="ET227" s="412"/>
      <c r="EU227" s="412"/>
      <c r="EV227" s="412"/>
      <c r="EW227" s="412"/>
      <c r="EX227" s="412"/>
      <c r="EY227" s="412"/>
      <c r="EZ227" s="412"/>
      <c r="FA227" s="412"/>
      <c r="FB227" s="412"/>
      <c r="FC227" s="412"/>
      <c r="FD227" s="412"/>
      <c r="FE227" s="412"/>
      <c r="FF227" s="412"/>
      <c r="FG227" s="412"/>
      <c r="FH227" s="412"/>
      <c r="FI227" s="412"/>
      <c r="FJ227" s="412"/>
      <c r="FK227" s="412"/>
      <c r="FL227" s="412"/>
      <c r="FM227" s="412"/>
      <c r="FN227" s="412"/>
      <c r="FO227" s="412"/>
      <c r="FP227" s="412"/>
      <c r="FQ227" s="412"/>
      <c r="FR227" s="412"/>
      <c r="FS227" s="412"/>
      <c r="FT227" s="412"/>
      <c r="FU227" s="412"/>
      <c r="FV227" s="412"/>
      <c r="FW227" s="412"/>
      <c r="FX227" s="412"/>
      <c r="FY227" s="412"/>
      <c r="FZ227" s="412"/>
      <c r="GA227" s="412"/>
      <c r="GB227" s="412"/>
      <c r="GC227" s="412"/>
      <c r="GD227" s="412"/>
      <c r="GE227" s="412"/>
      <c r="GF227" s="412"/>
      <c r="GG227" s="412"/>
      <c r="GH227" s="412"/>
      <c r="GI227" s="412"/>
      <c r="GJ227" s="412"/>
      <c r="GK227" s="412"/>
      <c r="GL227" s="412"/>
      <c r="GM227" s="412"/>
      <c r="GN227" s="412"/>
      <c r="GO227" s="412"/>
      <c r="GP227" s="412"/>
      <c r="GQ227" s="412"/>
      <c r="GR227" s="412"/>
      <c r="GS227" s="412"/>
      <c r="GT227" s="412"/>
      <c r="GU227" s="412"/>
      <c r="GV227" s="412"/>
      <c r="GW227" s="412"/>
      <c r="GX227" s="412"/>
      <c r="GY227" s="412"/>
      <c r="GZ227" s="412"/>
      <c r="HA227" s="412"/>
      <c r="HB227" s="412"/>
      <c r="HC227" s="412"/>
      <c r="HD227" s="412"/>
      <c r="HE227" s="412"/>
      <c r="HF227" s="412"/>
      <c r="HG227" s="412"/>
      <c r="HH227" s="412"/>
      <c r="HI227" s="412"/>
      <c r="HJ227" s="412"/>
      <c r="HK227" s="412"/>
      <c r="HL227" s="412"/>
      <c r="HM227" s="412"/>
      <c r="HN227" s="412"/>
      <c r="HO227" s="412"/>
      <c r="HP227" s="412"/>
      <c r="HQ227" s="412"/>
      <c r="HR227" s="412"/>
      <c r="HS227" s="412"/>
      <c r="HT227" s="412"/>
      <c r="HU227" s="412"/>
      <c r="HV227" s="412"/>
      <c r="HW227" s="412"/>
      <c r="HX227" s="412"/>
      <c r="HY227" s="412"/>
      <c r="HZ227" s="412"/>
      <c r="IA227" s="412"/>
      <c r="IB227" s="412"/>
      <c r="IC227" s="412"/>
      <c r="ID227" s="412"/>
      <c r="IE227" s="412"/>
      <c r="IF227" s="412"/>
      <c r="IG227" s="412"/>
      <c r="IH227" s="412"/>
      <c r="II227" s="412"/>
      <c r="IJ227" s="412"/>
      <c r="IK227" s="412"/>
      <c r="IL227" s="412"/>
      <c r="IM227" s="412"/>
      <c r="IN227" s="412"/>
      <c r="IO227" s="412"/>
      <c r="IP227" s="412"/>
      <c r="IQ227" s="412"/>
      <c r="IR227" s="412"/>
      <c r="IS227" s="412"/>
      <c r="IT227" s="412"/>
      <c r="IU227" s="412"/>
      <c r="IV227" s="412"/>
      <c r="IW227" s="412"/>
      <c r="IX227" s="412"/>
      <c r="IY227" s="412"/>
      <c r="IZ227" s="412"/>
      <c r="JA227" s="412"/>
      <c r="JB227" s="412"/>
      <c r="JC227" s="412"/>
      <c r="JD227" s="412"/>
      <c r="JE227" s="412"/>
      <c r="JF227" s="412"/>
      <c r="JG227" s="412"/>
      <c r="JH227" s="412"/>
      <c r="JI227" s="412"/>
      <c r="JJ227" s="412"/>
      <c r="JK227" s="412"/>
      <c r="JL227" s="412"/>
      <c r="JM227" s="412"/>
      <c r="JN227" s="412"/>
      <c r="JO227" s="412"/>
      <c r="JP227" s="412"/>
      <c r="JQ227" s="412"/>
      <c r="JR227" s="412"/>
      <c r="JS227" s="412"/>
      <c r="JT227" s="412"/>
      <c r="JU227" s="412"/>
      <c r="JV227" s="412"/>
      <c r="JW227" s="412"/>
      <c r="JX227" s="412"/>
      <c r="JY227" s="412"/>
      <c r="JZ227" s="412"/>
      <c r="KA227" s="412"/>
      <c r="KB227" s="412"/>
      <c r="KC227" s="412"/>
      <c r="KD227" s="412"/>
      <c r="KE227" s="412"/>
      <c r="KF227" s="412"/>
      <c r="KG227" s="412"/>
      <c r="KH227" s="412"/>
      <c r="KI227" s="412"/>
      <c r="KJ227" s="412"/>
      <c r="KK227" s="412"/>
      <c r="KL227" s="412"/>
      <c r="KM227" s="412"/>
      <c r="KN227" s="412"/>
      <c r="KO227" s="412"/>
      <c r="KP227" s="412"/>
      <c r="KQ227" s="412"/>
      <c r="KR227" s="412"/>
      <c r="KS227" s="412"/>
      <c r="KT227" s="412"/>
      <c r="KU227" s="412"/>
      <c r="KV227" s="412"/>
      <c r="KW227" s="412"/>
      <c r="KX227" s="412"/>
      <c r="KY227" s="412"/>
      <c r="KZ227" s="412"/>
      <c r="LA227" s="412"/>
      <c r="LB227" s="412"/>
      <c r="LC227" s="412"/>
      <c r="LD227" s="412"/>
      <c r="LE227" s="412"/>
      <c r="LF227" s="412"/>
      <c r="LG227" s="412"/>
      <c r="LH227" s="412"/>
      <c r="LI227" s="412"/>
      <c r="LJ227" s="412"/>
      <c r="LK227" s="412"/>
      <c r="LL227" s="412"/>
      <c r="LM227" s="412"/>
      <c r="LN227" s="412"/>
      <c r="LO227" s="412"/>
      <c r="LP227" s="412"/>
      <c r="LQ227" s="412"/>
      <c r="LR227" s="412"/>
      <c r="LS227" s="412"/>
      <c r="LT227" s="412"/>
      <c r="LU227" s="412"/>
      <c r="LV227" s="412"/>
      <c r="LW227" s="412"/>
      <c r="LX227" s="412"/>
      <c r="LY227" s="412"/>
      <c r="LZ227" s="412"/>
      <c r="MA227" s="412"/>
      <c r="MB227" s="412"/>
      <c r="MC227" s="412"/>
      <c r="MD227" s="412"/>
      <c r="ME227" s="412"/>
      <c r="MF227" s="412"/>
      <c r="MG227" s="412"/>
      <c r="MH227" s="412"/>
      <c r="MI227" s="412"/>
      <c r="MJ227" s="412"/>
      <c r="MK227" s="412"/>
      <c r="ML227" s="412"/>
      <c r="MM227" s="412"/>
      <c r="MN227" s="412"/>
      <c r="MO227" s="412"/>
      <c r="MP227" s="412"/>
      <c r="MQ227" s="412"/>
      <c r="MR227" s="412"/>
      <c r="MS227" s="412"/>
      <c r="MT227" s="412"/>
      <c r="MU227" s="412"/>
      <c r="MV227" s="412"/>
      <c r="MW227" s="412"/>
      <c r="MX227" s="412"/>
      <c r="MY227" s="412"/>
      <c r="MZ227" s="412"/>
      <c r="NA227" s="412"/>
      <c r="NB227" s="412"/>
      <c r="NC227" s="412"/>
      <c r="ND227" s="412"/>
      <c r="NE227" s="412"/>
      <c r="NF227" s="412"/>
      <c r="NG227" s="412"/>
      <c r="NH227" s="412"/>
      <c r="NI227" s="412"/>
      <c r="NJ227" s="412"/>
      <c r="NK227" s="412"/>
      <c r="NL227" s="412"/>
      <c r="NM227" s="412"/>
      <c r="NN227" s="412"/>
      <c r="NO227" s="412"/>
      <c r="NP227" s="412"/>
      <c r="NQ227" s="412"/>
      <c r="NR227" s="412"/>
      <c r="NS227" s="412"/>
      <c r="NT227" s="412"/>
      <c r="NU227" s="412"/>
      <c r="NV227" s="412"/>
      <c r="NW227" s="412"/>
      <c r="NX227" s="412"/>
      <c r="NY227" s="412"/>
      <c r="NZ227" s="412"/>
      <c r="OA227" s="412"/>
      <c r="OB227" s="412"/>
      <c r="OC227" s="412"/>
      <c r="OD227" s="412"/>
      <c r="OE227" s="412"/>
      <c r="OF227" s="412"/>
      <c r="OG227" s="412"/>
      <c r="OH227" s="412"/>
      <c r="OI227" s="412"/>
      <c r="OJ227" s="412"/>
      <c r="OK227" s="412"/>
      <c r="OL227" s="412"/>
      <c r="OM227" s="412"/>
      <c r="ON227" s="412"/>
      <c r="OO227" s="412"/>
      <c r="OP227" s="412"/>
      <c r="OQ227" s="412"/>
      <c r="OR227" s="412"/>
      <c r="OS227" s="412"/>
      <c r="OT227" s="412"/>
      <c r="OU227" s="412"/>
      <c r="OV227" s="412"/>
      <c r="OW227" s="412"/>
      <c r="OX227" s="412"/>
      <c r="OY227" s="412"/>
      <c r="OZ227" s="412"/>
      <c r="PA227" s="412"/>
      <c r="PB227" s="412"/>
      <c r="PC227" s="412"/>
      <c r="PD227" s="412"/>
      <c r="PE227" s="412"/>
      <c r="PF227" s="412"/>
      <c r="PG227" s="412"/>
      <c r="PH227" s="412"/>
      <c r="PI227" s="412"/>
      <c r="PJ227" s="412"/>
      <c r="PK227" s="412"/>
      <c r="PL227" s="412"/>
      <c r="PM227" s="412"/>
      <c r="PN227" s="412"/>
      <c r="PO227" s="412"/>
      <c r="PP227" s="412"/>
      <c r="PQ227" s="412"/>
      <c r="PR227" s="412"/>
      <c r="PS227" s="412"/>
      <c r="PT227" s="412"/>
      <c r="PU227" s="412"/>
      <c r="PV227" s="412"/>
      <c r="PW227" s="412"/>
      <c r="PX227" s="412"/>
      <c r="PY227" s="412"/>
      <c r="PZ227" s="412"/>
      <c r="QA227" s="412"/>
      <c r="QB227" s="412"/>
      <c r="QC227" s="412"/>
      <c r="QD227" s="412"/>
      <c r="QE227" s="412"/>
      <c r="QF227" s="412"/>
      <c r="QG227" s="412"/>
      <c r="QH227" s="412"/>
      <c r="QI227" s="412"/>
      <c r="QJ227" s="412"/>
      <c r="QK227" s="412"/>
      <c r="QL227" s="412"/>
      <c r="QM227" s="412"/>
      <c r="QN227" s="412"/>
      <c r="QO227" s="412"/>
      <c r="QP227" s="412"/>
      <c r="QQ227" s="412"/>
      <c r="QR227" s="412"/>
      <c r="QS227" s="412"/>
      <c r="QT227" s="412"/>
      <c r="QU227" s="412"/>
      <c r="QV227" s="412"/>
      <c r="QW227" s="412"/>
      <c r="QX227" s="412"/>
      <c r="QY227" s="412"/>
      <c r="QZ227" s="412"/>
      <c r="RA227" s="412"/>
      <c r="RB227" s="412"/>
      <c r="RC227" s="412"/>
      <c r="RD227" s="412"/>
      <c r="RE227" s="412"/>
      <c r="RF227" s="412"/>
      <c r="RG227" s="412"/>
      <c r="RH227" s="412"/>
      <c r="RI227" s="412"/>
      <c r="RJ227" s="412"/>
      <c r="RK227" s="412"/>
      <c r="RL227" s="412"/>
      <c r="RM227" s="412"/>
      <c r="RN227" s="412"/>
      <c r="RO227" s="412"/>
      <c r="RP227" s="412"/>
      <c r="RQ227" s="412"/>
      <c r="RR227" s="412"/>
      <c r="RS227" s="412"/>
      <c r="RT227" s="412"/>
      <c r="RU227" s="412"/>
      <c r="RV227" s="412"/>
      <c r="RW227" s="412"/>
      <c r="RX227" s="412"/>
      <c r="RY227" s="412"/>
      <c r="RZ227" s="412"/>
      <c r="SA227" s="412"/>
      <c r="SB227" s="412"/>
      <c r="SC227" s="412"/>
      <c r="SD227" s="412"/>
      <c r="SE227" s="412"/>
      <c r="SF227" s="412"/>
      <c r="SG227" s="412"/>
      <c r="SH227" s="412"/>
      <c r="SI227" s="412"/>
      <c r="SJ227" s="412"/>
      <c r="SK227" s="412"/>
      <c r="SL227" s="412"/>
      <c r="SM227" s="412"/>
      <c r="SN227" s="412"/>
      <c r="SO227" s="412"/>
      <c r="SP227" s="412"/>
      <c r="SQ227" s="412"/>
      <c r="SR227" s="412"/>
      <c r="SS227" s="412"/>
      <c r="ST227" s="412"/>
      <c r="SU227" s="412"/>
      <c r="SV227" s="412"/>
      <c r="SW227" s="412"/>
      <c r="SX227" s="412"/>
      <c r="SY227" s="412"/>
      <c r="SZ227" s="412"/>
      <c r="TA227" s="412"/>
      <c r="TB227" s="412"/>
      <c r="TC227" s="412"/>
      <c r="TD227" s="412"/>
      <c r="TE227" s="412"/>
      <c r="TF227" s="412"/>
      <c r="TG227" s="412"/>
      <c r="TH227" s="412"/>
      <c r="TI227" s="412"/>
      <c r="TJ227" s="412"/>
      <c r="TK227" s="412"/>
      <c r="TL227" s="412"/>
      <c r="TM227" s="412"/>
      <c r="TN227" s="412"/>
      <c r="TO227" s="412"/>
      <c r="TP227" s="412"/>
      <c r="TQ227" s="412"/>
      <c r="TR227" s="412"/>
      <c r="TS227" s="412"/>
      <c r="TT227" s="412"/>
      <c r="TU227" s="412"/>
      <c r="TV227" s="412"/>
      <c r="TW227" s="412"/>
      <c r="TX227" s="412"/>
      <c r="TY227" s="412"/>
      <c r="TZ227" s="412"/>
      <c r="UA227" s="412"/>
      <c r="UB227" s="412"/>
      <c r="UC227" s="412"/>
      <c r="UD227" s="412"/>
      <c r="UE227" s="412"/>
      <c r="UF227" s="412"/>
      <c r="UG227" s="412"/>
      <c r="UH227" s="412"/>
      <c r="UI227" s="412"/>
      <c r="UJ227" s="412"/>
      <c r="UK227" s="412"/>
      <c r="UL227" s="412"/>
      <c r="UM227" s="412"/>
      <c r="UN227" s="412"/>
      <c r="UO227" s="412"/>
      <c r="UP227" s="412"/>
      <c r="UQ227" s="412"/>
      <c r="UR227" s="412"/>
      <c r="US227" s="412"/>
      <c r="UT227" s="412"/>
      <c r="UU227" s="412"/>
      <c r="UV227" s="412"/>
      <c r="UW227" s="412"/>
      <c r="UX227" s="412"/>
      <c r="UY227" s="412"/>
      <c r="UZ227" s="412"/>
      <c r="VA227" s="412"/>
      <c r="VB227" s="412"/>
      <c r="VC227" s="412"/>
      <c r="VD227" s="412"/>
      <c r="VE227" s="412"/>
      <c r="VF227" s="412"/>
      <c r="VG227" s="412"/>
      <c r="VH227" s="412"/>
      <c r="VI227" s="412"/>
      <c r="VJ227" s="412"/>
      <c r="VK227" s="412"/>
      <c r="VL227" s="412"/>
      <c r="VM227" s="412"/>
      <c r="VN227" s="412"/>
      <c r="VO227" s="412"/>
      <c r="VP227" s="412"/>
      <c r="VQ227" s="412"/>
      <c r="VR227" s="412"/>
      <c r="VS227" s="412"/>
      <c r="VT227" s="412"/>
      <c r="VU227" s="412"/>
      <c r="VV227" s="412"/>
      <c r="VW227" s="412"/>
      <c r="VX227" s="412"/>
      <c r="VY227" s="412"/>
      <c r="VZ227" s="412"/>
      <c r="WA227" s="412"/>
      <c r="WB227" s="412"/>
      <c r="WC227" s="412"/>
      <c r="WD227" s="412"/>
      <c r="WE227" s="412"/>
      <c r="WF227" s="412"/>
      <c r="WG227" s="412"/>
      <c r="WH227" s="412"/>
      <c r="WI227" s="412"/>
      <c r="WJ227" s="412"/>
      <c r="WK227" s="412"/>
      <c r="WL227" s="412"/>
      <c r="WM227" s="412"/>
      <c r="WN227" s="412"/>
      <c r="WO227" s="412"/>
      <c r="WP227" s="412"/>
      <c r="WQ227" s="412"/>
      <c r="WR227" s="412"/>
      <c r="WS227" s="412"/>
      <c r="WT227" s="412"/>
      <c r="WU227" s="412"/>
      <c r="WV227" s="412"/>
      <c r="WW227" s="412"/>
      <c r="WX227" s="412"/>
      <c r="WY227" s="412"/>
      <c r="WZ227" s="412"/>
      <c r="XA227" s="412"/>
      <c r="XB227" s="412"/>
      <c r="XC227" s="412"/>
      <c r="XD227" s="412"/>
      <c r="XE227" s="412"/>
      <c r="XF227" s="412"/>
      <c r="XG227" s="412"/>
      <c r="XH227" s="412"/>
      <c r="XI227" s="412"/>
      <c r="XJ227" s="412"/>
      <c r="XK227" s="412"/>
      <c r="XL227" s="412"/>
      <c r="XM227" s="412"/>
      <c r="XN227" s="412"/>
      <c r="XO227" s="412"/>
      <c r="XP227" s="412"/>
      <c r="XQ227" s="412"/>
      <c r="XR227" s="412"/>
      <c r="XS227" s="412"/>
      <c r="XT227" s="412"/>
      <c r="XU227" s="412"/>
      <c r="XV227" s="412"/>
      <c r="XW227" s="412"/>
      <c r="XX227" s="412"/>
      <c r="XY227" s="412"/>
      <c r="XZ227" s="412"/>
      <c r="YA227" s="412"/>
      <c r="YB227" s="412"/>
      <c r="YC227" s="412"/>
      <c r="YD227" s="412"/>
      <c r="YE227" s="412"/>
      <c r="YF227" s="412"/>
      <c r="YG227" s="412"/>
      <c r="YH227" s="412"/>
      <c r="YI227" s="412"/>
      <c r="YJ227" s="412"/>
      <c r="YK227" s="412"/>
      <c r="YL227" s="412"/>
      <c r="YM227" s="412"/>
      <c r="YN227" s="412"/>
      <c r="YO227" s="412"/>
      <c r="YP227" s="412"/>
      <c r="YQ227" s="412"/>
      <c r="YR227" s="412"/>
      <c r="YS227" s="412"/>
      <c r="YT227" s="412"/>
      <c r="YU227" s="412"/>
      <c r="YV227" s="412"/>
      <c r="YW227" s="412"/>
      <c r="YX227" s="412"/>
      <c r="YY227" s="412"/>
      <c r="YZ227" s="412"/>
      <c r="ZA227" s="412"/>
      <c r="ZB227" s="412"/>
      <c r="ZC227" s="412"/>
      <c r="ZD227" s="412"/>
      <c r="ZE227" s="412"/>
      <c r="ZF227" s="412"/>
      <c r="ZG227" s="412"/>
      <c r="ZH227" s="412"/>
      <c r="ZI227" s="412"/>
      <c r="ZJ227" s="412"/>
      <c r="ZK227" s="412"/>
      <c r="ZL227" s="412"/>
      <c r="ZM227" s="412"/>
      <c r="ZN227" s="412"/>
      <c r="ZO227" s="412"/>
      <c r="ZP227" s="412"/>
      <c r="ZQ227" s="412"/>
      <c r="ZR227" s="412"/>
      <c r="ZS227" s="412"/>
      <c r="ZT227" s="412"/>
      <c r="ZU227" s="412"/>
      <c r="ZV227" s="412"/>
      <c r="ZW227" s="412"/>
      <c r="ZX227" s="412"/>
      <c r="ZY227" s="412"/>
      <c r="ZZ227" s="412"/>
      <c r="AAA227" s="412"/>
      <c r="AAB227" s="412"/>
      <c r="AAC227" s="412"/>
      <c r="AAD227" s="412"/>
      <c r="AAE227" s="412"/>
      <c r="AAF227" s="412"/>
      <c r="AAG227" s="412"/>
      <c r="AAH227" s="412"/>
      <c r="AAI227" s="412"/>
      <c r="AAJ227" s="412"/>
      <c r="AAK227" s="412"/>
      <c r="AAL227" s="412"/>
      <c r="AAM227" s="412"/>
      <c r="AAN227" s="412"/>
      <c r="AAO227" s="412"/>
      <c r="AAP227" s="412"/>
      <c r="AAQ227" s="412"/>
      <c r="AAR227" s="412"/>
      <c r="AAS227" s="412"/>
      <c r="AAT227" s="412"/>
      <c r="AAU227" s="412"/>
      <c r="AAV227" s="412"/>
      <c r="AAW227" s="412"/>
      <c r="AAX227" s="412"/>
      <c r="AAY227" s="412"/>
      <c r="AAZ227" s="412"/>
      <c r="ABA227" s="412"/>
      <c r="ABB227" s="412"/>
      <c r="ABC227" s="412"/>
      <c r="ABD227" s="412"/>
      <c r="ABE227" s="412"/>
      <c r="ABF227" s="412"/>
      <c r="ABG227" s="412"/>
      <c r="ABH227" s="412"/>
      <c r="ABI227" s="412"/>
      <c r="ABJ227" s="412"/>
      <c r="ABK227" s="412"/>
      <c r="ABL227" s="412"/>
      <c r="ABM227" s="412"/>
      <c r="ABN227" s="412"/>
      <c r="ABO227" s="412"/>
      <c r="ABP227" s="412"/>
      <c r="ABQ227" s="412"/>
      <c r="ABR227" s="412"/>
      <c r="ABS227" s="412"/>
      <c r="ABT227" s="412"/>
      <c r="ABU227" s="412"/>
      <c r="ABV227" s="412"/>
      <c r="ABW227" s="412"/>
      <c r="ABX227" s="412"/>
      <c r="ABY227" s="412"/>
      <c r="ABZ227" s="412"/>
      <c r="ACA227" s="412"/>
      <c r="ACB227" s="412"/>
      <c r="ACC227" s="412"/>
      <c r="ACD227" s="412"/>
      <c r="ACE227" s="412"/>
      <c r="ACF227" s="412"/>
      <c r="ACG227" s="412"/>
      <c r="ACH227" s="412"/>
      <c r="ACI227" s="412"/>
      <c r="ACJ227" s="412"/>
      <c r="ACK227" s="412"/>
      <c r="ACL227" s="412"/>
      <c r="ACM227" s="412"/>
      <c r="ACN227" s="412"/>
      <c r="ACO227" s="412"/>
      <c r="ACP227" s="412"/>
      <c r="ACQ227" s="412"/>
      <c r="ACR227" s="412"/>
      <c r="ACS227" s="412"/>
      <c r="ACT227" s="412"/>
      <c r="ACU227" s="412"/>
      <c r="ACV227" s="412"/>
      <c r="ACW227" s="412"/>
      <c r="ACX227" s="412"/>
      <c r="ACY227" s="412"/>
      <c r="ACZ227" s="412"/>
      <c r="ADA227" s="412"/>
      <c r="ADB227" s="412"/>
      <c r="ADC227" s="412"/>
      <c r="ADD227" s="412"/>
      <c r="ADE227" s="412"/>
      <c r="ADF227" s="412"/>
      <c r="ADG227" s="412"/>
      <c r="ADH227" s="412"/>
      <c r="ADI227" s="412"/>
      <c r="ADJ227" s="412"/>
      <c r="ADK227" s="412"/>
      <c r="ADL227" s="412"/>
      <c r="ADM227" s="412"/>
      <c r="ADN227" s="412"/>
      <c r="ADO227" s="412"/>
      <c r="ADP227" s="412"/>
      <c r="ADQ227" s="412"/>
      <c r="ADR227" s="412"/>
      <c r="ADS227" s="412"/>
      <c r="ADT227" s="412"/>
      <c r="ADU227" s="412"/>
      <c r="ADV227" s="412"/>
      <c r="ADW227" s="412"/>
      <c r="ADX227" s="412"/>
      <c r="ADY227" s="412"/>
      <c r="ADZ227" s="412"/>
      <c r="AEA227" s="412"/>
      <c r="AEB227" s="412"/>
      <c r="AEC227" s="412"/>
      <c r="AED227" s="412"/>
      <c r="AEE227" s="412"/>
      <c r="AEF227" s="412"/>
      <c r="AEG227" s="412"/>
      <c r="AEH227" s="412"/>
      <c r="AEI227" s="412"/>
      <c r="AEJ227" s="412"/>
      <c r="AEK227" s="412"/>
      <c r="AEL227" s="412"/>
      <c r="AEM227" s="412"/>
      <c r="AEN227" s="412"/>
      <c r="AEO227" s="412"/>
      <c r="AEP227" s="412"/>
      <c r="AEQ227" s="412"/>
      <c r="AER227" s="412"/>
      <c r="AES227" s="412"/>
      <c r="AET227" s="412"/>
      <c r="AEU227" s="412"/>
      <c r="AEV227" s="412"/>
      <c r="AEW227" s="412"/>
      <c r="AEX227" s="412"/>
      <c r="AEY227" s="412"/>
      <c r="AEZ227" s="412"/>
      <c r="AFA227" s="412"/>
      <c r="AFB227" s="412"/>
      <c r="AFC227" s="412"/>
      <c r="AFD227" s="412"/>
      <c r="AFE227" s="412"/>
      <c r="AFF227" s="412"/>
      <c r="AFG227" s="412"/>
      <c r="AFH227" s="412"/>
      <c r="AFI227" s="412"/>
      <c r="AFJ227" s="412"/>
      <c r="AFK227" s="412"/>
      <c r="AFL227" s="412"/>
      <c r="AFM227" s="412"/>
      <c r="AFN227" s="412"/>
      <c r="AFO227" s="412"/>
      <c r="AFP227" s="412"/>
      <c r="AFQ227" s="412"/>
      <c r="AFR227" s="412"/>
      <c r="AFS227" s="412"/>
      <c r="AFT227" s="412"/>
      <c r="AFU227" s="412"/>
      <c r="AFV227" s="412"/>
      <c r="AFW227" s="412"/>
      <c r="AFX227" s="412"/>
      <c r="AFY227" s="412"/>
      <c r="AFZ227" s="412"/>
      <c r="AGA227" s="412"/>
      <c r="AGB227" s="412"/>
      <c r="AGC227" s="412"/>
      <c r="AGD227" s="412"/>
      <c r="AGE227" s="412"/>
      <c r="AGF227" s="412"/>
      <c r="AGG227" s="412"/>
      <c r="AGH227" s="412"/>
      <c r="AGI227" s="412"/>
      <c r="AGJ227" s="412"/>
      <c r="AGK227" s="412"/>
      <c r="AGL227" s="412"/>
      <c r="AGM227" s="412"/>
      <c r="AGN227" s="412"/>
      <c r="AGO227" s="412"/>
      <c r="AGP227" s="412"/>
      <c r="AGQ227" s="412"/>
      <c r="AGR227" s="412"/>
      <c r="AGS227" s="412"/>
      <c r="AGT227" s="412"/>
      <c r="AGU227" s="412"/>
      <c r="AGV227" s="412"/>
      <c r="AGW227" s="412"/>
      <c r="AGX227" s="412"/>
      <c r="AGY227" s="412"/>
      <c r="AGZ227" s="412"/>
      <c r="AHA227" s="412"/>
      <c r="AHB227" s="412"/>
      <c r="AHC227" s="412"/>
      <c r="AHD227" s="412"/>
      <c r="AHE227" s="412"/>
      <c r="AHF227" s="412"/>
      <c r="AHG227" s="412"/>
      <c r="AHH227" s="412"/>
      <c r="AHI227" s="412"/>
      <c r="AHJ227" s="412"/>
      <c r="AHK227" s="412"/>
      <c r="AHL227" s="412"/>
      <c r="AHM227" s="412"/>
      <c r="AHN227" s="412"/>
      <c r="AHO227" s="412"/>
      <c r="AHP227" s="412"/>
      <c r="AHQ227" s="412"/>
      <c r="AHR227" s="412"/>
      <c r="AHS227" s="412"/>
      <c r="AHT227" s="412"/>
      <c r="AHU227" s="412"/>
      <c r="AHV227" s="412"/>
      <c r="AHW227" s="412"/>
      <c r="AHX227" s="412"/>
      <c r="AHY227" s="412"/>
      <c r="AHZ227" s="412"/>
      <c r="AIA227" s="412"/>
      <c r="AIB227" s="412"/>
      <c r="AIC227" s="412"/>
      <c r="AID227" s="412"/>
      <c r="AIE227" s="412"/>
      <c r="AIF227" s="412"/>
      <c r="AIG227" s="412"/>
      <c r="AIH227" s="412"/>
      <c r="AII227" s="412"/>
      <c r="AIJ227" s="412"/>
      <c r="AIK227" s="412"/>
      <c r="AIL227" s="412"/>
      <c r="AIM227" s="412"/>
      <c r="AIN227" s="412"/>
      <c r="AIO227" s="412"/>
      <c r="AIP227" s="412"/>
      <c r="AIQ227" s="412"/>
      <c r="AIR227" s="412"/>
      <c r="AIS227" s="412"/>
      <c r="AIT227" s="412"/>
      <c r="AIU227" s="412"/>
      <c r="AIV227" s="412"/>
      <c r="AIW227" s="412"/>
      <c r="AIX227" s="412"/>
      <c r="AIY227" s="412"/>
      <c r="AIZ227" s="412"/>
      <c r="AJA227" s="412"/>
      <c r="AJB227" s="412"/>
      <c r="AJC227" s="412"/>
      <c r="AJD227" s="412"/>
      <c r="AJE227" s="412"/>
      <c r="AJF227" s="412"/>
      <c r="AJG227" s="412"/>
      <c r="AJH227" s="412"/>
      <c r="AJI227" s="412"/>
      <c r="AJJ227" s="412"/>
      <c r="AJK227" s="412"/>
      <c r="AJL227" s="412"/>
      <c r="AJM227" s="412"/>
      <c r="AJN227" s="412"/>
      <c r="AJO227" s="412"/>
      <c r="AJP227" s="412"/>
      <c r="AJQ227" s="412"/>
      <c r="AJR227" s="412"/>
      <c r="AJS227" s="412"/>
      <c r="AJT227" s="412"/>
      <c r="AJU227" s="412"/>
      <c r="AJV227" s="412"/>
      <c r="AJW227" s="412"/>
      <c r="AJX227" s="412"/>
      <c r="AJY227" s="412"/>
      <c r="AJZ227" s="412"/>
      <c r="AKA227" s="412"/>
      <c r="AKB227" s="412"/>
      <c r="AKC227" s="412"/>
      <c r="AKD227" s="412"/>
      <c r="AKE227" s="412"/>
      <c r="AKF227" s="412"/>
      <c r="AKG227" s="412"/>
      <c r="AKH227" s="412"/>
      <c r="AKI227" s="412"/>
      <c r="AKJ227" s="412"/>
      <c r="AKK227" s="412"/>
      <c r="AKL227" s="412"/>
      <c r="AKM227" s="412"/>
      <c r="AKN227" s="412"/>
      <c r="AKO227" s="412"/>
      <c r="AKP227" s="412"/>
      <c r="AKQ227" s="412"/>
      <c r="AKR227" s="412"/>
      <c r="AKS227" s="412"/>
      <c r="AKT227" s="412"/>
      <c r="AKU227" s="412"/>
      <c r="AKV227" s="412"/>
      <c r="AKW227" s="412"/>
      <c r="AKX227" s="412"/>
      <c r="AKY227" s="412"/>
      <c r="AKZ227" s="412"/>
      <c r="ALA227" s="412"/>
      <c r="ALB227" s="412"/>
      <c r="ALC227" s="412"/>
      <c r="ALD227" s="412"/>
      <c r="ALE227" s="412"/>
      <c r="ALF227" s="412"/>
      <c r="ALG227" s="412"/>
      <c r="ALH227" s="412"/>
      <c r="ALI227" s="412"/>
      <c r="ALJ227" s="412"/>
      <c r="ALK227" s="412"/>
      <c r="ALL227" s="412"/>
      <c r="ALM227" s="412"/>
      <c r="ALN227" s="412"/>
      <c r="ALO227" s="412"/>
      <c r="ALP227" s="412"/>
      <c r="ALQ227" s="412"/>
      <c r="ALR227" s="412"/>
      <c r="ALS227" s="412"/>
      <c r="ALT227" s="412"/>
      <c r="ALU227" s="412"/>
      <c r="ALV227" s="412"/>
      <c r="ALW227" s="412"/>
      <c r="ALX227" s="412"/>
      <c r="ALY227" s="412"/>
      <c r="ALZ227" s="412"/>
      <c r="AMA227" s="412"/>
      <c r="AMB227" s="412"/>
      <c r="AMC227" s="412"/>
      <c r="AMD227" s="412"/>
      <c r="AME227" s="412"/>
      <c r="AMF227" s="412"/>
      <c r="AMG227" s="412"/>
      <c r="AMH227" s="412"/>
      <c r="AMI227" s="412"/>
      <c r="AMJ227" s="412"/>
      <c r="AMK227" s="412"/>
      <c r="AML227" s="412"/>
      <c r="AMM227" s="412"/>
      <c r="AMN227" s="412"/>
      <c r="AMO227" s="412"/>
      <c r="AMP227" s="412"/>
      <c r="AMQ227" s="412"/>
      <c r="AMR227" s="412"/>
      <c r="AMS227" s="412"/>
      <c r="AMT227" s="412"/>
      <c r="AMU227" s="412"/>
      <c r="AMV227" s="412"/>
      <c r="AMW227" s="412"/>
      <c r="AMX227" s="412"/>
      <c r="AMY227" s="412"/>
      <c r="AMZ227" s="412"/>
      <c r="ANA227" s="412"/>
      <c r="ANB227" s="412"/>
      <c r="ANC227" s="412"/>
      <c r="AND227" s="412"/>
      <c r="ANE227" s="412"/>
      <c r="ANF227" s="412"/>
      <c r="ANG227" s="412"/>
      <c r="ANH227" s="412"/>
      <c r="ANI227" s="412"/>
      <c r="ANJ227" s="412"/>
      <c r="ANK227" s="412"/>
      <c r="ANL227" s="412"/>
      <c r="ANM227" s="412"/>
      <c r="ANN227" s="412"/>
      <c r="ANO227" s="412"/>
      <c r="ANP227" s="412"/>
      <c r="ANQ227" s="412"/>
      <c r="ANR227" s="412"/>
      <c r="ANS227" s="412"/>
      <c r="ANT227" s="412"/>
      <c r="ANU227" s="412"/>
      <c r="ANV227" s="412"/>
      <c r="ANW227" s="412"/>
      <c r="ANX227" s="412"/>
      <c r="ANY227" s="412"/>
      <c r="ANZ227" s="412"/>
      <c r="AOA227" s="412"/>
      <c r="AOB227" s="412"/>
      <c r="AOC227" s="412"/>
      <c r="AOD227" s="412"/>
      <c r="AOE227" s="412"/>
      <c r="AOF227" s="412"/>
      <c r="AOG227" s="412"/>
      <c r="AOH227" s="412"/>
      <c r="AOI227" s="412"/>
      <c r="AOJ227" s="412"/>
      <c r="AOK227" s="412"/>
      <c r="AOL227" s="412"/>
      <c r="AOM227" s="412"/>
      <c r="AON227" s="412"/>
      <c r="AOO227" s="412"/>
      <c r="AOP227" s="412"/>
      <c r="AOQ227" s="412"/>
      <c r="AOR227" s="412"/>
      <c r="AOS227" s="412"/>
      <c r="AOT227" s="412"/>
      <c r="AOU227" s="412"/>
      <c r="AOV227" s="412"/>
      <c r="AOW227" s="412"/>
      <c r="AOX227" s="412"/>
      <c r="AOY227" s="412"/>
      <c r="AOZ227" s="412"/>
      <c r="APA227" s="412"/>
      <c r="APB227" s="412"/>
      <c r="APC227" s="412"/>
      <c r="APD227" s="412"/>
      <c r="APE227" s="412"/>
      <c r="APF227" s="412"/>
      <c r="APG227" s="412"/>
      <c r="APH227" s="412"/>
      <c r="API227" s="412"/>
      <c r="APJ227" s="412"/>
      <c r="APK227" s="412"/>
      <c r="APL227" s="412"/>
      <c r="APM227" s="412"/>
      <c r="APN227" s="412"/>
      <c r="APO227" s="412"/>
      <c r="APP227" s="412"/>
      <c r="APQ227" s="412"/>
      <c r="APR227" s="412"/>
      <c r="APS227" s="412"/>
      <c r="APT227" s="412"/>
      <c r="APU227" s="412"/>
      <c r="APV227" s="412"/>
      <c r="APW227" s="412"/>
      <c r="APX227" s="412"/>
      <c r="APY227" s="412"/>
      <c r="APZ227" s="412"/>
      <c r="AQA227" s="412"/>
      <c r="AQB227" s="412"/>
      <c r="AQC227" s="412"/>
      <c r="AQD227" s="412"/>
      <c r="AQE227" s="412"/>
      <c r="AQF227" s="412"/>
      <c r="AQG227" s="412"/>
      <c r="AQH227" s="412"/>
      <c r="AQI227" s="412"/>
      <c r="AQJ227" s="412"/>
      <c r="AQK227" s="412"/>
      <c r="AQL227" s="412"/>
      <c r="AQM227" s="412"/>
      <c r="AQN227" s="412"/>
      <c r="AQO227" s="412"/>
      <c r="AQP227" s="412"/>
      <c r="AQQ227" s="412"/>
      <c r="AQR227" s="412"/>
      <c r="AQS227" s="412"/>
      <c r="AQT227" s="412"/>
      <c r="AQU227" s="412"/>
      <c r="AQV227" s="412"/>
      <c r="AQW227" s="412"/>
      <c r="AQX227" s="412"/>
      <c r="AQY227" s="412"/>
      <c r="AQZ227" s="412"/>
      <c r="ARA227" s="412"/>
      <c r="ARB227" s="412"/>
      <c r="ARC227" s="412"/>
      <c r="ARD227" s="412"/>
      <c r="ARE227" s="412"/>
      <c r="ARF227" s="412"/>
      <c r="ARG227" s="412"/>
      <c r="ARH227" s="412"/>
      <c r="ARI227" s="412"/>
      <c r="ARJ227" s="412"/>
      <c r="ARK227" s="412"/>
      <c r="ARL227" s="412"/>
      <c r="ARM227" s="412"/>
      <c r="ARN227" s="412"/>
      <c r="ARO227" s="412"/>
      <c r="ARP227" s="412"/>
      <c r="ARQ227" s="412"/>
      <c r="ARR227" s="412"/>
      <c r="ARS227" s="412"/>
      <c r="ART227" s="412"/>
      <c r="ARU227" s="412"/>
      <c r="ARV227" s="412"/>
      <c r="ARW227" s="412"/>
      <c r="ARX227" s="412"/>
      <c r="ARY227" s="412"/>
      <c r="ARZ227" s="412"/>
      <c r="ASA227" s="412"/>
      <c r="ASB227" s="412"/>
      <c r="ASC227" s="412"/>
      <c r="ASD227" s="412"/>
      <c r="ASE227" s="412"/>
      <c r="ASF227" s="412"/>
      <c r="ASG227" s="412"/>
      <c r="ASH227" s="412"/>
      <c r="ASI227" s="412"/>
      <c r="ASJ227" s="412"/>
      <c r="ASK227" s="412"/>
      <c r="ASL227" s="412"/>
      <c r="ASM227" s="412"/>
      <c r="ASN227" s="412"/>
      <c r="ASO227" s="412"/>
      <c r="ASP227" s="412"/>
      <c r="ASQ227" s="412"/>
      <c r="ASR227" s="412"/>
      <c r="ASS227" s="412"/>
      <c r="AST227" s="412"/>
      <c r="ASU227" s="412"/>
      <c r="ASV227" s="412"/>
      <c r="ASW227" s="412"/>
      <c r="ASX227" s="412"/>
      <c r="ASY227" s="412"/>
      <c r="ASZ227" s="412"/>
      <c r="ATA227" s="412"/>
      <c r="ATB227" s="412"/>
      <c r="ATC227" s="412"/>
      <c r="ATD227" s="412"/>
      <c r="ATE227" s="412"/>
      <c r="ATF227" s="412"/>
      <c r="ATG227" s="412"/>
      <c r="ATH227" s="412"/>
      <c r="ATI227" s="412"/>
      <c r="ATJ227" s="412"/>
      <c r="ATK227" s="412"/>
      <c r="ATL227" s="412"/>
      <c r="ATM227" s="412"/>
      <c r="ATN227" s="412"/>
      <c r="ATO227" s="412"/>
      <c r="ATP227" s="412"/>
      <c r="ATQ227" s="412"/>
      <c r="ATR227" s="412"/>
      <c r="ATS227" s="412"/>
      <c r="ATT227" s="412"/>
      <c r="ATU227" s="412"/>
      <c r="ATV227" s="412"/>
      <c r="ATW227" s="412"/>
      <c r="ATX227" s="412"/>
      <c r="ATY227" s="412"/>
      <c r="ATZ227" s="412"/>
      <c r="AUA227" s="412"/>
      <c r="AUB227" s="412"/>
      <c r="AUC227" s="412"/>
      <c r="AUD227" s="412"/>
      <c r="AUE227" s="412"/>
      <c r="AUF227" s="412"/>
      <c r="AUG227" s="412"/>
      <c r="AUH227" s="412"/>
      <c r="AUI227" s="412"/>
      <c r="AUJ227" s="412"/>
      <c r="AUK227" s="412"/>
      <c r="AUL227" s="412"/>
      <c r="AUM227" s="412"/>
      <c r="AUN227" s="412"/>
      <c r="AUO227" s="412"/>
      <c r="AUP227" s="412"/>
      <c r="AUQ227" s="412"/>
      <c r="AUR227" s="412"/>
      <c r="AUS227" s="412"/>
      <c r="AUT227" s="412"/>
      <c r="AUU227" s="412"/>
      <c r="AUV227" s="412"/>
      <c r="AUW227" s="412"/>
      <c r="AUX227" s="412"/>
      <c r="AUY227" s="412"/>
      <c r="AUZ227" s="412"/>
      <c r="AVA227" s="412"/>
      <c r="AVB227" s="412"/>
      <c r="AVC227" s="412"/>
      <c r="AVD227" s="412"/>
      <c r="AVE227" s="412"/>
      <c r="AVF227" s="412"/>
      <c r="AVG227" s="412"/>
      <c r="AVH227" s="412"/>
      <c r="AVI227" s="412"/>
      <c r="AVJ227" s="412"/>
      <c r="AVK227" s="412"/>
      <c r="AVL227" s="412"/>
      <c r="AVM227" s="412"/>
      <c r="AVN227" s="412"/>
      <c r="AVO227" s="412"/>
      <c r="AVP227" s="412"/>
      <c r="AVQ227" s="412"/>
      <c r="AVR227" s="412"/>
      <c r="AVS227" s="412"/>
      <c r="AVT227" s="412"/>
      <c r="AVU227" s="412"/>
      <c r="AVV227" s="412"/>
      <c r="AVW227" s="412"/>
      <c r="AVX227" s="412"/>
      <c r="AVY227" s="412"/>
      <c r="AVZ227" s="412"/>
      <c r="AWA227" s="412"/>
      <c r="AWB227" s="412"/>
      <c r="AWC227" s="412"/>
      <c r="AWD227" s="412"/>
      <c r="AWE227" s="412"/>
      <c r="AWF227" s="412"/>
      <c r="AWG227" s="412"/>
      <c r="AWH227" s="412"/>
      <c r="AWI227" s="412"/>
      <c r="AWJ227" s="412"/>
      <c r="AWK227" s="412"/>
      <c r="AWL227" s="412"/>
      <c r="AWM227" s="412"/>
      <c r="AWN227" s="412"/>
      <c r="AWO227" s="412"/>
      <c r="AWP227" s="412"/>
      <c r="AWQ227" s="412"/>
      <c r="AWR227" s="412"/>
      <c r="AWS227" s="412"/>
      <c r="AWT227" s="412"/>
      <c r="AWU227" s="412"/>
      <c r="AWV227" s="412"/>
      <c r="AWW227" s="412"/>
      <c r="AWX227" s="412"/>
      <c r="AWY227" s="412"/>
      <c r="AWZ227" s="412"/>
      <c r="AXA227" s="412"/>
      <c r="AXB227" s="412"/>
      <c r="AXC227" s="412"/>
      <c r="AXD227" s="412"/>
      <c r="AXE227" s="412"/>
      <c r="AXF227" s="412"/>
      <c r="AXG227" s="412"/>
      <c r="AXH227" s="412"/>
      <c r="AXI227" s="412"/>
      <c r="AXJ227" s="412"/>
      <c r="AXK227" s="412"/>
      <c r="AXL227" s="412"/>
      <c r="AXM227" s="412"/>
      <c r="AXN227" s="412"/>
      <c r="AXO227" s="412"/>
      <c r="AXP227" s="412"/>
      <c r="AXQ227" s="412"/>
      <c r="AXR227" s="412"/>
      <c r="AXS227" s="412"/>
      <c r="AXT227" s="412"/>
      <c r="AXU227" s="412"/>
      <c r="AXV227" s="412"/>
      <c r="AXW227" s="412"/>
      <c r="AXX227" s="412"/>
      <c r="AXY227" s="412"/>
      <c r="AXZ227" s="412"/>
      <c r="AYA227" s="412"/>
      <c r="AYB227" s="412"/>
      <c r="AYC227" s="412"/>
      <c r="AYD227" s="412"/>
      <c r="AYE227" s="412"/>
      <c r="AYF227" s="412"/>
      <c r="AYG227" s="412"/>
      <c r="AYH227" s="412"/>
      <c r="AYI227" s="412"/>
      <c r="AYJ227" s="412"/>
      <c r="AYK227" s="412"/>
      <c r="AYL227" s="412"/>
      <c r="AYM227" s="412"/>
      <c r="AYN227" s="412"/>
      <c r="AYO227" s="412"/>
      <c r="AYP227" s="412"/>
      <c r="AYQ227" s="412"/>
      <c r="AYR227" s="412"/>
      <c r="AYS227" s="412"/>
      <c r="AYT227" s="412"/>
      <c r="AYU227" s="412"/>
      <c r="AYV227" s="412"/>
      <c r="AYW227" s="412"/>
      <c r="AYX227" s="412"/>
      <c r="AYY227" s="412"/>
      <c r="AYZ227" s="412"/>
      <c r="AZA227" s="412"/>
      <c r="AZB227" s="412"/>
      <c r="AZC227" s="412"/>
      <c r="AZD227" s="412"/>
      <c r="AZE227" s="412"/>
      <c r="AZF227" s="412"/>
      <c r="AZG227" s="412"/>
      <c r="AZH227" s="412"/>
      <c r="AZI227" s="412"/>
      <c r="AZJ227" s="412"/>
      <c r="AZK227" s="412"/>
      <c r="AZL227" s="412"/>
      <c r="AZM227" s="412"/>
      <c r="AZN227" s="412"/>
      <c r="AZO227" s="412"/>
      <c r="AZP227" s="412"/>
      <c r="AZQ227" s="412"/>
      <c r="AZR227" s="412"/>
      <c r="AZS227" s="412"/>
      <c r="AZT227" s="412"/>
      <c r="AZU227" s="412"/>
      <c r="AZV227" s="412"/>
      <c r="AZW227" s="412"/>
      <c r="AZX227" s="412"/>
      <c r="AZY227" s="412"/>
      <c r="AZZ227" s="412"/>
      <c r="BAA227" s="412"/>
      <c r="BAB227" s="412"/>
      <c r="BAC227" s="412"/>
      <c r="BAD227" s="412"/>
      <c r="BAE227" s="412"/>
      <c r="BAF227" s="412"/>
      <c r="BAG227" s="412"/>
      <c r="BAH227" s="412"/>
      <c r="BAI227" s="412"/>
      <c r="BAJ227" s="412"/>
      <c r="BAK227" s="412"/>
      <c r="BAL227" s="412"/>
      <c r="BAM227" s="412"/>
      <c r="BAN227" s="412"/>
      <c r="BAO227" s="412"/>
      <c r="BAP227" s="412"/>
      <c r="BAQ227" s="412"/>
      <c r="BAR227" s="412"/>
      <c r="BAS227" s="412"/>
      <c r="BAT227" s="412"/>
      <c r="BAU227" s="412"/>
      <c r="BAV227" s="412"/>
      <c r="BAW227" s="412"/>
      <c r="BAX227" s="412"/>
      <c r="BAY227" s="412"/>
      <c r="BAZ227" s="412"/>
      <c r="BBA227" s="412"/>
      <c r="BBB227" s="412"/>
      <c r="BBC227" s="412"/>
      <c r="BBD227" s="412"/>
      <c r="BBE227" s="412"/>
      <c r="BBF227" s="412"/>
      <c r="BBG227" s="412"/>
      <c r="BBH227" s="412"/>
      <c r="BBI227" s="412"/>
      <c r="BBJ227" s="412"/>
      <c r="BBK227" s="412"/>
      <c r="BBL227" s="412"/>
      <c r="BBM227" s="412"/>
      <c r="BBN227" s="412"/>
      <c r="BBO227" s="412"/>
      <c r="BBP227" s="412"/>
      <c r="BBQ227" s="412"/>
      <c r="BBR227" s="412"/>
      <c r="BBS227" s="412"/>
      <c r="BBT227" s="412"/>
      <c r="BBU227" s="412"/>
      <c r="BBV227" s="412"/>
      <c r="BBW227" s="412"/>
      <c r="BBX227" s="412"/>
      <c r="BBY227" s="412"/>
      <c r="BBZ227" s="412"/>
      <c r="BCA227" s="412"/>
      <c r="BCB227" s="412"/>
      <c r="BCC227" s="412"/>
      <c r="BCD227" s="412"/>
      <c r="BCE227" s="412"/>
      <c r="BCF227" s="412"/>
      <c r="BCG227" s="412"/>
      <c r="BCH227" s="412"/>
      <c r="BCI227" s="412"/>
      <c r="BCJ227" s="412"/>
      <c r="BCK227" s="412"/>
      <c r="BCL227" s="412"/>
      <c r="BCM227" s="412"/>
      <c r="BCN227" s="412"/>
      <c r="BCO227" s="412"/>
      <c r="BCP227" s="412"/>
      <c r="BCQ227" s="412"/>
      <c r="BCR227" s="412"/>
      <c r="BCS227" s="412"/>
      <c r="BCT227" s="412"/>
      <c r="BCU227" s="412"/>
      <c r="BCV227" s="412"/>
      <c r="BCW227" s="412"/>
      <c r="BCX227" s="412"/>
      <c r="BCY227" s="412"/>
      <c r="BCZ227" s="412"/>
      <c r="BDA227" s="412"/>
      <c r="BDB227" s="412"/>
      <c r="BDC227" s="412"/>
      <c r="BDD227" s="412"/>
      <c r="BDE227" s="412"/>
      <c r="BDF227" s="412"/>
      <c r="BDG227" s="412"/>
      <c r="BDH227" s="412"/>
      <c r="BDI227" s="412"/>
      <c r="BDJ227" s="412"/>
      <c r="BDK227" s="412"/>
      <c r="BDL227" s="412"/>
      <c r="BDM227" s="412"/>
      <c r="BDN227" s="412"/>
      <c r="BDO227" s="412"/>
      <c r="BDP227" s="412"/>
      <c r="BDQ227" s="412"/>
      <c r="BDR227" s="412"/>
      <c r="BDS227" s="412"/>
      <c r="BDT227" s="412"/>
      <c r="BDU227" s="412"/>
      <c r="BDV227" s="412"/>
      <c r="BDW227" s="412"/>
      <c r="BDX227" s="412"/>
      <c r="BDY227" s="412"/>
      <c r="BDZ227" s="412"/>
      <c r="BEA227" s="412"/>
      <c r="BEB227" s="412"/>
      <c r="BEC227" s="412"/>
      <c r="BED227" s="412"/>
      <c r="BEE227" s="412"/>
      <c r="BEF227" s="412"/>
      <c r="BEG227" s="412"/>
      <c r="BEH227" s="412"/>
      <c r="BEI227" s="412"/>
      <c r="BEJ227" s="412"/>
      <c r="BEK227" s="412"/>
      <c r="BEL227" s="412"/>
      <c r="BEM227" s="412"/>
      <c r="BEN227" s="412"/>
      <c r="BEO227" s="412"/>
      <c r="BEP227" s="412"/>
      <c r="BEQ227" s="412"/>
      <c r="BER227" s="412"/>
      <c r="BES227" s="412"/>
      <c r="BET227" s="412"/>
      <c r="BEU227" s="412"/>
      <c r="BEV227" s="412"/>
      <c r="BEW227" s="412"/>
      <c r="BEX227" s="412"/>
      <c r="BEY227" s="412"/>
      <c r="BEZ227" s="412"/>
      <c r="BFA227" s="412"/>
      <c r="BFB227" s="412"/>
      <c r="BFC227" s="412"/>
      <c r="BFD227" s="412"/>
      <c r="BFE227" s="412"/>
      <c r="BFF227" s="412"/>
      <c r="BFG227" s="412"/>
      <c r="BFH227" s="412"/>
      <c r="BFI227" s="412"/>
      <c r="BFJ227" s="412"/>
      <c r="BFK227" s="412"/>
      <c r="BFL227" s="412"/>
      <c r="BFM227" s="412"/>
      <c r="BFN227" s="412"/>
      <c r="BFO227" s="412"/>
      <c r="BFP227" s="412"/>
      <c r="BFQ227" s="412"/>
      <c r="BFR227" s="412"/>
      <c r="BFS227" s="412"/>
      <c r="BFT227" s="412"/>
      <c r="BFU227" s="412"/>
      <c r="BFV227" s="412"/>
      <c r="BFW227" s="412"/>
      <c r="BFX227" s="412"/>
      <c r="BFY227" s="412"/>
      <c r="BFZ227" s="412"/>
      <c r="BGA227" s="412"/>
      <c r="BGB227" s="412"/>
      <c r="BGC227" s="412"/>
      <c r="BGD227" s="412"/>
      <c r="BGE227" s="412"/>
      <c r="BGF227" s="412"/>
      <c r="BGG227" s="412"/>
      <c r="BGH227" s="412"/>
      <c r="BGI227" s="412"/>
      <c r="BGJ227" s="412"/>
      <c r="BGK227" s="412"/>
      <c r="BGL227" s="412"/>
      <c r="BGM227" s="412"/>
      <c r="BGN227" s="412"/>
      <c r="BGO227" s="412"/>
      <c r="BGP227" s="412"/>
      <c r="BGQ227" s="412"/>
      <c r="BGR227" s="412"/>
      <c r="BGS227" s="412"/>
      <c r="BGT227" s="412"/>
      <c r="BGU227" s="412"/>
      <c r="BGV227" s="412"/>
      <c r="BGW227" s="412"/>
      <c r="BGX227" s="412"/>
      <c r="BGY227" s="412"/>
      <c r="BGZ227" s="412"/>
      <c r="BHA227" s="412"/>
      <c r="BHB227" s="412"/>
      <c r="BHC227" s="412"/>
      <c r="BHD227" s="412"/>
      <c r="BHE227" s="412"/>
      <c r="BHF227" s="412"/>
      <c r="BHG227" s="412"/>
      <c r="BHH227" s="412"/>
      <c r="BHI227" s="412"/>
      <c r="BHJ227" s="412"/>
      <c r="BHK227" s="412"/>
      <c r="BHL227" s="412"/>
      <c r="BHM227" s="412"/>
      <c r="BHN227" s="412"/>
      <c r="BHO227" s="412"/>
      <c r="BHP227" s="412"/>
      <c r="BHQ227" s="412"/>
      <c r="BHR227" s="412"/>
      <c r="BHS227" s="412"/>
      <c r="BHT227" s="412"/>
      <c r="BHU227" s="412"/>
      <c r="BHV227" s="412"/>
      <c r="BHW227" s="412"/>
      <c r="BHX227" s="412"/>
      <c r="BHY227" s="412"/>
      <c r="BHZ227" s="412"/>
      <c r="BIA227" s="412"/>
      <c r="BIB227" s="412"/>
      <c r="BIC227" s="412"/>
      <c r="BID227" s="412"/>
      <c r="BIE227" s="412"/>
      <c r="BIF227" s="412"/>
      <c r="BIG227" s="412"/>
      <c r="BIH227" s="412"/>
      <c r="BII227" s="412"/>
      <c r="BIJ227" s="412"/>
      <c r="BIK227" s="412"/>
      <c r="BIL227" s="412"/>
      <c r="BIM227" s="412"/>
      <c r="BIN227" s="412"/>
      <c r="BIO227" s="412"/>
      <c r="BIP227" s="412"/>
      <c r="BIQ227" s="412"/>
      <c r="BIR227" s="412"/>
      <c r="BIS227" s="412"/>
      <c r="BIT227" s="412"/>
      <c r="BIU227" s="412"/>
      <c r="BIV227" s="412"/>
      <c r="BIW227" s="412"/>
      <c r="BIX227" s="412"/>
      <c r="BIY227" s="412"/>
      <c r="BIZ227" s="412"/>
      <c r="BJA227" s="412"/>
      <c r="BJB227" s="412"/>
      <c r="BJC227" s="412"/>
      <c r="BJD227" s="412"/>
      <c r="BJE227" s="412"/>
      <c r="BJF227" s="412"/>
      <c r="BJG227" s="412"/>
      <c r="BJH227" s="412"/>
      <c r="BJI227" s="412"/>
      <c r="BJJ227" s="412"/>
      <c r="BJK227" s="412"/>
      <c r="BJL227" s="412"/>
      <c r="BJM227" s="412"/>
      <c r="BJN227" s="412"/>
      <c r="BJO227" s="412"/>
      <c r="BJP227" s="412"/>
      <c r="BJQ227" s="412"/>
      <c r="BJR227" s="412"/>
      <c r="BJS227" s="412"/>
      <c r="BJT227" s="412"/>
      <c r="BJU227" s="412"/>
      <c r="BJV227" s="412"/>
      <c r="BJW227" s="412"/>
      <c r="BJX227" s="412"/>
      <c r="BJY227" s="412"/>
      <c r="BJZ227" s="412"/>
      <c r="BKA227" s="412"/>
      <c r="BKB227" s="412"/>
      <c r="BKC227" s="412"/>
      <c r="BKD227" s="412"/>
      <c r="BKE227" s="412"/>
      <c r="BKF227" s="412"/>
      <c r="BKG227" s="412"/>
      <c r="BKH227" s="412"/>
      <c r="BKI227" s="412"/>
      <c r="BKJ227" s="412"/>
      <c r="BKK227" s="412"/>
      <c r="BKL227" s="412"/>
      <c r="BKM227" s="412"/>
      <c r="BKN227" s="412"/>
      <c r="BKO227" s="412"/>
      <c r="BKP227" s="412"/>
      <c r="BKQ227" s="412"/>
      <c r="BKR227" s="412"/>
      <c r="BKS227" s="412"/>
      <c r="BKT227" s="412"/>
      <c r="BKU227" s="412"/>
      <c r="BKV227" s="412"/>
      <c r="BKW227" s="412"/>
      <c r="BKX227" s="412"/>
      <c r="BKY227" s="412"/>
      <c r="BKZ227" s="412"/>
      <c r="BLA227" s="412"/>
      <c r="BLB227" s="412"/>
      <c r="BLC227" s="412"/>
      <c r="BLD227" s="412"/>
      <c r="BLE227" s="412"/>
      <c r="BLF227" s="412"/>
      <c r="BLG227" s="412"/>
      <c r="BLH227" s="412"/>
      <c r="BLI227" s="412"/>
      <c r="BLJ227" s="412"/>
      <c r="BLK227" s="412"/>
      <c r="BLL227" s="412"/>
      <c r="BLM227" s="412"/>
      <c r="BLN227" s="412"/>
      <c r="BLO227" s="412"/>
      <c r="BLP227" s="412"/>
      <c r="BLQ227" s="412"/>
      <c r="BLR227" s="412"/>
      <c r="BLS227" s="412"/>
      <c r="BLT227" s="412"/>
      <c r="BLU227" s="412"/>
      <c r="BLV227" s="412"/>
      <c r="BLW227" s="412"/>
      <c r="BLX227" s="412"/>
      <c r="BLY227" s="412"/>
      <c r="BLZ227" s="412"/>
      <c r="BMA227" s="412"/>
      <c r="BMB227" s="412"/>
      <c r="BMC227" s="412"/>
      <c r="BMD227" s="412"/>
      <c r="BME227" s="412"/>
      <c r="BMF227" s="412"/>
      <c r="BMG227" s="412"/>
      <c r="BMH227" s="412"/>
      <c r="BMI227" s="412"/>
      <c r="BMJ227" s="412"/>
      <c r="BMK227" s="412"/>
      <c r="BML227" s="412"/>
      <c r="BMM227" s="412"/>
      <c r="BMN227" s="412"/>
      <c r="BMO227" s="412"/>
      <c r="BMP227" s="412"/>
      <c r="BMQ227" s="412"/>
      <c r="BMR227" s="412"/>
      <c r="BMS227" s="412"/>
      <c r="BMT227" s="412"/>
      <c r="BMU227" s="412"/>
      <c r="BMV227" s="412"/>
      <c r="BMW227" s="412"/>
      <c r="BMX227" s="412"/>
      <c r="BMY227" s="412"/>
      <c r="BMZ227" s="412"/>
      <c r="BNA227" s="412"/>
      <c r="BNB227" s="412"/>
      <c r="BNC227" s="412"/>
      <c r="BND227" s="412"/>
      <c r="BNE227" s="412"/>
      <c r="BNF227" s="412"/>
      <c r="BNG227" s="412"/>
      <c r="BNH227" s="412"/>
      <c r="BNI227" s="412"/>
      <c r="BNJ227" s="412"/>
      <c r="BNK227" s="412"/>
      <c r="BNL227" s="412"/>
      <c r="BNM227" s="412"/>
      <c r="BNN227" s="412"/>
      <c r="BNO227" s="412"/>
      <c r="BNP227" s="412"/>
      <c r="BNQ227" s="412"/>
      <c r="BNR227" s="412"/>
      <c r="BNS227" s="412"/>
      <c r="BNT227" s="412"/>
      <c r="BNU227" s="412"/>
      <c r="BNV227" s="412"/>
      <c r="BNW227" s="412"/>
      <c r="BNX227" s="412"/>
      <c r="BNY227" s="412"/>
      <c r="BNZ227" s="412"/>
      <c r="BOA227" s="412"/>
      <c r="BOB227" s="412"/>
      <c r="BOC227" s="412"/>
      <c r="BOD227" s="412"/>
      <c r="BOE227" s="412"/>
      <c r="BOF227" s="412"/>
      <c r="BOG227" s="412"/>
      <c r="BOH227" s="412"/>
      <c r="BOI227" s="412"/>
      <c r="BOJ227" s="412"/>
      <c r="BOK227" s="412"/>
      <c r="BOL227" s="412"/>
      <c r="BOM227" s="412"/>
      <c r="BON227" s="412"/>
      <c r="BOO227" s="412"/>
      <c r="BOP227" s="412"/>
      <c r="BOQ227" s="412"/>
      <c r="BOR227" s="412"/>
      <c r="BOS227" s="412"/>
      <c r="BOT227" s="412"/>
      <c r="BOU227" s="412"/>
      <c r="BOV227" s="412"/>
      <c r="BOW227" s="412"/>
      <c r="BOX227" s="412"/>
      <c r="BOY227" s="412"/>
      <c r="BOZ227" s="412"/>
      <c r="BPA227" s="412"/>
      <c r="BPB227" s="412"/>
      <c r="BPC227" s="412"/>
      <c r="BPD227" s="412"/>
      <c r="BPE227" s="412"/>
      <c r="BPF227" s="412"/>
      <c r="BPG227" s="412"/>
      <c r="BPH227" s="412"/>
      <c r="BPI227" s="412"/>
      <c r="BPJ227" s="412"/>
      <c r="BPK227" s="412"/>
      <c r="BPL227" s="412"/>
      <c r="BPM227" s="412"/>
      <c r="BPN227" s="412"/>
      <c r="BPO227" s="412"/>
      <c r="BPP227" s="412"/>
      <c r="BPQ227" s="412"/>
      <c r="BPR227" s="412"/>
      <c r="BPS227" s="412"/>
      <c r="BPT227" s="412"/>
      <c r="BPU227" s="412"/>
      <c r="BPV227" s="412"/>
      <c r="BPW227" s="412"/>
      <c r="BPX227" s="412"/>
      <c r="BPY227" s="412"/>
      <c r="BPZ227" s="412"/>
      <c r="BQA227" s="412"/>
      <c r="BQB227" s="412"/>
      <c r="BQC227" s="412"/>
      <c r="BQD227" s="412"/>
      <c r="BQE227" s="412"/>
      <c r="BQF227" s="412"/>
      <c r="BQG227" s="412"/>
      <c r="BQH227" s="412"/>
      <c r="BQI227" s="412"/>
      <c r="BQJ227" s="412"/>
      <c r="BQK227" s="412"/>
      <c r="BQL227" s="412"/>
      <c r="BQM227" s="412"/>
      <c r="BQN227" s="412"/>
      <c r="BQO227" s="412"/>
      <c r="BQP227" s="412"/>
      <c r="BQQ227" s="412"/>
      <c r="BQR227" s="412"/>
      <c r="BQS227" s="412"/>
      <c r="BQT227" s="412"/>
      <c r="BQU227" s="412"/>
      <c r="BQV227" s="412"/>
      <c r="BQW227" s="412"/>
      <c r="BQX227" s="412"/>
      <c r="BQY227" s="412"/>
      <c r="BQZ227" s="412"/>
      <c r="BRA227" s="412"/>
      <c r="BRB227" s="412"/>
      <c r="BRC227" s="412"/>
      <c r="BRD227" s="412"/>
      <c r="BRE227" s="412"/>
      <c r="BRF227" s="412"/>
      <c r="BRG227" s="412"/>
      <c r="BRH227" s="412"/>
      <c r="BRI227" s="412"/>
      <c r="BRJ227" s="412"/>
      <c r="BRK227" s="412"/>
      <c r="BRL227" s="412"/>
      <c r="BRM227" s="412"/>
      <c r="BRN227" s="412"/>
      <c r="BRO227" s="412"/>
      <c r="BRP227" s="412"/>
      <c r="BRQ227" s="412"/>
      <c r="BRR227" s="412"/>
      <c r="BRS227" s="412"/>
      <c r="BRT227" s="412"/>
      <c r="BRU227" s="412"/>
      <c r="BRV227" s="412"/>
      <c r="BRW227" s="412"/>
      <c r="BRX227" s="412"/>
      <c r="BRY227" s="412"/>
      <c r="BRZ227" s="412"/>
      <c r="BSA227" s="412"/>
      <c r="BSB227" s="412"/>
      <c r="BSC227" s="412"/>
      <c r="BSD227" s="412"/>
      <c r="BSE227" s="412"/>
      <c r="BSF227" s="412"/>
      <c r="BSG227" s="412"/>
      <c r="BSH227" s="412"/>
      <c r="BSI227" s="412"/>
      <c r="BSJ227" s="412"/>
      <c r="BSK227" s="412"/>
      <c r="BSL227" s="412"/>
      <c r="BSM227" s="412"/>
      <c r="BSN227" s="412"/>
      <c r="BSO227" s="412"/>
      <c r="BSP227" s="412"/>
      <c r="BSQ227" s="412"/>
      <c r="BSR227" s="412"/>
      <c r="BSS227" s="412"/>
      <c r="BST227" s="412"/>
      <c r="BSU227" s="412"/>
      <c r="BSV227" s="412"/>
      <c r="BSW227" s="412"/>
      <c r="BSX227" s="412"/>
      <c r="BSY227" s="412"/>
      <c r="BSZ227" s="412"/>
      <c r="BTA227" s="412"/>
      <c r="BTB227" s="412"/>
      <c r="BTC227" s="412"/>
      <c r="BTD227" s="412"/>
      <c r="BTE227" s="412"/>
      <c r="BTF227" s="412"/>
      <c r="BTG227" s="412"/>
      <c r="BTH227" s="412"/>
      <c r="BTI227" s="412"/>
    </row>
    <row r="228" spans="1:1881" s="320" customFormat="1" ht="28.5" customHeight="1" x14ac:dyDescent="0.25">
      <c r="A228" s="189"/>
      <c r="B228" s="161" t="s">
        <v>57</v>
      </c>
      <c r="C228" s="161"/>
      <c r="D228" s="356"/>
      <c r="E228" s="153"/>
      <c r="F228" s="765"/>
      <c r="G228" s="357"/>
      <c r="H228" s="17"/>
      <c r="I228" s="298"/>
      <c r="J228" s="412"/>
      <c r="K228" s="412"/>
      <c r="L228" s="412"/>
      <c r="M228" s="412"/>
      <c r="N228"/>
      <c r="O228" s="412"/>
      <c r="P228" s="412"/>
      <c r="Q228" s="412"/>
      <c r="R228" s="412"/>
      <c r="S228" s="412"/>
      <c r="T228" s="412"/>
      <c r="U228" s="412"/>
      <c r="V228" s="412"/>
      <c r="W228" s="412"/>
      <c r="X228" s="412"/>
      <c r="Y228" s="412"/>
      <c r="Z228" s="412"/>
      <c r="AA228" s="412"/>
      <c r="AB228" s="412"/>
      <c r="AC228" s="412"/>
      <c r="AD228" s="412"/>
      <c r="AE228" s="412"/>
      <c r="AF228" s="412"/>
      <c r="AG228" s="412"/>
      <c r="AH228" s="412"/>
      <c r="AI228" s="412"/>
      <c r="AJ228" s="412"/>
      <c r="AK228" s="412"/>
      <c r="AL228" s="412"/>
      <c r="AM228" s="412"/>
      <c r="AN228" s="412"/>
      <c r="AO228" s="412"/>
      <c r="AP228" s="412"/>
      <c r="AQ228" s="412"/>
      <c r="AR228" s="412"/>
      <c r="AS228" s="412"/>
      <c r="AT228" s="412"/>
      <c r="AU228" s="412"/>
      <c r="AV228" s="412"/>
      <c r="AW228" s="412"/>
      <c r="AX228" s="412"/>
      <c r="AY228" s="412"/>
      <c r="AZ228" s="412"/>
      <c r="BA228" s="412"/>
      <c r="BB228" s="412"/>
      <c r="BC228" s="412"/>
      <c r="BD228" s="412"/>
      <c r="BE228" s="412"/>
      <c r="BF228" s="412"/>
      <c r="BG228" s="412"/>
      <c r="BH228" s="412"/>
      <c r="BI228" s="412"/>
      <c r="BJ228" s="412"/>
      <c r="BK228" s="412"/>
      <c r="BL228" s="412"/>
      <c r="BM228" s="412"/>
      <c r="BN228" s="412"/>
      <c r="BO228" s="412"/>
      <c r="BP228" s="412"/>
      <c r="BQ228" s="412"/>
      <c r="BR228" s="412"/>
      <c r="BS228" s="412"/>
      <c r="BT228" s="412"/>
      <c r="BU228" s="412"/>
      <c r="BV228" s="412"/>
      <c r="BW228" s="412"/>
      <c r="BX228" s="412"/>
      <c r="BY228" s="412"/>
      <c r="BZ228" s="412"/>
      <c r="CA228" s="412"/>
      <c r="CB228" s="412"/>
      <c r="CC228" s="412"/>
      <c r="CD228" s="412"/>
      <c r="CE228" s="412"/>
      <c r="CF228" s="412"/>
      <c r="CG228" s="412"/>
      <c r="CH228" s="412"/>
      <c r="CI228" s="412"/>
      <c r="CJ228" s="412"/>
      <c r="CK228" s="412"/>
      <c r="CL228" s="412"/>
      <c r="CM228" s="412"/>
      <c r="CN228" s="412"/>
      <c r="CO228" s="412"/>
      <c r="CP228" s="412"/>
      <c r="CQ228" s="412"/>
      <c r="CR228" s="412"/>
      <c r="CS228" s="412"/>
      <c r="CT228" s="412"/>
      <c r="CU228" s="412"/>
      <c r="CV228" s="412"/>
      <c r="CW228" s="412"/>
      <c r="CX228" s="412"/>
      <c r="CY228" s="412"/>
      <c r="CZ228" s="412"/>
      <c r="DA228" s="412"/>
      <c r="DB228" s="412"/>
      <c r="DC228" s="412"/>
      <c r="DD228" s="412"/>
      <c r="DE228" s="412"/>
      <c r="DF228" s="412"/>
      <c r="DG228" s="412"/>
      <c r="DH228" s="412"/>
      <c r="DI228" s="412"/>
      <c r="DJ228" s="412"/>
      <c r="DK228" s="412"/>
      <c r="DL228" s="412"/>
      <c r="DM228" s="412"/>
      <c r="DN228" s="412"/>
      <c r="DO228" s="412"/>
      <c r="DP228" s="412"/>
      <c r="DQ228" s="412"/>
      <c r="DR228" s="412"/>
      <c r="DS228" s="412"/>
      <c r="DT228" s="412"/>
      <c r="DU228" s="412"/>
      <c r="DV228" s="412"/>
      <c r="DW228" s="412"/>
      <c r="DX228" s="412"/>
      <c r="DY228" s="412"/>
      <c r="DZ228" s="412"/>
      <c r="EA228" s="412"/>
      <c r="EB228" s="412"/>
      <c r="EC228" s="412"/>
      <c r="ED228" s="412"/>
      <c r="EE228" s="412"/>
      <c r="EF228" s="412"/>
      <c r="EG228" s="412"/>
      <c r="EH228" s="412"/>
      <c r="EI228" s="412"/>
      <c r="EJ228" s="412"/>
      <c r="EK228" s="412"/>
      <c r="EL228" s="412"/>
      <c r="EM228" s="412"/>
      <c r="EN228" s="412"/>
      <c r="EO228" s="412"/>
      <c r="EP228" s="412"/>
      <c r="EQ228" s="412"/>
      <c r="ER228" s="412"/>
      <c r="ES228" s="412"/>
      <c r="ET228" s="412"/>
      <c r="EU228" s="412"/>
      <c r="EV228" s="412"/>
      <c r="EW228" s="412"/>
      <c r="EX228" s="412"/>
      <c r="EY228" s="412"/>
      <c r="EZ228" s="412"/>
      <c r="FA228" s="412"/>
      <c r="FB228" s="412"/>
      <c r="FC228" s="412"/>
      <c r="FD228" s="412"/>
      <c r="FE228" s="412"/>
      <c r="FF228" s="412"/>
      <c r="FG228" s="412"/>
      <c r="FH228" s="412"/>
      <c r="FI228" s="412"/>
      <c r="FJ228" s="412"/>
      <c r="FK228" s="412"/>
      <c r="FL228" s="412"/>
      <c r="FM228" s="412"/>
      <c r="FN228" s="412"/>
      <c r="FO228" s="412"/>
      <c r="FP228" s="412"/>
      <c r="FQ228" s="412"/>
      <c r="FR228" s="412"/>
      <c r="FS228" s="412"/>
      <c r="FT228" s="412"/>
      <c r="FU228" s="412"/>
      <c r="FV228" s="412"/>
      <c r="FW228" s="412"/>
      <c r="FX228" s="412"/>
      <c r="FY228" s="412"/>
      <c r="FZ228" s="412"/>
      <c r="GA228" s="412"/>
      <c r="GB228" s="412"/>
      <c r="GC228" s="412"/>
      <c r="GD228" s="412"/>
      <c r="GE228" s="412"/>
      <c r="GF228" s="412"/>
      <c r="GG228" s="412"/>
      <c r="GH228" s="412"/>
      <c r="GI228" s="412"/>
      <c r="GJ228" s="412"/>
      <c r="GK228" s="412"/>
      <c r="GL228" s="412"/>
      <c r="GM228" s="412"/>
      <c r="GN228" s="412"/>
      <c r="GO228" s="412"/>
      <c r="GP228" s="412"/>
      <c r="GQ228" s="412"/>
      <c r="GR228" s="412"/>
      <c r="GS228" s="412"/>
      <c r="GT228" s="412"/>
      <c r="GU228" s="412"/>
      <c r="GV228" s="412"/>
      <c r="GW228" s="412"/>
      <c r="GX228" s="412"/>
      <c r="GY228" s="412"/>
      <c r="GZ228" s="412"/>
      <c r="HA228" s="412"/>
      <c r="HB228" s="412"/>
      <c r="HC228" s="412"/>
      <c r="HD228" s="412"/>
      <c r="HE228" s="412"/>
      <c r="HF228" s="412"/>
      <c r="HG228" s="412"/>
      <c r="HH228" s="412"/>
      <c r="HI228" s="412"/>
      <c r="HJ228" s="412"/>
      <c r="HK228" s="412"/>
      <c r="HL228" s="412"/>
      <c r="HM228" s="412"/>
      <c r="HN228" s="412"/>
      <c r="HO228" s="412"/>
      <c r="HP228" s="412"/>
      <c r="HQ228" s="412"/>
      <c r="HR228" s="412"/>
      <c r="HS228" s="412"/>
      <c r="HT228" s="412"/>
      <c r="HU228" s="412"/>
      <c r="HV228" s="412"/>
      <c r="HW228" s="412"/>
      <c r="HX228" s="412"/>
      <c r="HY228" s="412"/>
      <c r="HZ228" s="412"/>
      <c r="IA228" s="412"/>
      <c r="IB228" s="412"/>
      <c r="IC228" s="412"/>
      <c r="ID228" s="412"/>
      <c r="IE228" s="412"/>
      <c r="IF228" s="412"/>
      <c r="IG228" s="412"/>
      <c r="IH228" s="412"/>
      <c r="II228" s="412"/>
      <c r="IJ228" s="412"/>
      <c r="IK228" s="412"/>
      <c r="IL228" s="412"/>
      <c r="IM228" s="412"/>
      <c r="IN228" s="412"/>
      <c r="IO228" s="412"/>
      <c r="IP228" s="412"/>
      <c r="IQ228" s="412"/>
      <c r="IR228" s="412"/>
      <c r="IS228" s="412"/>
      <c r="IT228" s="412"/>
      <c r="IU228" s="412"/>
      <c r="IV228" s="412"/>
      <c r="IW228" s="412"/>
      <c r="IX228" s="412"/>
      <c r="IY228" s="412"/>
      <c r="IZ228" s="412"/>
      <c r="JA228" s="412"/>
      <c r="JB228" s="412"/>
      <c r="JC228" s="412"/>
      <c r="JD228" s="412"/>
      <c r="JE228" s="412"/>
      <c r="JF228" s="412"/>
      <c r="JG228" s="412"/>
      <c r="JH228" s="412"/>
      <c r="JI228" s="412"/>
      <c r="JJ228" s="412"/>
      <c r="JK228" s="412"/>
      <c r="JL228" s="412"/>
      <c r="JM228" s="412"/>
      <c r="JN228" s="412"/>
      <c r="JO228" s="412"/>
      <c r="JP228" s="412"/>
      <c r="JQ228" s="412"/>
      <c r="JR228" s="412"/>
      <c r="JS228" s="412"/>
      <c r="JT228" s="412"/>
      <c r="JU228" s="412"/>
      <c r="JV228" s="412"/>
      <c r="JW228" s="412"/>
      <c r="JX228" s="412"/>
      <c r="JY228" s="412"/>
      <c r="JZ228" s="412"/>
      <c r="KA228" s="412"/>
      <c r="KB228" s="412"/>
      <c r="KC228" s="412"/>
      <c r="KD228" s="412"/>
      <c r="KE228" s="412"/>
      <c r="KF228" s="412"/>
      <c r="KG228" s="412"/>
      <c r="KH228" s="412"/>
      <c r="KI228" s="412"/>
      <c r="KJ228" s="412"/>
      <c r="KK228" s="412"/>
      <c r="KL228" s="412"/>
      <c r="KM228" s="412"/>
      <c r="KN228" s="412"/>
      <c r="KO228" s="412"/>
      <c r="KP228" s="412"/>
      <c r="KQ228" s="412"/>
      <c r="KR228" s="412"/>
      <c r="KS228" s="412"/>
      <c r="KT228" s="412"/>
      <c r="KU228" s="412"/>
      <c r="KV228" s="412"/>
      <c r="KW228" s="412"/>
      <c r="KX228" s="412"/>
      <c r="KY228" s="412"/>
      <c r="KZ228" s="412"/>
      <c r="LA228" s="412"/>
      <c r="LB228" s="412"/>
      <c r="LC228" s="412"/>
      <c r="LD228" s="412"/>
      <c r="LE228" s="412"/>
      <c r="LF228" s="412"/>
      <c r="LG228" s="412"/>
      <c r="LH228" s="412"/>
      <c r="LI228" s="412"/>
      <c r="LJ228" s="412"/>
      <c r="LK228" s="412"/>
      <c r="LL228" s="412"/>
      <c r="LM228" s="412"/>
      <c r="LN228" s="412"/>
      <c r="LO228" s="412"/>
      <c r="LP228" s="412"/>
      <c r="LQ228" s="412"/>
      <c r="LR228" s="412"/>
      <c r="LS228" s="412"/>
      <c r="LT228" s="412"/>
      <c r="LU228" s="412"/>
      <c r="LV228" s="412"/>
      <c r="LW228" s="412"/>
      <c r="LX228" s="412"/>
      <c r="LY228" s="412"/>
      <c r="LZ228" s="412"/>
      <c r="MA228" s="412"/>
      <c r="MB228" s="412"/>
      <c r="MC228" s="412"/>
      <c r="MD228" s="412"/>
      <c r="ME228" s="412"/>
      <c r="MF228" s="412"/>
      <c r="MG228" s="412"/>
      <c r="MH228" s="412"/>
      <c r="MI228" s="412"/>
      <c r="MJ228" s="412"/>
      <c r="MK228" s="412"/>
      <c r="ML228" s="412"/>
      <c r="MM228" s="412"/>
      <c r="MN228" s="412"/>
      <c r="MO228" s="412"/>
      <c r="MP228" s="412"/>
      <c r="MQ228" s="412"/>
      <c r="MR228" s="412"/>
      <c r="MS228" s="412"/>
      <c r="MT228" s="412"/>
      <c r="MU228" s="412"/>
      <c r="MV228" s="412"/>
      <c r="MW228" s="412"/>
      <c r="MX228" s="412"/>
      <c r="MY228" s="412"/>
      <c r="MZ228" s="412"/>
      <c r="NA228" s="412"/>
      <c r="NB228" s="412"/>
      <c r="NC228" s="412"/>
      <c r="ND228" s="412"/>
      <c r="NE228" s="412"/>
      <c r="NF228" s="412"/>
      <c r="NG228" s="412"/>
      <c r="NH228" s="412"/>
      <c r="NI228" s="412"/>
      <c r="NJ228" s="412"/>
      <c r="NK228" s="412"/>
      <c r="NL228" s="412"/>
      <c r="NM228" s="412"/>
      <c r="NN228" s="412"/>
      <c r="NO228" s="412"/>
      <c r="NP228" s="412"/>
      <c r="NQ228" s="412"/>
      <c r="NR228" s="412"/>
      <c r="NS228" s="412"/>
      <c r="NT228" s="412"/>
      <c r="NU228" s="412"/>
      <c r="NV228" s="412"/>
      <c r="NW228" s="412"/>
      <c r="NX228" s="412"/>
      <c r="NY228" s="412"/>
      <c r="NZ228" s="412"/>
      <c r="OA228" s="412"/>
      <c r="OB228" s="412"/>
      <c r="OC228" s="412"/>
      <c r="OD228" s="412"/>
      <c r="OE228" s="412"/>
      <c r="OF228" s="412"/>
      <c r="OG228" s="412"/>
      <c r="OH228" s="412"/>
      <c r="OI228" s="412"/>
      <c r="OJ228" s="412"/>
      <c r="OK228" s="412"/>
      <c r="OL228" s="412"/>
      <c r="OM228" s="412"/>
      <c r="ON228" s="412"/>
      <c r="OO228" s="412"/>
      <c r="OP228" s="412"/>
      <c r="OQ228" s="412"/>
      <c r="OR228" s="412"/>
      <c r="OS228" s="412"/>
      <c r="OT228" s="412"/>
      <c r="OU228" s="412"/>
      <c r="OV228" s="412"/>
      <c r="OW228" s="412"/>
      <c r="OX228" s="412"/>
      <c r="OY228" s="412"/>
      <c r="OZ228" s="412"/>
      <c r="PA228" s="412"/>
      <c r="PB228" s="412"/>
      <c r="PC228" s="412"/>
      <c r="PD228" s="412"/>
      <c r="PE228" s="412"/>
      <c r="PF228" s="412"/>
      <c r="PG228" s="412"/>
      <c r="PH228" s="412"/>
      <c r="PI228" s="412"/>
      <c r="PJ228" s="412"/>
      <c r="PK228" s="412"/>
      <c r="PL228" s="412"/>
      <c r="PM228" s="412"/>
      <c r="PN228" s="412"/>
      <c r="PO228" s="412"/>
      <c r="PP228" s="412"/>
      <c r="PQ228" s="412"/>
      <c r="PR228" s="412"/>
      <c r="PS228" s="412"/>
      <c r="PT228" s="412"/>
      <c r="PU228" s="412"/>
      <c r="PV228" s="412"/>
      <c r="PW228" s="412"/>
      <c r="PX228" s="412"/>
      <c r="PY228" s="412"/>
      <c r="PZ228" s="412"/>
      <c r="QA228" s="412"/>
      <c r="QB228" s="412"/>
      <c r="QC228" s="412"/>
      <c r="QD228" s="412"/>
      <c r="QE228" s="412"/>
      <c r="QF228" s="412"/>
      <c r="QG228" s="412"/>
      <c r="QH228" s="412"/>
      <c r="QI228" s="412"/>
      <c r="QJ228" s="412"/>
      <c r="QK228" s="412"/>
      <c r="QL228" s="412"/>
      <c r="QM228" s="412"/>
      <c r="QN228" s="412"/>
      <c r="QO228" s="412"/>
      <c r="QP228" s="412"/>
      <c r="QQ228" s="412"/>
      <c r="QR228" s="412"/>
      <c r="QS228" s="412"/>
      <c r="QT228" s="412"/>
      <c r="QU228" s="412"/>
      <c r="QV228" s="412"/>
      <c r="QW228" s="412"/>
      <c r="QX228" s="412"/>
      <c r="QY228" s="412"/>
      <c r="QZ228" s="412"/>
      <c r="RA228" s="412"/>
      <c r="RB228" s="412"/>
      <c r="RC228" s="412"/>
      <c r="RD228" s="412"/>
      <c r="RE228" s="412"/>
      <c r="RF228" s="412"/>
      <c r="RG228" s="412"/>
      <c r="RH228" s="412"/>
      <c r="RI228" s="412"/>
      <c r="RJ228" s="412"/>
      <c r="RK228" s="412"/>
      <c r="RL228" s="412"/>
      <c r="RM228" s="412"/>
      <c r="RN228" s="412"/>
      <c r="RO228" s="412"/>
      <c r="RP228" s="412"/>
      <c r="RQ228" s="412"/>
      <c r="RR228" s="412"/>
      <c r="RS228" s="412"/>
      <c r="RT228" s="412"/>
      <c r="RU228" s="412"/>
      <c r="RV228" s="412"/>
      <c r="RW228" s="412"/>
      <c r="RX228" s="412"/>
      <c r="RY228" s="412"/>
      <c r="RZ228" s="412"/>
      <c r="SA228" s="412"/>
      <c r="SB228" s="412"/>
      <c r="SC228" s="412"/>
      <c r="SD228" s="412"/>
      <c r="SE228" s="412"/>
      <c r="SF228" s="412"/>
      <c r="SG228" s="412"/>
      <c r="SH228" s="412"/>
      <c r="SI228" s="412"/>
      <c r="SJ228" s="412"/>
      <c r="SK228" s="412"/>
      <c r="SL228" s="412"/>
      <c r="SM228" s="412"/>
      <c r="SN228" s="412"/>
      <c r="SO228" s="412"/>
      <c r="SP228" s="412"/>
      <c r="SQ228" s="412"/>
      <c r="SR228" s="412"/>
      <c r="SS228" s="412"/>
      <c r="ST228" s="412"/>
      <c r="SU228" s="412"/>
      <c r="SV228" s="412"/>
      <c r="SW228" s="412"/>
      <c r="SX228" s="412"/>
      <c r="SY228" s="412"/>
      <c r="SZ228" s="412"/>
      <c r="TA228" s="412"/>
      <c r="TB228" s="412"/>
      <c r="TC228" s="412"/>
      <c r="TD228" s="412"/>
      <c r="TE228" s="412"/>
      <c r="TF228" s="412"/>
      <c r="TG228" s="412"/>
      <c r="TH228" s="412"/>
      <c r="TI228" s="412"/>
      <c r="TJ228" s="412"/>
      <c r="TK228" s="412"/>
      <c r="TL228" s="412"/>
      <c r="TM228" s="412"/>
      <c r="TN228" s="412"/>
      <c r="TO228" s="412"/>
      <c r="TP228" s="412"/>
      <c r="TQ228" s="412"/>
      <c r="TR228" s="412"/>
      <c r="TS228" s="412"/>
      <c r="TT228" s="412"/>
      <c r="TU228" s="412"/>
      <c r="TV228" s="412"/>
      <c r="TW228" s="412"/>
      <c r="TX228" s="412"/>
      <c r="TY228" s="412"/>
      <c r="TZ228" s="412"/>
      <c r="UA228" s="412"/>
      <c r="UB228" s="412"/>
      <c r="UC228" s="412"/>
      <c r="UD228" s="412"/>
      <c r="UE228" s="412"/>
      <c r="UF228" s="412"/>
      <c r="UG228" s="412"/>
      <c r="UH228" s="412"/>
      <c r="UI228" s="412"/>
      <c r="UJ228" s="412"/>
      <c r="UK228" s="412"/>
      <c r="UL228" s="412"/>
      <c r="UM228" s="412"/>
      <c r="UN228" s="412"/>
      <c r="UO228" s="412"/>
      <c r="UP228" s="412"/>
      <c r="UQ228" s="412"/>
      <c r="UR228" s="412"/>
      <c r="US228" s="412"/>
      <c r="UT228" s="412"/>
      <c r="UU228" s="412"/>
      <c r="UV228" s="412"/>
      <c r="UW228" s="412"/>
      <c r="UX228" s="412"/>
      <c r="UY228" s="412"/>
      <c r="UZ228" s="412"/>
      <c r="VA228" s="412"/>
      <c r="VB228" s="412"/>
      <c r="VC228" s="412"/>
      <c r="VD228" s="412"/>
      <c r="VE228" s="412"/>
      <c r="VF228" s="412"/>
      <c r="VG228" s="412"/>
      <c r="VH228" s="412"/>
      <c r="VI228" s="412"/>
      <c r="VJ228" s="412"/>
      <c r="VK228" s="412"/>
      <c r="VL228" s="412"/>
      <c r="VM228" s="412"/>
      <c r="VN228" s="412"/>
      <c r="VO228" s="412"/>
      <c r="VP228" s="412"/>
      <c r="VQ228" s="412"/>
      <c r="VR228" s="412"/>
      <c r="VS228" s="412"/>
      <c r="VT228" s="412"/>
      <c r="VU228" s="412"/>
      <c r="VV228" s="412"/>
      <c r="VW228" s="412"/>
      <c r="VX228" s="412"/>
      <c r="VY228" s="412"/>
      <c r="VZ228" s="412"/>
      <c r="WA228" s="412"/>
      <c r="WB228" s="412"/>
      <c r="WC228" s="412"/>
      <c r="WD228" s="412"/>
      <c r="WE228" s="412"/>
      <c r="WF228" s="412"/>
      <c r="WG228" s="412"/>
      <c r="WH228" s="412"/>
      <c r="WI228" s="412"/>
      <c r="WJ228" s="412"/>
      <c r="WK228" s="412"/>
      <c r="WL228" s="412"/>
      <c r="WM228" s="412"/>
      <c r="WN228" s="412"/>
      <c r="WO228" s="412"/>
      <c r="WP228" s="412"/>
      <c r="WQ228" s="412"/>
      <c r="WR228" s="412"/>
      <c r="WS228" s="412"/>
      <c r="WT228" s="412"/>
      <c r="WU228" s="412"/>
      <c r="WV228" s="412"/>
      <c r="WW228" s="412"/>
      <c r="WX228" s="412"/>
      <c r="WY228" s="412"/>
      <c r="WZ228" s="412"/>
      <c r="XA228" s="412"/>
      <c r="XB228" s="412"/>
      <c r="XC228" s="412"/>
      <c r="XD228" s="412"/>
      <c r="XE228" s="412"/>
      <c r="XF228" s="412"/>
      <c r="XG228" s="412"/>
      <c r="XH228" s="412"/>
      <c r="XI228" s="412"/>
      <c r="XJ228" s="412"/>
      <c r="XK228" s="412"/>
      <c r="XL228" s="412"/>
      <c r="XM228" s="412"/>
      <c r="XN228" s="412"/>
      <c r="XO228" s="412"/>
      <c r="XP228" s="412"/>
      <c r="XQ228" s="412"/>
      <c r="XR228" s="412"/>
      <c r="XS228" s="412"/>
      <c r="XT228" s="412"/>
      <c r="XU228" s="412"/>
      <c r="XV228" s="412"/>
      <c r="XW228" s="412"/>
      <c r="XX228" s="412"/>
      <c r="XY228" s="412"/>
      <c r="XZ228" s="412"/>
      <c r="YA228" s="412"/>
      <c r="YB228" s="412"/>
      <c r="YC228" s="412"/>
      <c r="YD228" s="412"/>
      <c r="YE228" s="412"/>
      <c r="YF228" s="412"/>
      <c r="YG228" s="412"/>
      <c r="YH228" s="412"/>
      <c r="YI228" s="412"/>
      <c r="YJ228" s="412"/>
      <c r="YK228" s="412"/>
      <c r="YL228" s="412"/>
      <c r="YM228" s="412"/>
      <c r="YN228" s="412"/>
      <c r="YO228" s="412"/>
      <c r="YP228" s="412"/>
      <c r="YQ228" s="412"/>
      <c r="YR228" s="412"/>
      <c r="YS228" s="412"/>
      <c r="YT228" s="412"/>
      <c r="YU228" s="412"/>
      <c r="YV228" s="412"/>
      <c r="YW228" s="412"/>
      <c r="YX228" s="412"/>
      <c r="YY228" s="412"/>
      <c r="YZ228" s="412"/>
      <c r="ZA228" s="412"/>
      <c r="ZB228" s="412"/>
      <c r="ZC228" s="412"/>
      <c r="ZD228" s="412"/>
      <c r="ZE228" s="412"/>
      <c r="ZF228" s="412"/>
      <c r="ZG228" s="412"/>
      <c r="ZH228" s="412"/>
      <c r="ZI228" s="412"/>
      <c r="ZJ228" s="412"/>
      <c r="ZK228" s="412"/>
      <c r="ZL228" s="412"/>
      <c r="ZM228" s="412"/>
      <c r="ZN228" s="412"/>
      <c r="ZO228" s="412"/>
      <c r="ZP228" s="412"/>
      <c r="ZQ228" s="412"/>
      <c r="ZR228" s="412"/>
      <c r="ZS228" s="412"/>
      <c r="ZT228" s="412"/>
      <c r="ZU228" s="412"/>
      <c r="ZV228" s="412"/>
      <c r="ZW228" s="412"/>
      <c r="ZX228" s="412"/>
      <c r="ZY228" s="412"/>
      <c r="ZZ228" s="412"/>
      <c r="AAA228" s="412"/>
      <c r="AAB228" s="412"/>
      <c r="AAC228" s="412"/>
      <c r="AAD228" s="412"/>
      <c r="AAE228" s="412"/>
      <c r="AAF228" s="412"/>
      <c r="AAG228" s="412"/>
      <c r="AAH228" s="412"/>
      <c r="AAI228" s="412"/>
      <c r="AAJ228" s="412"/>
      <c r="AAK228" s="412"/>
      <c r="AAL228" s="412"/>
      <c r="AAM228" s="412"/>
      <c r="AAN228" s="412"/>
      <c r="AAO228" s="412"/>
      <c r="AAP228" s="412"/>
      <c r="AAQ228" s="412"/>
      <c r="AAR228" s="412"/>
      <c r="AAS228" s="412"/>
      <c r="AAT228" s="412"/>
      <c r="AAU228" s="412"/>
      <c r="AAV228" s="412"/>
      <c r="AAW228" s="412"/>
      <c r="AAX228" s="412"/>
      <c r="AAY228" s="412"/>
      <c r="AAZ228" s="412"/>
      <c r="ABA228" s="412"/>
      <c r="ABB228" s="412"/>
      <c r="ABC228" s="412"/>
      <c r="ABD228" s="412"/>
      <c r="ABE228" s="412"/>
      <c r="ABF228" s="412"/>
      <c r="ABG228" s="412"/>
      <c r="ABH228" s="412"/>
      <c r="ABI228" s="412"/>
      <c r="ABJ228" s="412"/>
      <c r="ABK228" s="412"/>
      <c r="ABL228" s="412"/>
      <c r="ABM228" s="412"/>
      <c r="ABN228" s="412"/>
      <c r="ABO228" s="412"/>
      <c r="ABP228" s="412"/>
      <c r="ABQ228" s="412"/>
      <c r="ABR228" s="412"/>
      <c r="ABS228" s="412"/>
      <c r="ABT228" s="412"/>
      <c r="ABU228" s="412"/>
      <c r="ABV228" s="412"/>
      <c r="ABW228" s="412"/>
      <c r="ABX228" s="412"/>
      <c r="ABY228" s="412"/>
      <c r="ABZ228" s="412"/>
      <c r="ACA228" s="412"/>
      <c r="ACB228" s="412"/>
      <c r="ACC228" s="412"/>
      <c r="ACD228" s="412"/>
      <c r="ACE228" s="412"/>
      <c r="ACF228" s="412"/>
      <c r="ACG228" s="412"/>
      <c r="ACH228" s="412"/>
      <c r="ACI228" s="412"/>
      <c r="ACJ228" s="412"/>
      <c r="ACK228" s="412"/>
      <c r="ACL228" s="412"/>
      <c r="ACM228" s="412"/>
      <c r="ACN228" s="412"/>
      <c r="ACO228" s="412"/>
      <c r="ACP228" s="412"/>
      <c r="ACQ228" s="412"/>
      <c r="ACR228" s="412"/>
      <c r="ACS228" s="412"/>
      <c r="ACT228" s="412"/>
      <c r="ACU228" s="412"/>
      <c r="ACV228" s="412"/>
      <c r="ACW228" s="412"/>
      <c r="ACX228" s="412"/>
      <c r="ACY228" s="412"/>
      <c r="ACZ228" s="412"/>
      <c r="ADA228" s="412"/>
      <c r="ADB228" s="412"/>
      <c r="ADC228" s="412"/>
      <c r="ADD228" s="412"/>
      <c r="ADE228" s="412"/>
      <c r="ADF228" s="412"/>
      <c r="ADG228" s="412"/>
      <c r="ADH228" s="412"/>
      <c r="ADI228" s="412"/>
      <c r="ADJ228" s="412"/>
      <c r="ADK228" s="412"/>
      <c r="ADL228" s="412"/>
      <c r="ADM228" s="412"/>
      <c r="ADN228" s="412"/>
      <c r="ADO228" s="412"/>
      <c r="ADP228" s="412"/>
      <c r="ADQ228" s="412"/>
      <c r="ADR228" s="412"/>
      <c r="ADS228" s="412"/>
      <c r="ADT228" s="412"/>
      <c r="ADU228" s="412"/>
      <c r="ADV228" s="412"/>
      <c r="ADW228" s="412"/>
      <c r="ADX228" s="412"/>
      <c r="ADY228" s="412"/>
      <c r="ADZ228" s="412"/>
      <c r="AEA228" s="412"/>
      <c r="AEB228" s="412"/>
      <c r="AEC228" s="412"/>
      <c r="AED228" s="412"/>
      <c r="AEE228" s="412"/>
      <c r="AEF228" s="412"/>
      <c r="AEG228" s="412"/>
      <c r="AEH228" s="412"/>
      <c r="AEI228" s="412"/>
      <c r="AEJ228" s="412"/>
      <c r="AEK228" s="412"/>
      <c r="AEL228" s="412"/>
      <c r="AEM228" s="412"/>
      <c r="AEN228" s="412"/>
      <c r="AEO228" s="412"/>
      <c r="AEP228" s="412"/>
      <c r="AEQ228" s="412"/>
      <c r="AER228" s="412"/>
      <c r="AES228" s="412"/>
      <c r="AET228" s="412"/>
      <c r="AEU228" s="412"/>
      <c r="AEV228" s="412"/>
      <c r="AEW228" s="412"/>
      <c r="AEX228" s="412"/>
      <c r="AEY228" s="412"/>
      <c r="AEZ228" s="412"/>
      <c r="AFA228" s="412"/>
      <c r="AFB228" s="412"/>
      <c r="AFC228" s="412"/>
      <c r="AFD228" s="412"/>
      <c r="AFE228" s="412"/>
      <c r="AFF228" s="412"/>
      <c r="AFG228" s="412"/>
      <c r="AFH228" s="412"/>
      <c r="AFI228" s="412"/>
      <c r="AFJ228" s="412"/>
      <c r="AFK228" s="412"/>
      <c r="AFL228" s="412"/>
      <c r="AFM228" s="412"/>
      <c r="AFN228" s="412"/>
      <c r="AFO228" s="412"/>
      <c r="AFP228" s="412"/>
      <c r="AFQ228" s="412"/>
      <c r="AFR228" s="412"/>
      <c r="AFS228" s="412"/>
      <c r="AFT228" s="412"/>
      <c r="AFU228" s="412"/>
      <c r="AFV228" s="412"/>
      <c r="AFW228" s="412"/>
      <c r="AFX228" s="412"/>
      <c r="AFY228" s="412"/>
      <c r="AFZ228" s="412"/>
      <c r="AGA228" s="412"/>
      <c r="AGB228" s="412"/>
      <c r="AGC228" s="412"/>
      <c r="AGD228" s="412"/>
      <c r="AGE228" s="412"/>
      <c r="AGF228" s="412"/>
      <c r="AGG228" s="412"/>
      <c r="AGH228" s="412"/>
      <c r="AGI228" s="412"/>
      <c r="AGJ228" s="412"/>
      <c r="AGK228" s="412"/>
      <c r="AGL228" s="412"/>
      <c r="AGM228" s="412"/>
      <c r="AGN228" s="412"/>
      <c r="AGO228" s="412"/>
      <c r="AGP228" s="412"/>
      <c r="AGQ228" s="412"/>
      <c r="AGR228" s="412"/>
      <c r="AGS228" s="412"/>
      <c r="AGT228" s="412"/>
      <c r="AGU228" s="412"/>
      <c r="AGV228" s="412"/>
      <c r="AGW228" s="412"/>
      <c r="AGX228" s="412"/>
      <c r="AGY228" s="412"/>
      <c r="AGZ228" s="412"/>
      <c r="AHA228" s="412"/>
      <c r="AHB228" s="412"/>
      <c r="AHC228" s="412"/>
      <c r="AHD228" s="412"/>
      <c r="AHE228" s="412"/>
      <c r="AHF228" s="412"/>
      <c r="AHG228" s="412"/>
      <c r="AHH228" s="412"/>
      <c r="AHI228" s="412"/>
      <c r="AHJ228" s="412"/>
      <c r="AHK228" s="412"/>
      <c r="AHL228" s="412"/>
      <c r="AHM228" s="412"/>
      <c r="AHN228" s="412"/>
      <c r="AHO228" s="412"/>
      <c r="AHP228" s="412"/>
      <c r="AHQ228" s="412"/>
      <c r="AHR228" s="412"/>
      <c r="AHS228" s="412"/>
      <c r="AHT228" s="412"/>
      <c r="AHU228" s="412"/>
      <c r="AHV228" s="412"/>
      <c r="AHW228" s="412"/>
      <c r="AHX228" s="412"/>
      <c r="AHY228" s="412"/>
      <c r="AHZ228" s="412"/>
      <c r="AIA228" s="412"/>
      <c r="AIB228" s="412"/>
      <c r="AIC228" s="412"/>
      <c r="AID228" s="412"/>
      <c r="AIE228" s="412"/>
      <c r="AIF228" s="412"/>
      <c r="AIG228" s="412"/>
      <c r="AIH228" s="412"/>
      <c r="AII228" s="412"/>
      <c r="AIJ228" s="412"/>
      <c r="AIK228" s="412"/>
      <c r="AIL228" s="412"/>
      <c r="AIM228" s="412"/>
      <c r="AIN228" s="412"/>
      <c r="AIO228" s="412"/>
      <c r="AIP228" s="412"/>
      <c r="AIQ228" s="412"/>
      <c r="AIR228" s="412"/>
      <c r="AIS228" s="412"/>
      <c r="AIT228" s="412"/>
      <c r="AIU228" s="412"/>
      <c r="AIV228" s="412"/>
      <c r="AIW228" s="412"/>
      <c r="AIX228" s="412"/>
      <c r="AIY228" s="412"/>
      <c r="AIZ228" s="412"/>
      <c r="AJA228" s="412"/>
      <c r="AJB228" s="412"/>
      <c r="AJC228" s="412"/>
      <c r="AJD228" s="412"/>
      <c r="AJE228" s="412"/>
      <c r="AJF228" s="412"/>
      <c r="AJG228" s="412"/>
      <c r="AJH228" s="412"/>
      <c r="AJI228" s="412"/>
      <c r="AJJ228" s="412"/>
      <c r="AJK228" s="412"/>
      <c r="AJL228" s="412"/>
      <c r="AJM228" s="412"/>
      <c r="AJN228" s="412"/>
      <c r="AJO228" s="412"/>
      <c r="AJP228" s="412"/>
      <c r="AJQ228" s="412"/>
      <c r="AJR228" s="412"/>
      <c r="AJS228" s="412"/>
      <c r="AJT228" s="412"/>
      <c r="AJU228" s="412"/>
      <c r="AJV228" s="412"/>
      <c r="AJW228" s="412"/>
      <c r="AJX228" s="412"/>
      <c r="AJY228" s="412"/>
      <c r="AJZ228" s="412"/>
      <c r="AKA228" s="412"/>
      <c r="AKB228" s="412"/>
      <c r="AKC228" s="412"/>
      <c r="AKD228" s="412"/>
      <c r="AKE228" s="412"/>
      <c r="AKF228" s="412"/>
      <c r="AKG228" s="412"/>
      <c r="AKH228" s="412"/>
      <c r="AKI228" s="412"/>
      <c r="AKJ228" s="412"/>
      <c r="AKK228" s="412"/>
      <c r="AKL228" s="412"/>
      <c r="AKM228" s="412"/>
      <c r="AKN228" s="412"/>
      <c r="AKO228" s="412"/>
      <c r="AKP228" s="412"/>
      <c r="AKQ228" s="412"/>
      <c r="AKR228" s="412"/>
      <c r="AKS228" s="412"/>
      <c r="AKT228" s="412"/>
      <c r="AKU228" s="412"/>
      <c r="AKV228" s="412"/>
      <c r="AKW228" s="412"/>
      <c r="AKX228" s="412"/>
      <c r="AKY228" s="412"/>
      <c r="AKZ228" s="412"/>
      <c r="ALA228" s="412"/>
      <c r="ALB228" s="412"/>
      <c r="ALC228" s="412"/>
      <c r="ALD228" s="412"/>
      <c r="ALE228" s="412"/>
      <c r="ALF228" s="412"/>
      <c r="ALG228" s="412"/>
      <c r="ALH228" s="412"/>
      <c r="ALI228" s="412"/>
      <c r="ALJ228" s="412"/>
      <c r="ALK228" s="412"/>
      <c r="ALL228" s="412"/>
      <c r="ALM228" s="412"/>
      <c r="ALN228" s="412"/>
      <c r="ALO228" s="412"/>
      <c r="ALP228" s="412"/>
      <c r="ALQ228" s="412"/>
      <c r="ALR228" s="412"/>
      <c r="ALS228" s="412"/>
      <c r="ALT228" s="412"/>
      <c r="ALU228" s="412"/>
      <c r="ALV228" s="412"/>
      <c r="ALW228" s="412"/>
      <c r="ALX228" s="412"/>
      <c r="ALY228" s="412"/>
      <c r="ALZ228" s="412"/>
      <c r="AMA228" s="412"/>
      <c r="AMB228" s="412"/>
      <c r="AMC228" s="412"/>
      <c r="AMD228" s="412"/>
      <c r="AME228" s="412"/>
      <c r="AMF228" s="412"/>
      <c r="AMG228" s="412"/>
      <c r="AMH228" s="412"/>
      <c r="AMI228" s="412"/>
      <c r="AMJ228" s="412"/>
      <c r="AMK228" s="412"/>
      <c r="AML228" s="412"/>
      <c r="AMM228" s="412"/>
      <c r="AMN228" s="412"/>
      <c r="AMO228" s="412"/>
      <c r="AMP228" s="412"/>
      <c r="AMQ228" s="412"/>
      <c r="AMR228" s="412"/>
      <c r="AMS228" s="412"/>
      <c r="AMT228" s="412"/>
      <c r="AMU228" s="412"/>
      <c r="AMV228" s="412"/>
      <c r="AMW228" s="412"/>
      <c r="AMX228" s="412"/>
      <c r="AMY228" s="412"/>
      <c r="AMZ228" s="412"/>
      <c r="ANA228" s="412"/>
      <c r="ANB228" s="412"/>
      <c r="ANC228" s="412"/>
      <c r="AND228" s="412"/>
      <c r="ANE228" s="412"/>
      <c r="ANF228" s="412"/>
      <c r="ANG228" s="412"/>
      <c r="ANH228" s="412"/>
      <c r="ANI228" s="412"/>
      <c r="ANJ228" s="412"/>
      <c r="ANK228" s="412"/>
      <c r="ANL228" s="412"/>
      <c r="ANM228" s="412"/>
      <c r="ANN228" s="412"/>
      <c r="ANO228" s="412"/>
      <c r="ANP228" s="412"/>
      <c r="ANQ228" s="412"/>
      <c r="ANR228" s="412"/>
      <c r="ANS228" s="412"/>
      <c r="ANT228" s="412"/>
      <c r="ANU228" s="412"/>
      <c r="ANV228" s="412"/>
      <c r="ANW228" s="412"/>
      <c r="ANX228" s="412"/>
      <c r="ANY228" s="412"/>
      <c r="ANZ228" s="412"/>
      <c r="AOA228" s="412"/>
      <c r="AOB228" s="412"/>
      <c r="AOC228" s="412"/>
      <c r="AOD228" s="412"/>
      <c r="AOE228" s="412"/>
      <c r="AOF228" s="412"/>
      <c r="AOG228" s="412"/>
      <c r="AOH228" s="412"/>
      <c r="AOI228" s="412"/>
      <c r="AOJ228" s="412"/>
      <c r="AOK228" s="412"/>
      <c r="AOL228" s="412"/>
      <c r="AOM228" s="412"/>
      <c r="AON228" s="412"/>
      <c r="AOO228" s="412"/>
      <c r="AOP228" s="412"/>
      <c r="AOQ228" s="412"/>
      <c r="AOR228" s="412"/>
      <c r="AOS228" s="412"/>
      <c r="AOT228" s="412"/>
      <c r="AOU228" s="412"/>
      <c r="AOV228" s="412"/>
      <c r="AOW228" s="412"/>
      <c r="AOX228" s="412"/>
      <c r="AOY228" s="412"/>
      <c r="AOZ228" s="412"/>
      <c r="APA228" s="412"/>
      <c r="APB228" s="412"/>
      <c r="APC228" s="412"/>
      <c r="APD228" s="412"/>
      <c r="APE228" s="412"/>
      <c r="APF228" s="412"/>
      <c r="APG228" s="412"/>
      <c r="APH228" s="412"/>
      <c r="API228" s="412"/>
      <c r="APJ228" s="412"/>
      <c r="APK228" s="412"/>
      <c r="APL228" s="412"/>
      <c r="APM228" s="412"/>
      <c r="APN228" s="412"/>
      <c r="APO228" s="412"/>
      <c r="APP228" s="412"/>
      <c r="APQ228" s="412"/>
      <c r="APR228" s="412"/>
      <c r="APS228" s="412"/>
      <c r="APT228" s="412"/>
      <c r="APU228" s="412"/>
      <c r="APV228" s="412"/>
      <c r="APW228" s="412"/>
      <c r="APX228" s="412"/>
      <c r="APY228" s="412"/>
      <c r="APZ228" s="412"/>
      <c r="AQA228" s="412"/>
      <c r="AQB228" s="412"/>
      <c r="AQC228" s="412"/>
      <c r="AQD228" s="412"/>
      <c r="AQE228" s="412"/>
      <c r="AQF228" s="412"/>
      <c r="AQG228" s="412"/>
      <c r="AQH228" s="412"/>
      <c r="AQI228" s="412"/>
      <c r="AQJ228" s="412"/>
      <c r="AQK228" s="412"/>
      <c r="AQL228" s="412"/>
      <c r="AQM228" s="412"/>
      <c r="AQN228" s="412"/>
      <c r="AQO228" s="412"/>
      <c r="AQP228" s="412"/>
      <c r="AQQ228" s="412"/>
      <c r="AQR228" s="412"/>
      <c r="AQS228" s="412"/>
      <c r="AQT228" s="412"/>
      <c r="AQU228" s="412"/>
      <c r="AQV228" s="412"/>
      <c r="AQW228" s="412"/>
      <c r="AQX228" s="412"/>
      <c r="AQY228" s="412"/>
      <c r="AQZ228" s="412"/>
      <c r="ARA228" s="412"/>
      <c r="ARB228" s="412"/>
      <c r="ARC228" s="412"/>
      <c r="ARD228" s="412"/>
      <c r="ARE228" s="412"/>
      <c r="ARF228" s="412"/>
      <c r="ARG228" s="412"/>
      <c r="ARH228" s="412"/>
      <c r="ARI228" s="412"/>
      <c r="ARJ228" s="412"/>
      <c r="ARK228" s="412"/>
      <c r="ARL228" s="412"/>
      <c r="ARM228" s="412"/>
      <c r="ARN228" s="412"/>
      <c r="ARO228" s="412"/>
      <c r="ARP228" s="412"/>
      <c r="ARQ228" s="412"/>
      <c r="ARR228" s="412"/>
      <c r="ARS228" s="412"/>
      <c r="ART228" s="412"/>
      <c r="ARU228" s="412"/>
      <c r="ARV228" s="412"/>
      <c r="ARW228" s="412"/>
      <c r="ARX228" s="412"/>
      <c r="ARY228" s="412"/>
      <c r="ARZ228" s="412"/>
      <c r="ASA228" s="412"/>
      <c r="ASB228" s="412"/>
      <c r="ASC228" s="412"/>
      <c r="ASD228" s="412"/>
      <c r="ASE228" s="412"/>
      <c r="ASF228" s="412"/>
      <c r="ASG228" s="412"/>
      <c r="ASH228" s="412"/>
      <c r="ASI228" s="412"/>
      <c r="ASJ228" s="412"/>
      <c r="ASK228" s="412"/>
      <c r="ASL228" s="412"/>
      <c r="ASM228" s="412"/>
      <c r="ASN228" s="412"/>
      <c r="ASO228" s="412"/>
      <c r="ASP228" s="412"/>
      <c r="ASQ228" s="412"/>
      <c r="ASR228" s="412"/>
      <c r="ASS228" s="412"/>
      <c r="AST228" s="412"/>
      <c r="ASU228" s="412"/>
      <c r="ASV228" s="412"/>
      <c r="ASW228" s="412"/>
      <c r="ASX228" s="412"/>
      <c r="ASY228" s="412"/>
      <c r="ASZ228" s="412"/>
      <c r="ATA228" s="412"/>
      <c r="ATB228" s="412"/>
      <c r="ATC228" s="412"/>
      <c r="ATD228" s="412"/>
      <c r="ATE228" s="412"/>
      <c r="ATF228" s="412"/>
      <c r="ATG228" s="412"/>
      <c r="ATH228" s="412"/>
      <c r="ATI228" s="412"/>
      <c r="ATJ228" s="412"/>
      <c r="ATK228" s="412"/>
      <c r="ATL228" s="412"/>
      <c r="ATM228" s="412"/>
      <c r="ATN228" s="412"/>
      <c r="ATO228" s="412"/>
      <c r="ATP228" s="412"/>
      <c r="ATQ228" s="412"/>
      <c r="ATR228" s="412"/>
      <c r="ATS228" s="412"/>
      <c r="ATT228" s="412"/>
      <c r="ATU228" s="412"/>
      <c r="ATV228" s="412"/>
      <c r="ATW228" s="412"/>
      <c r="ATX228" s="412"/>
      <c r="ATY228" s="412"/>
      <c r="ATZ228" s="412"/>
      <c r="AUA228" s="412"/>
      <c r="AUB228" s="412"/>
      <c r="AUC228" s="412"/>
      <c r="AUD228" s="412"/>
      <c r="AUE228" s="412"/>
      <c r="AUF228" s="412"/>
      <c r="AUG228" s="412"/>
      <c r="AUH228" s="412"/>
      <c r="AUI228" s="412"/>
      <c r="AUJ228" s="412"/>
      <c r="AUK228" s="412"/>
      <c r="AUL228" s="412"/>
      <c r="AUM228" s="412"/>
      <c r="AUN228" s="412"/>
      <c r="AUO228" s="412"/>
      <c r="AUP228" s="412"/>
      <c r="AUQ228" s="412"/>
      <c r="AUR228" s="412"/>
      <c r="AUS228" s="412"/>
      <c r="AUT228" s="412"/>
      <c r="AUU228" s="412"/>
      <c r="AUV228" s="412"/>
      <c r="AUW228" s="412"/>
      <c r="AUX228" s="412"/>
      <c r="AUY228" s="412"/>
      <c r="AUZ228" s="412"/>
      <c r="AVA228" s="412"/>
      <c r="AVB228" s="412"/>
      <c r="AVC228" s="412"/>
      <c r="AVD228" s="412"/>
      <c r="AVE228" s="412"/>
      <c r="AVF228" s="412"/>
      <c r="AVG228" s="412"/>
      <c r="AVH228" s="412"/>
      <c r="AVI228" s="412"/>
      <c r="AVJ228" s="412"/>
      <c r="AVK228" s="412"/>
      <c r="AVL228" s="412"/>
      <c r="AVM228" s="412"/>
      <c r="AVN228" s="412"/>
      <c r="AVO228" s="412"/>
      <c r="AVP228" s="412"/>
      <c r="AVQ228" s="412"/>
      <c r="AVR228" s="412"/>
      <c r="AVS228" s="412"/>
      <c r="AVT228" s="412"/>
      <c r="AVU228" s="412"/>
      <c r="AVV228" s="412"/>
      <c r="AVW228" s="412"/>
      <c r="AVX228" s="412"/>
      <c r="AVY228" s="412"/>
      <c r="AVZ228" s="412"/>
      <c r="AWA228" s="412"/>
      <c r="AWB228" s="412"/>
      <c r="AWC228" s="412"/>
      <c r="AWD228" s="412"/>
      <c r="AWE228" s="412"/>
      <c r="AWF228" s="412"/>
      <c r="AWG228" s="412"/>
      <c r="AWH228" s="412"/>
      <c r="AWI228" s="412"/>
      <c r="AWJ228" s="412"/>
      <c r="AWK228" s="412"/>
      <c r="AWL228" s="412"/>
      <c r="AWM228" s="412"/>
      <c r="AWN228" s="412"/>
      <c r="AWO228" s="412"/>
      <c r="AWP228" s="412"/>
      <c r="AWQ228" s="412"/>
      <c r="AWR228" s="412"/>
      <c r="AWS228" s="412"/>
      <c r="AWT228" s="412"/>
      <c r="AWU228" s="412"/>
      <c r="AWV228" s="412"/>
      <c r="AWW228" s="412"/>
      <c r="AWX228" s="412"/>
      <c r="AWY228" s="412"/>
      <c r="AWZ228" s="412"/>
      <c r="AXA228" s="412"/>
      <c r="AXB228" s="412"/>
      <c r="AXC228" s="412"/>
      <c r="AXD228" s="412"/>
      <c r="AXE228" s="412"/>
      <c r="AXF228" s="412"/>
      <c r="AXG228" s="412"/>
      <c r="AXH228" s="412"/>
      <c r="AXI228" s="412"/>
      <c r="AXJ228" s="412"/>
      <c r="AXK228" s="412"/>
      <c r="AXL228" s="412"/>
      <c r="AXM228" s="412"/>
      <c r="AXN228" s="412"/>
      <c r="AXO228" s="412"/>
      <c r="AXP228" s="412"/>
      <c r="AXQ228" s="412"/>
      <c r="AXR228" s="412"/>
      <c r="AXS228" s="412"/>
      <c r="AXT228" s="412"/>
      <c r="AXU228" s="412"/>
      <c r="AXV228" s="412"/>
      <c r="AXW228" s="412"/>
      <c r="AXX228" s="412"/>
      <c r="AXY228" s="412"/>
      <c r="AXZ228" s="412"/>
      <c r="AYA228" s="412"/>
      <c r="AYB228" s="412"/>
      <c r="AYC228" s="412"/>
      <c r="AYD228" s="412"/>
      <c r="AYE228" s="412"/>
      <c r="AYF228" s="412"/>
      <c r="AYG228" s="412"/>
      <c r="AYH228" s="412"/>
      <c r="AYI228" s="412"/>
      <c r="AYJ228" s="412"/>
      <c r="AYK228" s="412"/>
      <c r="AYL228" s="412"/>
      <c r="AYM228" s="412"/>
      <c r="AYN228" s="412"/>
      <c r="AYO228" s="412"/>
      <c r="AYP228" s="412"/>
      <c r="AYQ228" s="412"/>
      <c r="AYR228" s="412"/>
      <c r="AYS228" s="412"/>
      <c r="AYT228" s="412"/>
      <c r="AYU228" s="412"/>
      <c r="AYV228" s="412"/>
      <c r="AYW228" s="412"/>
      <c r="AYX228" s="412"/>
      <c r="AYY228" s="412"/>
      <c r="AYZ228" s="412"/>
      <c r="AZA228" s="412"/>
      <c r="AZB228" s="412"/>
      <c r="AZC228" s="412"/>
      <c r="AZD228" s="412"/>
      <c r="AZE228" s="412"/>
      <c r="AZF228" s="412"/>
      <c r="AZG228" s="412"/>
      <c r="AZH228" s="412"/>
      <c r="AZI228" s="412"/>
      <c r="AZJ228" s="412"/>
      <c r="AZK228" s="412"/>
      <c r="AZL228" s="412"/>
      <c r="AZM228" s="412"/>
      <c r="AZN228" s="412"/>
      <c r="AZO228" s="412"/>
      <c r="AZP228" s="412"/>
      <c r="AZQ228" s="412"/>
      <c r="AZR228" s="412"/>
      <c r="AZS228" s="412"/>
      <c r="AZT228" s="412"/>
      <c r="AZU228" s="412"/>
      <c r="AZV228" s="412"/>
      <c r="AZW228" s="412"/>
      <c r="AZX228" s="412"/>
      <c r="AZY228" s="412"/>
      <c r="AZZ228" s="412"/>
      <c r="BAA228" s="412"/>
      <c r="BAB228" s="412"/>
      <c r="BAC228" s="412"/>
      <c r="BAD228" s="412"/>
      <c r="BAE228" s="412"/>
      <c r="BAF228" s="412"/>
      <c r="BAG228" s="412"/>
      <c r="BAH228" s="412"/>
      <c r="BAI228" s="412"/>
      <c r="BAJ228" s="412"/>
      <c r="BAK228" s="412"/>
      <c r="BAL228" s="412"/>
      <c r="BAM228" s="412"/>
      <c r="BAN228" s="412"/>
      <c r="BAO228" s="412"/>
      <c r="BAP228" s="412"/>
      <c r="BAQ228" s="412"/>
      <c r="BAR228" s="412"/>
      <c r="BAS228" s="412"/>
      <c r="BAT228" s="412"/>
      <c r="BAU228" s="412"/>
      <c r="BAV228" s="412"/>
      <c r="BAW228" s="412"/>
      <c r="BAX228" s="412"/>
      <c r="BAY228" s="412"/>
      <c r="BAZ228" s="412"/>
      <c r="BBA228" s="412"/>
      <c r="BBB228" s="412"/>
      <c r="BBC228" s="412"/>
      <c r="BBD228" s="412"/>
      <c r="BBE228" s="412"/>
      <c r="BBF228" s="412"/>
      <c r="BBG228" s="412"/>
      <c r="BBH228" s="412"/>
      <c r="BBI228" s="412"/>
      <c r="BBJ228" s="412"/>
      <c r="BBK228" s="412"/>
      <c r="BBL228" s="412"/>
      <c r="BBM228" s="412"/>
      <c r="BBN228" s="412"/>
      <c r="BBO228" s="412"/>
      <c r="BBP228" s="412"/>
      <c r="BBQ228" s="412"/>
      <c r="BBR228" s="412"/>
      <c r="BBS228" s="412"/>
      <c r="BBT228" s="412"/>
      <c r="BBU228" s="412"/>
      <c r="BBV228" s="412"/>
      <c r="BBW228" s="412"/>
      <c r="BBX228" s="412"/>
      <c r="BBY228" s="412"/>
      <c r="BBZ228" s="412"/>
      <c r="BCA228" s="412"/>
      <c r="BCB228" s="412"/>
      <c r="BCC228" s="412"/>
      <c r="BCD228" s="412"/>
      <c r="BCE228" s="412"/>
      <c r="BCF228" s="412"/>
      <c r="BCG228" s="412"/>
      <c r="BCH228" s="412"/>
      <c r="BCI228" s="412"/>
      <c r="BCJ228" s="412"/>
      <c r="BCK228" s="412"/>
      <c r="BCL228" s="412"/>
      <c r="BCM228" s="412"/>
      <c r="BCN228" s="412"/>
      <c r="BCO228" s="412"/>
      <c r="BCP228" s="412"/>
      <c r="BCQ228" s="412"/>
      <c r="BCR228" s="412"/>
      <c r="BCS228" s="412"/>
      <c r="BCT228" s="412"/>
      <c r="BCU228" s="412"/>
      <c r="BCV228" s="412"/>
      <c r="BCW228" s="412"/>
      <c r="BCX228" s="412"/>
      <c r="BCY228" s="412"/>
      <c r="BCZ228" s="412"/>
      <c r="BDA228" s="412"/>
      <c r="BDB228" s="412"/>
      <c r="BDC228" s="412"/>
      <c r="BDD228" s="412"/>
      <c r="BDE228" s="412"/>
      <c r="BDF228" s="412"/>
      <c r="BDG228" s="412"/>
      <c r="BDH228" s="412"/>
      <c r="BDI228" s="412"/>
      <c r="BDJ228" s="412"/>
      <c r="BDK228" s="412"/>
      <c r="BDL228" s="412"/>
      <c r="BDM228" s="412"/>
      <c r="BDN228" s="412"/>
      <c r="BDO228" s="412"/>
      <c r="BDP228" s="412"/>
      <c r="BDQ228" s="412"/>
      <c r="BDR228" s="412"/>
      <c r="BDS228" s="412"/>
      <c r="BDT228" s="412"/>
      <c r="BDU228" s="412"/>
      <c r="BDV228" s="412"/>
      <c r="BDW228" s="412"/>
      <c r="BDX228" s="412"/>
      <c r="BDY228" s="412"/>
      <c r="BDZ228" s="412"/>
      <c r="BEA228" s="412"/>
      <c r="BEB228" s="412"/>
      <c r="BEC228" s="412"/>
      <c r="BED228" s="412"/>
      <c r="BEE228" s="412"/>
      <c r="BEF228" s="412"/>
      <c r="BEG228" s="412"/>
      <c r="BEH228" s="412"/>
      <c r="BEI228" s="412"/>
      <c r="BEJ228" s="412"/>
      <c r="BEK228" s="412"/>
      <c r="BEL228" s="412"/>
      <c r="BEM228" s="412"/>
      <c r="BEN228" s="412"/>
      <c r="BEO228" s="412"/>
      <c r="BEP228" s="412"/>
      <c r="BEQ228" s="412"/>
      <c r="BER228" s="412"/>
      <c r="BES228" s="412"/>
      <c r="BET228" s="412"/>
      <c r="BEU228" s="412"/>
      <c r="BEV228" s="412"/>
      <c r="BEW228" s="412"/>
      <c r="BEX228" s="412"/>
      <c r="BEY228" s="412"/>
      <c r="BEZ228" s="412"/>
      <c r="BFA228" s="412"/>
      <c r="BFB228" s="412"/>
      <c r="BFC228" s="412"/>
      <c r="BFD228" s="412"/>
      <c r="BFE228" s="412"/>
      <c r="BFF228" s="412"/>
      <c r="BFG228" s="412"/>
      <c r="BFH228" s="412"/>
      <c r="BFI228" s="412"/>
      <c r="BFJ228" s="412"/>
      <c r="BFK228" s="412"/>
      <c r="BFL228" s="412"/>
      <c r="BFM228" s="412"/>
      <c r="BFN228" s="412"/>
      <c r="BFO228" s="412"/>
      <c r="BFP228" s="412"/>
      <c r="BFQ228" s="412"/>
      <c r="BFR228" s="412"/>
      <c r="BFS228" s="412"/>
      <c r="BFT228" s="412"/>
      <c r="BFU228" s="412"/>
      <c r="BFV228" s="412"/>
      <c r="BFW228" s="412"/>
      <c r="BFX228" s="412"/>
      <c r="BFY228" s="412"/>
      <c r="BFZ228" s="412"/>
      <c r="BGA228" s="412"/>
      <c r="BGB228" s="412"/>
      <c r="BGC228" s="412"/>
      <c r="BGD228" s="412"/>
      <c r="BGE228" s="412"/>
      <c r="BGF228" s="412"/>
      <c r="BGG228" s="412"/>
      <c r="BGH228" s="412"/>
      <c r="BGI228" s="412"/>
      <c r="BGJ228" s="412"/>
      <c r="BGK228" s="412"/>
      <c r="BGL228" s="412"/>
      <c r="BGM228" s="412"/>
      <c r="BGN228" s="412"/>
      <c r="BGO228" s="412"/>
      <c r="BGP228" s="412"/>
      <c r="BGQ228" s="412"/>
      <c r="BGR228" s="412"/>
      <c r="BGS228" s="412"/>
      <c r="BGT228" s="412"/>
      <c r="BGU228" s="412"/>
      <c r="BGV228" s="412"/>
      <c r="BGW228" s="412"/>
      <c r="BGX228" s="412"/>
      <c r="BGY228" s="412"/>
      <c r="BGZ228" s="412"/>
      <c r="BHA228" s="412"/>
      <c r="BHB228" s="412"/>
      <c r="BHC228" s="412"/>
      <c r="BHD228" s="412"/>
      <c r="BHE228" s="412"/>
      <c r="BHF228" s="412"/>
      <c r="BHG228" s="412"/>
      <c r="BHH228" s="412"/>
      <c r="BHI228" s="412"/>
      <c r="BHJ228" s="412"/>
      <c r="BHK228" s="412"/>
      <c r="BHL228" s="412"/>
      <c r="BHM228" s="412"/>
      <c r="BHN228" s="412"/>
      <c r="BHO228" s="412"/>
      <c r="BHP228" s="412"/>
      <c r="BHQ228" s="412"/>
      <c r="BHR228" s="412"/>
      <c r="BHS228" s="412"/>
      <c r="BHT228" s="412"/>
      <c r="BHU228" s="412"/>
      <c r="BHV228" s="412"/>
      <c r="BHW228" s="412"/>
      <c r="BHX228" s="412"/>
      <c r="BHY228" s="412"/>
      <c r="BHZ228" s="412"/>
      <c r="BIA228" s="412"/>
      <c r="BIB228" s="412"/>
      <c r="BIC228" s="412"/>
      <c r="BID228" s="412"/>
      <c r="BIE228" s="412"/>
      <c r="BIF228" s="412"/>
      <c r="BIG228" s="412"/>
      <c r="BIH228" s="412"/>
      <c r="BII228" s="412"/>
      <c r="BIJ228" s="412"/>
      <c r="BIK228" s="412"/>
      <c r="BIL228" s="412"/>
      <c r="BIM228" s="412"/>
      <c r="BIN228" s="412"/>
      <c r="BIO228" s="412"/>
      <c r="BIP228" s="412"/>
      <c r="BIQ228" s="412"/>
      <c r="BIR228" s="412"/>
      <c r="BIS228" s="412"/>
      <c r="BIT228" s="412"/>
      <c r="BIU228" s="412"/>
      <c r="BIV228" s="412"/>
      <c r="BIW228" s="412"/>
      <c r="BIX228" s="412"/>
      <c r="BIY228" s="412"/>
      <c r="BIZ228" s="412"/>
      <c r="BJA228" s="412"/>
      <c r="BJB228" s="412"/>
      <c r="BJC228" s="412"/>
      <c r="BJD228" s="412"/>
      <c r="BJE228" s="412"/>
      <c r="BJF228" s="412"/>
      <c r="BJG228" s="412"/>
      <c r="BJH228" s="412"/>
      <c r="BJI228" s="412"/>
      <c r="BJJ228" s="412"/>
      <c r="BJK228" s="412"/>
      <c r="BJL228" s="412"/>
      <c r="BJM228" s="412"/>
      <c r="BJN228" s="412"/>
      <c r="BJO228" s="412"/>
      <c r="BJP228" s="412"/>
      <c r="BJQ228" s="412"/>
      <c r="BJR228" s="412"/>
      <c r="BJS228" s="412"/>
      <c r="BJT228" s="412"/>
      <c r="BJU228" s="412"/>
      <c r="BJV228" s="412"/>
      <c r="BJW228" s="412"/>
      <c r="BJX228" s="412"/>
      <c r="BJY228" s="412"/>
      <c r="BJZ228" s="412"/>
      <c r="BKA228" s="412"/>
      <c r="BKB228" s="412"/>
      <c r="BKC228" s="412"/>
      <c r="BKD228" s="412"/>
      <c r="BKE228" s="412"/>
      <c r="BKF228" s="412"/>
      <c r="BKG228" s="412"/>
      <c r="BKH228" s="412"/>
      <c r="BKI228" s="412"/>
      <c r="BKJ228" s="412"/>
      <c r="BKK228" s="412"/>
      <c r="BKL228" s="412"/>
      <c r="BKM228" s="412"/>
      <c r="BKN228" s="412"/>
      <c r="BKO228" s="412"/>
      <c r="BKP228" s="412"/>
      <c r="BKQ228" s="412"/>
      <c r="BKR228" s="412"/>
      <c r="BKS228" s="412"/>
      <c r="BKT228" s="412"/>
      <c r="BKU228" s="412"/>
      <c r="BKV228" s="412"/>
      <c r="BKW228" s="412"/>
      <c r="BKX228" s="412"/>
      <c r="BKY228" s="412"/>
      <c r="BKZ228" s="412"/>
      <c r="BLA228" s="412"/>
      <c r="BLB228" s="412"/>
      <c r="BLC228" s="412"/>
      <c r="BLD228" s="412"/>
      <c r="BLE228" s="412"/>
      <c r="BLF228" s="412"/>
      <c r="BLG228" s="412"/>
      <c r="BLH228" s="412"/>
      <c r="BLI228" s="412"/>
      <c r="BLJ228" s="412"/>
      <c r="BLK228" s="412"/>
      <c r="BLL228" s="412"/>
      <c r="BLM228" s="412"/>
      <c r="BLN228" s="412"/>
      <c r="BLO228" s="412"/>
      <c r="BLP228" s="412"/>
      <c r="BLQ228" s="412"/>
      <c r="BLR228" s="412"/>
      <c r="BLS228" s="412"/>
      <c r="BLT228" s="412"/>
      <c r="BLU228" s="412"/>
      <c r="BLV228" s="412"/>
      <c r="BLW228" s="412"/>
      <c r="BLX228" s="412"/>
      <c r="BLY228" s="412"/>
      <c r="BLZ228" s="412"/>
      <c r="BMA228" s="412"/>
      <c r="BMB228" s="412"/>
      <c r="BMC228" s="412"/>
      <c r="BMD228" s="412"/>
      <c r="BME228" s="412"/>
      <c r="BMF228" s="412"/>
      <c r="BMG228" s="412"/>
      <c r="BMH228" s="412"/>
      <c r="BMI228" s="412"/>
      <c r="BMJ228" s="412"/>
      <c r="BMK228" s="412"/>
      <c r="BML228" s="412"/>
      <c r="BMM228" s="412"/>
      <c r="BMN228" s="412"/>
      <c r="BMO228" s="412"/>
      <c r="BMP228" s="412"/>
      <c r="BMQ228" s="412"/>
      <c r="BMR228" s="412"/>
      <c r="BMS228" s="412"/>
      <c r="BMT228" s="412"/>
      <c r="BMU228" s="412"/>
      <c r="BMV228" s="412"/>
      <c r="BMW228" s="412"/>
      <c r="BMX228" s="412"/>
      <c r="BMY228" s="412"/>
      <c r="BMZ228" s="412"/>
      <c r="BNA228" s="412"/>
      <c r="BNB228" s="412"/>
      <c r="BNC228" s="412"/>
      <c r="BND228" s="412"/>
      <c r="BNE228" s="412"/>
      <c r="BNF228" s="412"/>
      <c r="BNG228" s="412"/>
      <c r="BNH228" s="412"/>
      <c r="BNI228" s="412"/>
      <c r="BNJ228" s="412"/>
      <c r="BNK228" s="412"/>
      <c r="BNL228" s="412"/>
      <c r="BNM228" s="412"/>
      <c r="BNN228" s="412"/>
      <c r="BNO228" s="412"/>
      <c r="BNP228" s="412"/>
      <c r="BNQ228" s="412"/>
      <c r="BNR228" s="412"/>
      <c r="BNS228" s="412"/>
      <c r="BNT228" s="412"/>
      <c r="BNU228" s="412"/>
      <c r="BNV228" s="412"/>
      <c r="BNW228" s="412"/>
      <c r="BNX228" s="412"/>
      <c r="BNY228" s="412"/>
      <c r="BNZ228" s="412"/>
      <c r="BOA228" s="412"/>
      <c r="BOB228" s="412"/>
      <c r="BOC228" s="412"/>
      <c r="BOD228" s="412"/>
      <c r="BOE228" s="412"/>
      <c r="BOF228" s="412"/>
      <c r="BOG228" s="412"/>
      <c r="BOH228" s="412"/>
      <c r="BOI228" s="412"/>
      <c r="BOJ228" s="412"/>
      <c r="BOK228" s="412"/>
      <c r="BOL228" s="412"/>
      <c r="BOM228" s="412"/>
      <c r="BON228" s="412"/>
      <c r="BOO228" s="412"/>
      <c r="BOP228" s="412"/>
      <c r="BOQ228" s="412"/>
      <c r="BOR228" s="412"/>
      <c r="BOS228" s="412"/>
      <c r="BOT228" s="412"/>
      <c r="BOU228" s="412"/>
      <c r="BOV228" s="412"/>
      <c r="BOW228" s="412"/>
      <c r="BOX228" s="412"/>
      <c r="BOY228" s="412"/>
      <c r="BOZ228" s="412"/>
      <c r="BPA228" s="412"/>
      <c r="BPB228" s="412"/>
      <c r="BPC228" s="412"/>
      <c r="BPD228" s="412"/>
      <c r="BPE228" s="412"/>
      <c r="BPF228" s="412"/>
      <c r="BPG228" s="412"/>
      <c r="BPH228" s="412"/>
      <c r="BPI228" s="412"/>
      <c r="BPJ228" s="412"/>
      <c r="BPK228" s="412"/>
      <c r="BPL228" s="412"/>
      <c r="BPM228" s="412"/>
      <c r="BPN228" s="412"/>
      <c r="BPO228" s="412"/>
      <c r="BPP228" s="412"/>
      <c r="BPQ228" s="412"/>
      <c r="BPR228" s="412"/>
      <c r="BPS228" s="412"/>
      <c r="BPT228" s="412"/>
      <c r="BPU228" s="412"/>
      <c r="BPV228" s="412"/>
      <c r="BPW228" s="412"/>
      <c r="BPX228" s="412"/>
      <c r="BPY228" s="412"/>
      <c r="BPZ228" s="412"/>
      <c r="BQA228" s="412"/>
      <c r="BQB228" s="412"/>
      <c r="BQC228" s="412"/>
      <c r="BQD228" s="412"/>
      <c r="BQE228" s="412"/>
      <c r="BQF228" s="412"/>
      <c r="BQG228" s="412"/>
      <c r="BQH228" s="412"/>
      <c r="BQI228" s="412"/>
      <c r="BQJ228" s="412"/>
      <c r="BQK228" s="412"/>
      <c r="BQL228" s="412"/>
      <c r="BQM228" s="412"/>
      <c r="BQN228" s="412"/>
      <c r="BQO228" s="412"/>
      <c r="BQP228" s="412"/>
      <c r="BQQ228" s="412"/>
      <c r="BQR228" s="412"/>
      <c r="BQS228" s="412"/>
      <c r="BQT228" s="412"/>
      <c r="BQU228" s="412"/>
      <c r="BQV228" s="412"/>
      <c r="BQW228" s="412"/>
      <c r="BQX228" s="412"/>
      <c r="BQY228" s="412"/>
      <c r="BQZ228" s="412"/>
      <c r="BRA228" s="412"/>
      <c r="BRB228" s="412"/>
      <c r="BRC228" s="412"/>
      <c r="BRD228" s="412"/>
      <c r="BRE228" s="412"/>
      <c r="BRF228" s="412"/>
      <c r="BRG228" s="412"/>
      <c r="BRH228" s="412"/>
      <c r="BRI228" s="412"/>
      <c r="BRJ228" s="412"/>
      <c r="BRK228" s="412"/>
      <c r="BRL228" s="412"/>
      <c r="BRM228" s="412"/>
      <c r="BRN228" s="412"/>
      <c r="BRO228" s="412"/>
      <c r="BRP228" s="412"/>
      <c r="BRQ228" s="412"/>
      <c r="BRR228" s="412"/>
      <c r="BRS228" s="412"/>
      <c r="BRT228" s="412"/>
      <c r="BRU228" s="412"/>
      <c r="BRV228" s="412"/>
      <c r="BRW228" s="412"/>
      <c r="BRX228" s="412"/>
      <c r="BRY228" s="412"/>
      <c r="BRZ228" s="412"/>
      <c r="BSA228" s="412"/>
      <c r="BSB228" s="412"/>
      <c r="BSC228" s="412"/>
      <c r="BSD228" s="412"/>
      <c r="BSE228" s="412"/>
      <c r="BSF228" s="412"/>
      <c r="BSG228" s="412"/>
      <c r="BSH228" s="412"/>
      <c r="BSI228" s="412"/>
      <c r="BSJ228" s="412"/>
      <c r="BSK228" s="412"/>
      <c r="BSL228" s="412"/>
      <c r="BSM228" s="412"/>
      <c r="BSN228" s="412"/>
      <c r="BSO228" s="412"/>
      <c r="BSP228" s="412"/>
      <c r="BSQ228" s="412"/>
      <c r="BSR228" s="412"/>
      <c r="BSS228" s="412"/>
      <c r="BST228" s="412"/>
      <c r="BSU228" s="412"/>
      <c r="BSV228" s="412"/>
      <c r="BSW228" s="412"/>
      <c r="BSX228" s="412"/>
      <c r="BSY228" s="412"/>
      <c r="BSZ228" s="412"/>
      <c r="BTA228" s="412"/>
      <c r="BTB228" s="412"/>
      <c r="BTC228" s="412"/>
      <c r="BTD228" s="412"/>
      <c r="BTE228" s="412"/>
      <c r="BTF228" s="412"/>
      <c r="BTG228" s="412"/>
      <c r="BTH228" s="412"/>
      <c r="BTI228" s="412"/>
    </row>
    <row r="229" spans="1:1881" ht="77.25" customHeight="1" x14ac:dyDescent="0.25">
      <c r="A229" s="423">
        <v>542</v>
      </c>
      <c r="B229" s="419" t="s">
        <v>66</v>
      </c>
      <c r="C229" s="459" t="s">
        <v>898</v>
      </c>
      <c r="D229" s="176" t="s">
        <v>222</v>
      </c>
      <c r="E229" s="416" t="e">
        <f>HLOOKUP($D$2,'2019 Data(H)'!$C$1:$CG$300,192,FALSE)</f>
        <v>#N/A</v>
      </c>
      <c r="F229" s="647"/>
      <c r="G229" s="413"/>
      <c r="H229" s="150"/>
      <c r="I229" s="732"/>
    </row>
    <row r="230" spans="1:1881" ht="24.75" customHeight="1" x14ac:dyDescent="0.3">
      <c r="A230" s="190"/>
      <c r="B230" s="162" t="s">
        <v>225</v>
      </c>
      <c r="C230" s="162"/>
      <c r="D230" s="156"/>
      <c r="E230" s="163"/>
      <c r="F230" s="766"/>
      <c r="G230" s="575"/>
      <c r="H230" s="13"/>
      <c r="I230" s="31"/>
    </row>
    <row r="231" spans="1:1881" ht="25.5" customHeight="1" x14ac:dyDescent="0.3">
      <c r="A231" s="190"/>
      <c r="B231" s="157" t="s">
        <v>14</v>
      </c>
      <c r="C231" s="157"/>
      <c r="D231" s="156"/>
      <c r="E231" s="163"/>
      <c r="F231" s="748"/>
      <c r="G231" s="575"/>
      <c r="H231" s="13"/>
      <c r="I231" s="31"/>
    </row>
    <row r="232" spans="1:1881" ht="77.25" customHeight="1" x14ac:dyDescent="0.25">
      <c r="A232" s="192">
        <v>528</v>
      </c>
      <c r="B232" s="151" t="s">
        <v>62</v>
      </c>
      <c r="C232" s="160" t="s">
        <v>226</v>
      </c>
      <c r="D232" s="158" t="s">
        <v>1207</v>
      </c>
      <c r="E232" s="32" t="e">
        <f>HLOOKUP($D$2,'2019 Data(H)'!$C$1:$CG$300,178,FALSE)</f>
        <v>#N/A</v>
      </c>
      <c r="F232" s="647"/>
      <c r="G232" s="413" t="str">
        <f>IF(F232="","Error: Unit must enter this information if they levy taxes.",)</f>
        <v>Error: Unit must enter this information if they levy taxes.</v>
      </c>
      <c r="H232" s="117"/>
      <c r="I232" s="31"/>
      <c r="J232" s="462"/>
    </row>
    <row r="233" spans="1:1881" ht="69" customHeight="1" x14ac:dyDescent="0.25">
      <c r="A233" s="192">
        <v>529</v>
      </c>
      <c r="B233" s="151" t="s">
        <v>62</v>
      </c>
      <c r="C233" s="160" t="s">
        <v>226</v>
      </c>
      <c r="D233" s="158" t="s">
        <v>240</v>
      </c>
      <c r="E233" s="32" t="e">
        <f>HLOOKUP($D$2,'2019 Data(H)'!$C$1:$CG$300,179,FALSE)</f>
        <v>#N/A</v>
      </c>
      <c r="F233" s="647"/>
      <c r="G233" s="601" t="str">
        <f>IF(F233="","Error: Unit must enter this information if they levy taxes.",)</f>
        <v>Error: Unit must enter this information if they levy taxes.</v>
      </c>
      <c r="H233" s="13"/>
      <c r="I233" s="31"/>
    </row>
    <row r="234" spans="1:1881" ht="69" customHeight="1" x14ac:dyDescent="0.25">
      <c r="A234" s="192">
        <v>530</v>
      </c>
      <c r="B234" s="151" t="s">
        <v>62</v>
      </c>
      <c r="C234" s="160" t="s">
        <v>226</v>
      </c>
      <c r="D234" s="159" t="s">
        <v>241</v>
      </c>
      <c r="E234" s="32" t="e">
        <f>HLOOKUP($D$2,'2019 Data(H)'!$C$1:$CG$300,180,FALSE)</f>
        <v>#N/A</v>
      </c>
      <c r="F234" s="647"/>
      <c r="G234" s="601" t="str">
        <f>IF(F234="","Error: Unit must enter this information if they levy taxes.",)</f>
        <v>Error: Unit must enter this information if they levy taxes.</v>
      </c>
      <c r="H234" s="13"/>
      <c r="I234" s="31"/>
    </row>
    <row r="235" spans="1:1881" ht="55.5" customHeight="1" x14ac:dyDescent="0.25">
      <c r="A235" s="192">
        <v>531</v>
      </c>
      <c r="B235" s="151" t="s">
        <v>62</v>
      </c>
      <c r="C235" s="160" t="s">
        <v>226</v>
      </c>
      <c r="D235" s="159" t="s">
        <v>242</v>
      </c>
      <c r="E235" s="32" t="e">
        <f>HLOOKUP($D$2,'2019 Data(H)'!$C$1:$CG$300,181,FALSE)</f>
        <v>#N/A</v>
      </c>
      <c r="F235" s="647"/>
      <c r="G235" s="601" t="str">
        <f>IF(F235="","Error: Unit must enter this information if they levy taxes.",)</f>
        <v>Error: Unit must enter this information if they levy taxes.</v>
      </c>
      <c r="H235" s="13"/>
      <c r="I235" s="31"/>
    </row>
    <row r="236" spans="1:1881" ht="69" customHeight="1" x14ac:dyDescent="0.25">
      <c r="A236" s="189">
        <v>61</v>
      </c>
      <c r="B236" s="64" t="s">
        <v>66</v>
      </c>
      <c r="C236" s="160" t="s">
        <v>226</v>
      </c>
      <c r="D236" s="176" t="s">
        <v>637</v>
      </c>
      <c r="E236" s="195" t="e">
        <f>HLOOKUP($D$2,'2019 Data(H)'!$C$1:$CG$300,43,FALSE)</f>
        <v>#N/A</v>
      </c>
      <c r="F236" s="608"/>
      <c r="G236" s="601" t="e">
        <f>IF(F236=H236," ","Please check values in account 528, 529, 530 and  531.")</f>
        <v>#DIV/0!</v>
      </c>
      <c r="H236" s="677" t="e">
        <f>ROUND((F232+F233-F234-F235)/(F232+F233)*100,2)</f>
        <v>#DIV/0!</v>
      </c>
      <c r="I236" s="31"/>
    </row>
    <row r="237" spans="1:1881" ht="69" customHeight="1" x14ac:dyDescent="0.25">
      <c r="A237" s="189">
        <v>102</v>
      </c>
      <c r="B237" s="64" t="s">
        <v>66</v>
      </c>
      <c r="C237" s="160" t="s">
        <v>226</v>
      </c>
      <c r="D237" s="254" t="s">
        <v>638</v>
      </c>
      <c r="E237" s="195" t="e">
        <f>HLOOKUP($D$2,'2019 Data(H)'!$C$1:$CG$300,62,FALSE)</f>
        <v>#N/A</v>
      </c>
      <c r="F237" s="608"/>
      <c r="G237" s="601" t="e">
        <f>IF(F237=H237," ","Please check values in account 528 and 530.")</f>
        <v>#DIV/0!</v>
      </c>
      <c r="H237" s="677" t="e">
        <f>ROUND((F232-F234)/(F232)*100,2)</f>
        <v>#DIV/0!</v>
      </c>
      <c r="I237" s="31"/>
    </row>
    <row r="238" spans="1:1881" ht="63.75" customHeight="1" x14ac:dyDescent="0.25">
      <c r="A238" s="189">
        <v>103</v>
      </c>
      <c r="B238" s="64" t="s">
        <v>66</v>
      </c>
      <c r="C238" s="160" t="s">
        <v>226</v>
      </c>
      <c r="D238" s="176" t="s">
        <v>639</v>
      </c>
      <c r="E238" s="195" t="e">
        <f>HLOOKUP($D$2,'2019 Data(H)'!$C$1:$CG$300,63,FALSE)</f>
        <v>#N/A</v>
      </c>
      <c r="F238" s="608"/>
      <c r="G238" s="601" t="e">
        <f>IF(F238=H238," ","Please check values in account 529 and 531.")</f>
        <v>#DIV/0!</v>
      </c>
      <c r="H238" s="677" t="e">
        <f>ROUND((F233-F235)/F233*100,2)</f>
        <v>#DIV/0!</v>
      </c>
      <c r="I238" s="31"/>
    </row>
    <row r="239" spans="1:1881" ht="72" customHeight="1" x14ac:dyDescent="0.25">
      <c r="A239" s="189">
        <v>544</v>
      </c>
      <c r="B239" s="151" t="s">
        <v>66</v>
      </c>
      <c r="C239" s="183" t="s">
        <v>226</v>
      </c>
      <c r="D239" s="166" t="s">
        <v>243</v>
      </c>
      <c r="E239" s="196" t="e">
        <f>HLOOKUP($D$2,'2019 Data(H)'!$C$1:$CG$300,194,FALSE)</f>
        <v>#N/A</v>
      </c>
      <c r="F239" s="605"/>
      <c r="G239" s="601"/>
      <c r="H239" s="13"/>
      <c r="I239" s="189"/>
    </row>
    <row r="240" spans="1:1881" ht="73.5" customHeight="1" x14ac:dyDescent="0.25">
      <c r="A240" s="189">
        <v>545</v>
      </c>
      <c r="B240" s="151" t="s">
        <v>66</v>
      </c>
      <c r="C240" s="183" t="s">
        <v>226</v>
      </c>
      <c r="D240" s="166" t="s">
        <v>244</v>
      </c>
      <c r="E240" s="616"/>
      <c r="F240" s="605"/>
      <c r="G240" s="601"/>
      <c r="H240" s="13"/>
      <c r="I240" s="617"/>
    </row>
    <row r="241" spans="1:1881" ht="51.75" customHeight="1" x14ac:dyDescent="0.25">
      <c r="A241" s="479">
        <v>624</v>
      </c>
      <c r="B241" s="478" t="s">
        <v>66</v>
      </c>
      <c r="C241" s="478"/>
      <c r="D241" s="478" t="s">
        <v>827</v>
      </c>
      <c r="E241" s="616"/>
      <c r="F241" s="607"/>
      <c r="G241" s="583" t="str">
        <f>IF(+F241&lt;1,"Please answer this question","")</f>
        <v>Please answer this question</v>
      </c>
      <c r="H241" s="67"/>
      <c r="I241" s="189"/>
    </row>
    <row r="242" spans="1:1881" ht="27.75" customHeight="1" x14ac:dyDescent="0.25">
      <c r="A242" s="586"/>
      <c r="B242" s="162" t="s">
        <v>808</v>
      </c>
      <c r="C242" s="162"/>
      <c r="D242" s="162"/>
      <c r="E242" s="585"/>
      <c r="F242" s="767"/>
      <c r="G242" s="584"/>
      <c r="H242" s="67"/>
      <c r="I242" s="189"/>
      <c r="J242" s="373"/>
    </row>
    <row r="243" spans="1:1881" ht="68.25" customHeight="1" x14ac:dyDescent="0.25">
      <c r="A243" s="189">
        <v>620</v>
      </c>
      <c r="B243" s="151" t="s">
        <v>66</v>
      </c>
      <c r="C243" s="183"/>
      <c r="D243" s="338" t="s">
        <v>807</v>
      </c>
      <c r="E243" s="313"/>
      <c r="F243" s="607"/>
      <c r="G243" s="583" t="str">
        <f>IF(F243&lt;1,"Please answer this question","")</f>
        <v>Please answer this question</v>
      </c>
      <c r="H243" s="67"/>
      <c r="I243" s="189"/>
    </row>
    <row r="244" spans="1:1881" s="503" customFormat="1" ht="93" customHeight="1" x14ac:dyDescent="0.25">
      <c r="A244" s="595"/>
      <c r="B244" s="967" t="s">
        <v>1251</v>
      </c>
      <c r="C244" s="967"/>
      <c r="D244" s="967"/>
      <c r="E244" s="967"/>
      <c r="F244" s="967"/>
      <c r="G244" s="967"/>
      <c r="H244" s="505"/>
      <c r="I244" s="423"/>
      <c r="J244" s="504"/>
      <c r="K244" s="504"/>
      <c r="L244" s="504"/>
      <c r="M244" s="504"/>
      <c r="N244"/>
      <c r="O244" s="504"/>
      <c r="P244" s="504"/>
      <c r="Q244" s="504"/>
      <c r="R244" s="504"/>
      <c r="S244" s="504"/>
      <c r="T244" s="504"/>
      <c r="U244" s="504"/>
      <c r="V244" s="504"/>
      <c r="W244" s="504"/>
      <c r="X244" s="504"/>
      <c r="Y244" s="504"/>
      <c r="Z244" s="504"/>
      <c r="AA244" s="504"/>
      <c r="AB244" s="504"/>
      <c r="AC244" s="504"/>
      <c r="AD244" s="504"/>
      <c r="AE244" s="504"/>
      <c r="AF244" s="504"/>
      <c r="AG244" s="504"/>
      <c r="AH244" s="504"/>
      <c r="AI244" s="504"/>
      <c r="AJ244" s="504"/>
      <c r="AK244" s="504"/>
      <c r="AL244" s="504"/>
      <c r="AM244" s="504"/>
      <c r="AN244" s="504"/>
      <c r="AO244" s="504"/>
      <c r="AP244" s="504"/>
      <c r="AQ244" s="504"/>
      <c r="AR244" s="504"/>
      <c r="AS244" s="504"/>
      <c r="AT244" s="504"/>
      <c r="AU244" s="504"/>
      <c r="AV244" s="504"/>
      <c r="AW244" s="504"/>
      <c r="AX244" s="504"/>
      <c r="AY244" s="504"/>
      <c r="AZ244" s="504"/>
      <c r="BA244" s="504"/>
      <c r="BB244" s="504"/>
      <c r="BC244" s="504"/>
      <c r="BD244" s="504"/>
      <c r="BE244" s="504"/>
      <c r="BF244" s="504"/>
      <c r="BG244" s="504"/>
      <c r="BH244" s="504"/>
      <c r="BI244" s="504"/>
      <c r="BJ244" s="504"/>
      <c r="BK244" s="504"/>
      <c r="BL244" s="504"/>
      <c r="BM244" s="504"/>
      <c r="BN244" s="504"/>
      <c r="BO244" s="504"/>
      <c r="BP244" s="504"/>
      <c r="BQ244" s="504"/>
      <c r="BR244" s="504"/>
      <c r="BS244" s="504"/>
      <c r="BT244" s="504"/>
      <c r="BU244" s="504"/>
      <c r="BV244" s="504"/>
      <c r="BW244" s="504"/>
      <c r="BX244" s="504"/>
      <c r="BY244" s="504"/>
      <c r="BZ244" s="504"/>
      <c r="CA244" s="504"/>
      <c r="CB244" s="504"/>
      <c r="CC244" s="504"/>
      <c r="CD244" s="504"/>
      <c r="CE244" s="504"/>
      <c r="CF244" s="504"/>
      <c r="CG244" s="504"/>
      <c r="CH244" s="504"/>
      <c r="CI244" s="504"/>
      <c r="CJ244" s="504"/>
      <c r="CK244" s="504"/>
      <c r="CL244" s="504"/>
      <c r="CM244" s="504"/>
      <c r="CN244" s="504"/>
      <c r="CO244" s="504"/>
      <c r="CP244" s="504"/>
      <c r="CQ244" s="504"/>
      <c r="CR244" s="504"/>
      <c r="CS244" s="504"/>
      <c r="CT244" s="504"/>
      <c r="CU244" s="504"/>
      <c r="CV244" s="504"/>
      <c r="CW244" s="504"/>
      <c r="CX244" s="504"/>
      <c r="CY244" s="504"/>
      <c r="CZ244" s="504"/>
      <c r="DA244" s="504"/>
      <c r="DB244" s="504"/>
      <c r="DC244" s="504"/>
      <c r="DD244" s="504"/>
      <c r="DE244" s="504"/>
      <c r="DF244" s="504"/>
      <c r="DG244" s="504"/>
      <c r="DH244" s="504"/>
      <c r="DI244" s="504"/>
      <c r="DJ244" s="504"/>
      <c r="DK244" s="504"/>
      <c r="DL244" s="504"/>
      <c r="DM244" s="504"/>
      <c r="DN244" s="504"/>
      <c r="DO244" s="504"/>
      <c r="DP244" s="504"/>
      <c r="DQ244" s="504"/>
      <c r="DR244" s="504"/>
      <c r="DS244" s="504"/>
      <c r="DT244" s="504"/>
      <c r="DU244" s="504"/>
      <c r="DV244" s="504"/>
      <c r="DW244" s="504"/>
      <c r="DX244" s="504"/>
      <c r="DY244" s="504"/>
      <c r="DZ244" s="504"/>
      <c r="EA244" s="504"/>
      <c r="EB244" s="504"/>
      <c r="EC244" s="504"/>
      <c r="ED244" s="504"/>
      <c r="EE244" s="504"/>
      <c r="EF244" s="504"/>
      <c r="EG244" s="504"/>
      <c r="EH244" s="504"/>
      <c r="EI244" s="504"/>
      <c r="EJ244" s="504"/>
      <c r="EK244" s="504"/>
      <c r="EL244" s="504"/>
      <c r="EM244" s="504"/>
      <c r="EN244" s="504"/>
      <c r="EO244" s="504"/>
      <c r="EP244" s="504"/>
      <c r="EQ244" s="504"/>
      <c r="ER244" s="504"/>
      <c r="ES244" s="504"/>
      <c r="ET244" s="504"/>
      <c r="EU244" s="504"/>
      <c r="EV244" s="504"/>
      <c r="EW244" s="504"/>
      <c r="EX244" s="504"/>
      <c r="EY244" s="504"/>
      <c r="EZ244" s="504"/>
      <c r="FA244" s="504"/>
      <c r="FB244" s="504"/>
      <c r="FC244" s="504"/>
      <c r="FD244" s="504"/>
      <c r="FE244" s="504"/>
      <c r="FF244" s="504"/>
      <c r="FG244" s="504"/>
      <c r="FH244" s="504"/>
      <c r="FI244" s="504"/>
      <c r="FJ244" s="504"/>
      <c r="FK244" s="504"/>
      <c r="FL244" s="504"/>
      <c r="FM244" s="504"/>
      <c r="FN244" s="504"/>
      <c r="FO244" s="504"/>
      <c r="FP244" s="504"/>
      <c r="FQ244" s="504"/>
      <c r="FR244" s="504"/>
      <c r="FS244" s="504"/>
      <c r="FT244" s="504"/>
      <c r="FU244" s="504"/>
      <c r="FV244" s="504"/>
      <c r="FW244" s="504"/>
      <c r="FX244" s="504"/>
      <c r="FY244" s="504"/>
      <c r="FZ244" s="504"/>
      <c r="GA244" s="504"/>
      <c r="GB244" s="504"/>
      <c r="GC244" s="504"/>
      <c r="GD244" s="504"/>
      <c r="GE244" s="504"/>
      <c r="GF244" s="504"/>
      <c r="GG244" s="504"/>
      <c r="GH244" s="504"/>
      <c r="GI244" s="504"/>
      <c r="GJ244" s="504"/>
      <c r="GK244" s="504"/>
      <c r="GL244" s="504"/>
      <c r="GM244" s="504"/>
      <c r="GN244" s="504"/>
      <c r="GO244" s="504"/>
      <c r="GP244" s="504"/>
      <c r="GQ244" s="504"/>
      <c r="GR244" s="504"/>
      <c r="GS244" s="504"/>
      <c r="GT244" s="504"/>
      <c r="GU244" s="504"/>
      <c r="GV244" s="504"/>
      <c r="GW244" s="504"/>
      <c r="GX244" s="504"/>
      <c r="GY244" s="504"/>
      <c r="GZ244" s="504"/>
      <c r="HA244" s="504"/>
      <c r="HB244" s="504"/>
      <c r="HC244" s="504"/>
      <c r="HD244" s="504"/>
      <c r="HE244" s="504"/>
      <c r="HF244" s="504"/>
      <c r="HG244" s="504"/>
      <c r="HH244" s="504"/>
      <c r="HI244" s="504"/>
      <c r="HJ244" s="504"/>
      <c r="HK244" s="504"/>
      <c r="HL244" s="504"/>
      <c r="HM244" s="504"/>
      <c r="HN244" s="504"/>
      <c r="HO244" s="504"/>
      <c r="HP244" s="504"/>
      <c r="HQ244" s="504"/>
      <c r="HR244" s="504"/>
      <c r="HS244" s="504"/>
      <c r="HT244" s="504"/>
      <c r="HU244" s="504"/>
      <c r="HV244" s="504"/>
      <c r="HW244" s="504"/>
      <c r="HX244" s="504"/>
      <c r="HY244" s="504"/>
      <c r="HZ244" s="504"/>
      <c r="IA244" s="504"/>
      <c r="IB244" s="504"/>
      <c r="IC244" s="504"/>
      <c r="ID244" s="504"/>
      <c r="IE244" s="504"/>
      <c r="IF244" s="504"/>
      <c r="IG244" s="504"/>
      <c r="IH244" s="504"/>
      <c r="II244" s="504"/>
      <c r="IJ244" s="504"/>
      <c r="IK244" s="504"/>
      <c r="IL244" s="504"/>
      <c r="IM244" s="504"/>
      <c r="IN244" s="504"/>
      <c r="IO244" s="504"/>
      <c r="IP244" s="504"/>
      <c r="IQ244" s="504"/>
      <c r="IR244" s="504"/>
      <c r="IS244" s="504"/>
      <c r="IT244" s="504"/>
      <c r="IU244" s="504"/>
      <c r="IV244" s="504"/>
      <c r="IW244" s="504"/>
      <c r="IX244" s="504"/>
      <c r="IY244" s="504"/>
      <c r="IZ244" s="504"/>
      <c r="JA244" s="504"/>
      <c r="JB244" s="504"/>
      <c r="JC244" s="504"/>
      <c r="JD244" s="504"/>
      <c r="JE244" s="504"/>
      <c r="JF244" s="504"/>
      <c r="JG244" s="504"/>
      <c r="JH244" s="504"/>
      <c r="JI244" s="504"/>
      <c r="JJ244" s="504"/>
      <c r="JK244" s="504"/>
      <c r="JL244" s="504"/>
      <c r="JM244" s="504"/>
      <c r="JN244" s="504"/>
      <c r="JO244" s="504"/>
      <c r="JP244" s="504"/>
      <c r="JQ244" s="504"/>
      <c r="JR244" s="504"/>
      <c r="JS244" s="504"/>
      <c r="JT244" s="504"/>
      <c r="JU244" s="504"/>
      <c r="JV244" s="504"/>
      <c r="JW244" s="504"/>
      <c r="JX244" s="504"/>
      <c r="JY244" s="504"/>
      <c r="JZ244" s="504"/>
      <c r="KA244" s="504"/>
      <c r="KB244" s="504"/>
      <c r="KC244" s="504"/>
      <c r="KD244" s="504"/>
      <c r="KE244" s="504"/>
      <c r="KF244" s="504"/>
      <c r="KG244" s="504"/>
      <c r="KH244" s="504"/>
      <c r="KI244" s="504"/>
      <c r="KJ244" s="504"/>
      <c r="KK244" s="504"/>
      <c r="KL244" s="504"/>
      <c r="KM244" s="504"/>
      <c r="KN244" s="504"/>
      <c r="KO244" s="504"/>
      <c r="KP244" s="504"/>
      <c r="KQ244" s="504"/>
      <c r="KR244" s="504"/>
      <c r="KS244" s="504"/>
      <c r="KT244" s="504"/>
      <c r="KU244" s="504"/>
      <c r="KV244" s="504"/>
      <c r="KW244" s="504"/>
      <c r="KX244" s="504"/>
      <c r="KY244" s="504"/>
      <c r="KZ244" s="504"/>
      <c r="LA244" s="504"/>
      <c r="LB244" s="504"/>
      <c r="LC244" s="504"/>
      <c r="LD244" s="504"/>
      <c r="LE244" s="504"/>
      <c r="LF244" s="504"/>
      <c r="LG244" s="504"/>
      <c r="LH244" s="504"/>
      <c r="LI244" s="504"/>
      <c r="LJ244" s="504"/>
      <c r="LK244" s="504"/>
      <c r="LL244" s="504"/>
      <c r="LM244" s="504"/>
      <c r="LN244" s="504"/>
      <c r="LO244" s="504"/>
      <c r="LP244" s="504"/>
      <c r="LQ244" s="504"/>
      <c r="LR244" s="504"/>
      <c r="LS244" s="504"/>
      <c r="LT244" s="504"/>
      <c r="LU244" s="504"/>
      <c r="LV244" s="504"/>
      <c r="LW244" s="504"/>
      <c r="LX244" s="504"/>
      <c r="LY244" s="504"/>
      <c r="LZ244" s="504"/>
      <c r="MA244" s="504"/>
      <c r="MB244" s="504"/>
      <c r="MC244" s="504"/>
      <c r="MD244" s="504"/>
      <c r="ME244" s="504"/>
      <c r="MF244" s="504"/>
      <c r="MG244" s="504"/>
      <c r="MH244" s="504"/>
      <c r="MI244" s="504"/>
      <c r="MJ244" s="504"/>
      <c r="MK244" s="504"/>
      <c r="ML244" s="504"/>
      <c r="MM244" s="504"/>
      <c r="MN244" s="504"/>
      <c r="MO244" s="504"/>
      <c r="MP244" s="504"/>
      <c r="MQ244" s="504"/>
      <c r="MR244" s="504"/>
      <c r="MS244" s="504"/>
      <c r="MT244" s="504"/>
      <c r="MU244" s="504"/>
      <c r="MV244" s="504"/>
      <c r="MW244" s="504"/>
      <c r="MX244" s="504"/>
      <c r="MY244" s="504"/>
      <c r="MZ244" s="504"/>
      <c r="NA244" s="504"/>
      <c r="NB244" s="504"/>
      <c r="NC244" s="504"/>
      <c r="ND244" s="504"/>
      <c r="NE244" s="504"/>
      <c r="NF244" s="504"/>
      <c r="NG244" s="504"/>
      <c r="NH244" s="504"/>
      <c r="NI244" s="504"/>
      <c r="NJ244" s="504"/>
      <c r="NK244" s="504"/>
      <c r="NL244" s="504"/>
      <c r="NM244" s="504"/>
      <c r="NN244" s="504"/>
      <c r="NO244" s="504"/>
      <c r="NP244" s="504"/>
      <c r="NQ244" s="504"/>
      <c r="NR244" s="504"/>
      <c r="NS244" s="504"/>
      <c r="NT244" s="504"/>
      <c r="NU244" s="504"/>
      <c r="NV244" s="504"/>
      <c r="NW244" s="504"/>
      <c r="NX244" s="504"/>
      <c r="NY244" s="504"/>
      <c r="NZ244" s="504"/>
      <c r="OA244" s="504"/>
      <c r="OB244" s="504"/>
      <c r="OC244" s="504"/>
      <c r="OD244" s="504"/>
      <c r="OE244" s="504"/>
      <c r="OF244" s="504"/>
      <c r="OG244" s="504"/>
      <c r="OH244" s="504"/>
      <c r="OI244" s="504"/>
      <c r="OJ244" s="504"/>
      <c r="OK244" s="504"/>
      <c r="OL244" s="504"/>
      <c r="OM244" s="504"/>
      <c r="ON244" s="504"/>
      <c r="OO244" s="504"/>
      <c r="OP244" s="504"/>
      <c r="OQ244" s="504"/>
      <c r="OR244" s="504"/>
      <c r="OS244" s="504"/>
      <c r="OT244" s="504"/>
      <c r="OU244" s="504"/>
      <c r="OV244" s="504"/>
      <c r="OW244" s="504"/>
      <c r="OX244" s="504"/>
      <c r="OY244" s="504"/>
      <c r="OZ244" s="504"/>
      <c r="PA244" s="504"/>
      <c r="PB244" s="504"/>
      <c r="PC244" s="504"/>
      <c r="PD244" s="504"/>
      <c r="PE244" s="504"/>
      <c r="PF244" s="504"/>
      <c r="PG244" s="504"/>
      <c r="PH244" s="504"/>
      <c r="PI244" s="504"/>
      <c r="PJ244" s="504"/>
      <c r="PK244" s="504"/>
      <c r="PL244" s="504"/>
      <c r="PM244" s="504"/>
      <c r="PN244" s="504"/>
      <c r="PO244" s="504"/>
      <c r="PP244" s="504"/>
      <c r="PQ244" s="504"/>
      <c r="PR244" s="504"/>
      <c r="PS244" s="504"/>
      <c r="PT244" s="504"/>
      <c r="PU244" s="504"/>
      <c r="PV244" s="504"/>
      <c r="PW244" s="504"/>
      <c r="PX244" s="504"/>
      <c r="PY244" s="504"/>
      <c r="PZ244" s="504"/>
      <c r="QA244" s="504"/>
      <c r="QB244" s="504"/>
      <c r="QC244" s="504"/>
      <c r="QD244" s="504"/>
      <c r="QE244" s="504"/>
      <c r="QF244" s="504"/>
      <c r="QG244" s="504"/>
      <c r="QH244" s="504"/>
      <c r="QI244" s="504"/>
      <c r="QJ244" s="504"/>
      <c r="QK244" s="504"/>
      <c r="QL244" s="504"/>
      <c r="QM244" s="504"/>
      <c r="QN244" s="504"/>
      <c r="QO244" s="504"/>
      <c r="QP244" s="504"/>
      <c r="QQ244" s="504"/>
      <c r="QR244" s="504"/>
      <c r="QS244" s="504"/>
      <c r="QT244" s="504"/>
      <c r="QU244" s="504"/>
      <c r="QV244" s="504"/>
      <c r="QW244" s="504"/>
      <c r="QX244" s="504"/>
      <c r="QY244" s="504"/>
      <c r="QZ244" s="504"/>
      <c r="RA244" s="504"/>
      <c r="RB244" s="504"/>
      <c r="RC244" s="504"/>
      <c r="RD244" s="504"/>
      <c r="RE244" s="504"/>
      <c r="RF244" s="504"/>
      <c r="RG244" s="504"/>
      <c r="RH244" s="504"/>
      <c r="RI244" s="504"/>
      <c r="RJ244" s="504"/>
      <c r="RK244" s="504"/>
      <c r="RL244" s="504"/>
      <c r="RM244" s="504"/>
      <c r="RN244" s="504"/>
      <c r="RO244" s="504"/>
      <c r="RP244" s="504"/>
      <c r="RQ244" s="504"/>
      <c r="RR244" s="504"/>
      <c r="RS244" s="504"/>
      <c r="RT244" s="504"/>
      <c r="RU244" s="504"/>
      <c r="RV244" s="504"/>
      <c r="RW244" s="504"/>
      <c r="RX244" s="504"/>
      <c r="RY244" s="504"/>
      <c r="RZ244" s="504"/>
      <c r="SA244" s="504"/>
      <c r="SB244" s="504"/>
      <c r="SC244" s="504"/>
      <c r="SD244" s="504"/>
      <c r="SE244" s="504"/>
      <c r="SF244" s="504"/>
      <c r="SG244" s="504"/>
      <c r="SH244" s="504"/>
      <c r="SI244" s="504"/>
      <c r="SJ244" s="504"/>
      <c r="SK244" s="504"/>
      <c r="SL244" s="504"/>
      <c r="SM244" s="504"/>
      <c r="SN244" s="504"/>
      <c r="SO244" s="504"/>
      <c r="SP244" s="504"/>
      <c r="SQ244" s="504"/>
      <c r="SR244" s="504"/>
      <c r="SS244" s="504"/>
      <c r="ST244" s="504"/>
      <c r="SU244" s="504"/>
      <c r="SV244" s="504"/>
      <c r="SW244" s="504"/>
      <c r="SX244" s="504"/>
      <c r="SY244" s="504"/>
      <c r="SZ244" s="504"/>
      <c r="TA244" s="504"/>
      <c r="TB244" s="504"/>
      <c r="TC244" s="504"/>
      <c r="TD244" s="504"/>
      <c r="TE244" s="504"/>
      <c r="TF244" s="504"/>
      <c r="TG244" s="504"/>
      <c r="TH244" s="504"/>
      <c r="TI244" s="504"/>
      <c r="TJ244" s="504"/>
      <c r="TK244" s="504"/>
      <c r="TL244" s="504"/>
      <c r="TM244" s="504"/>
      <c r="TN244" s="504"/>
      <c r="TO244" s="504"/>
      <c r="TP244" s="504"/>
      <c r="TQ244" s="504"/>
      <c r="TR244" s="504"/>
      <c r="TS244" s="504"/>
      <c r="TT244" s="504"/>
      <c r="TU244" s="504"/>
      <c r="TV244" s="504"/>
      <c r="TW244" s="504"/>
      <c r="TX244" s="504"/>
      <c r="TY244" s="504"/>
      <c r="TZ244" s="504"/>
      <c r="UA244" s="504"/>
      <c r="UB244" s="504"/>
      <c r="UC244" s="504"/>
      <c r="UD244" s="504"/>
      <c r="UE244" s="504"/>
      <c r="UF244" s="504"/>
      <c r="UG244" s="504"/>
      <c r="UH244" s="504"/>
      <c r="UI244" s="504"/>
      <c r="UJ244" s="504"/>
      <c r="UK244" s="504"/>
      <c r="UL244" s="504"/>
      <c r="UM244" s="504"/>
      <c r="UN244" s="504"/>
      <c r="UO244" s="504"/>
      <c r="UP244" s="504"/>
      <c r="UQ244" s="504"/>
      <c r="UR244" s="504"/>
      <c r="US244" s="504"/>
      <c r="UT244" s="504"/>
      <c r="UU244" s="504"/>
      <c r="UV244" s="504"/>
      <c r="UW244" s="504"/>
      <c r="UX244" s="504"/>
      <c r="UY244" s="504"/>
      <c r="UZ244" s="504"/>
      <c r="VA244" s="504"/>
      <c r="VB244" s="504"/>
      <c r="VC244" s="504"/>
      <c r="VD244" s="504"/>
      <c r="VE244" s="504"/>
      <c r="VF244" s="504"/>
      <c r="VG244" s="504"/>
      <c r="VH244" s="504"/>
      <c r="VI244" s="504"/>
      <c r="VJ244" s="504"/>
      <c r="VK244" s="504"/>
      <c r="VL244" s="504"/>
      <c r="VM244" s="504"/>
      <c r="VN244" s="504"/>
      <c r="VO244" s="504"/>
      <c r="VP244" s="504"/>
      <c r="VQ244" s="504"/>
      <c r="VR244" s="504"/>
      <c r="VS244" s="504"/>
      <c r="VT244" s="504"/>
      <c r="VU244" s="504"/>
      <c r="VV244" s="504"/>
      <c r="VW244" s="504"/>
      <c r="VX244" s="504"/>
      <c r="VY244" s="504"/>
      <c r="VZ244" s="504"/>
      <c r="WA244" s="504"/>
      <c r="WB244" s="504"/>
      <c r="WC244" s="504"/>
      <c r="WD244" s="504"/>
      <c r="WE244" s="504"/>
      <c r="WF244" s="504"/>
      <c r="WG244" s="504"/>
      <c r="WH244" s="504"/>
      <c r="WI244" s="504"/>
      <c r="WJ244" s="504"/>
      <c r="WK244" s="504"/>
      <c r="WL244" s="504"/>
      <c r="WM244" s="504"/>
      <c r="WN244" s="504"/>
      <c r="WO244" s="504"/>
      <c r="WP244" s="504"/>
      <c r="WQ244" s="504"/>
      <c r="WR244" s="504"/>
      <c r="WS244" s="504"/>
      <c r="WT244" s="504"/>
      <c r="WU244" s="504"/>
      <c r="WV244" s="504"/>
      <c r="WW244" s="504"/>
      <c r="WX244" s="504"/>
      <c r="WY244" s="504"/>
      <c r="WZ244" s="504"/>
      <c r="XA244" s="504"/>
      <c r="XB244" s="504"/>
      <c r="XC244" s="504"/>
      <c r="XD244" s="504"/>
      <c r="XE244" s="504"/>
      <c r="XF244" s="504"/>
      <c r="XG244" s="504"/>
      <c r="XH244" s="504"/>
      <c r="XI244" s="504"/>
      <c r="XJ244" s="504"/>
      <c r="XK244" s="504"/>
      <c r="XL244" s="504"/>
      <c r="XM244" s="504"/>
      <c r="XN244" s="504"/>
      <c r="XO244" s="504"/>
      <c r="XP244" s="504"/>
      <c r="XQ244" s="504"/>
      <c r="XR244" s="504"/>
      <c r="XS244" s="504"/>
      <c r="XT244" s="504"/>
      <c r="XU244" s="504"/>
      <c r="XV244" s="504"/>
      <c r="XW244" s="504"/>
      <c r="XX244" s="504"/>
      <c r="XY244" s="504"/>
      <c r="XZ244" s="504"/>
      <c r="YA244" s="504"/>
      <c r="YB244" s="504"/>
      <c r="YC244" s="504"/>
      <c r="YD244" s="504"/>
      <c r="YE244" s="504"/>
      <c r="YF244" s="504"/>
      <c r="YG244" s="504"/>
      <c r="YH244" s="504"/>
      <c r="YI244" s="504"/>
      <c r="YJ244" s="504"/>
      <c r="YK244" s="504"/>
      <c r="YL244" s="504"/>
      <c r="YM244" s="504"/>
      <c r="YN244" s="504"/>
      <c r="YO244" s="504"/>
      <c r="YP244" s="504"/>
      <c r="YQ244" s="504"/>
      <c r="YR244" s="504"/>
      <c r="YS244" s="504"/>
      <c r="YT244" s="504"/>
      <c r="YU244" s="504"/>
      <c r="YV244" s="504"/>
      <c r="YW244" s="504"/>
      <c r="YX244" s="504"/>
      <c r="YY244" s="504"/>
      <c r="YZ244" s="504"/>
      <c r="ZA244" s="504"/>
      <c r="ZB244" s="504"/>
      <c r="ZC244" s="504"/>
      <c r="ZD244" s="504"/>
      <c r="ZE244" s="504"/>
      <c r="ZF244" s="504"/>
      <c r="ZG244" s="504"/>
      <c r="ZH244" s="504"/>
      <c r="ZI244" s="504"/>
      <c r="ZJ244" s="504"/>
      <c r="ZK244" s="504"/>
      <c r="ZL244" s="504"/>
      <c r="ZM244" s="504"/>
      <c r="ZN244" s="504"/>
      <c r="ZO244" s="504"/>
      <c r="ZP244" s="504"/>
      <c r="ZQ244" s="504"/>
      <c r="ZR244" s="504"/>
      <c r="ZS244" s="504"/>
      <c r="ZT244" s="504"/>
      <c r="ZU244" s="504"/>
      <c r="ZV244" s="504"/>
      <c r="ZW244" s="504"/>
      <c r="ZX244" s="504"/>
      <c r="ZY244" s="504"/>
      <c r="ZZ244" s="504"/>
      <c r="AAA244" s="504"/>
      <c r="AAB244" s="504"/>
      <c r="AAC244" s="504"/>
      <c r="AAD244" s="504"/>
      <c r="AAE244" s="504"/>
      <c r="AAF244" s="504"/>
      <c r="AAG244" s="504"/>
      <c r="AAH244" s="504"/>
      <c r="AAI244" s="504"/>
      <c r="AAJ244" s="504"/>
      <c r="AAK244" s="504"/>
      <c r="AAL244" s="504"/>
      <c r="AAM244" s="504"/>
      <c r="AAN244" s="504"/>
      <c r="AAO244" s="504"/>
      <c r="AAP244" s="504"/>
      <c r="AAQ244" s="504"/>
      <c r="AAR244" s="504"/>
      <c r="AAS244" s="504"/>
      <c r="AAT244" s="504"/>
      <c r="AAU244" s="504"/>
      <c r="AAV244" s="504"/>
      <c r="AAW244" s="504"/>
      <c r="AAX244" s="504"/>
      <c r="AAY244" s="504"/>
      <c r="AAZ244" s="504"/>
      <c r="ABA244" s="504"/>
      <c r="ABB244" s="504"/>
      <c r="ABC244" s="504"/>
      <c r="ABD244" s="504"/>
      <c r="ABE244" s="504"/>
      <c r="ABF244" s="504"/>
      <c r="ABG244" s="504"/>
      <c r="ABH244" s="504"/>
      <c r="ABI244" s="504"/>
      <c r="ABJ244" s="504"/>
      <c r="ABK244" s="504"/>
      <c r="ABL244" s="504"/>
      <c r="ABM244" s="504"/>
      <c r="ABN244" s="504"/>
      <c r="ABO244" s="504"/>
      <c r="ABP244" s="504"/>
      <c r="ABQ244" s="504"/>
      <c r="ABR244" s="504"/>
      <c r="ABS244" s="504"/>
      <c r="ABT244" s="504"/>
      <c r="ABU244" s="504"/>
      <c r="ABV244" s="504"/>
      <c r="ABW244" s="504"/>
      <c r="ABX244" s="504"/>
      <c r="ABY244" s="504"/>
      <c r="ABZ244" s="504"/>
      <c r="ACA244" s="504"/>
      <c r="ACB244" s="504"/>
      <c r="ACC244" s="504"/>
      <c r="ACD244" s="504"/>
      <c r="ACE244" s="504"/>
      <c r="ACF244" s="504"/>
      <c r="ACG244" s="504"/>
      <c r="ACH244" s="504"/>
      <c r="ACI244" s="504"/>
      <c r="ACJ244" s="504"/>
      <c r="ACK244" s="504"/>
      <c r="ACL244" s="504"/>
      <c r="ACM244" s="504"/>
      <c r="ACN244" s="504"/>
      <c r="ACO244" s="504"/>
      <c r="ACP244" s="504"/>
      <c r="ACQ244" s="504"/>
      <c r="ACR244" s="504"/>
      <c r="ACS244" s="504"/>
      <c r="ACT244" s="504"/>
      <c r="ACU244" s="504"/>
      <c r="ACV244" s="504"/>
      <c r="ACW244" s="504"/>
      <c r="ACX244" s="504"/>
      <c r="ACY244" s="504"/>
      <c r="ACZ244" s="504"/>
      <c r="ADA244" s="504"/>
      <c r="ADB244" s="504"/>
      <c r="ADC244" s="504"/>
      <c r="ADD244" s="504"/>
      <c r="ADE244" s="504"/>
      <c r="ADF244" s="504"/>
      <c r="ADG244" s="504"/>
      <c r="ADH244" s="504"/>
      <c r="ADI244" s="504"/>
      <c r="ADJ244" s="504"/>
      <c r="ADK244" s="504"/>
      <c r="ADL244" s="504"/>
      <c r="ADM244" s="504"/>
      <c r="ADN244" s="504"/>
      <c r="ADO244" s="504"/>
      <c r="ADP244" s="504"/>
      <c r="ADQ244" s="504"/>
      <c r="ADR244" s="504"/>
      <c r="ADS244" s="504"/>
      <c r="ADT244" s="504"/>
      <c r="ADU244" s="504"/>
      <c r="ADV244" s="504"/>
      <c r="ADW244" s="504"/>
      <c r="ADX244" s="504"/>
      <c r="ADY244" s="504"/>
      <c r="ADZ244" s="504"/>
      <c r="AEA244" s="504"/>
      <c r="AEB244" s="504"/>
      <c r="AEC244" s="504"/>
      <c r="AED244" s="504"/>
      <c r="AEE244" s="504"/>
      <c r="AEF244" s="504"/>
      <c r="AEG244" s="504"/>
      <c r="AEH244" s="504"/>
      <c r="AEI244" s="504"/>
      <c r="AEJ244" s="504"/>
      <c r="AEK244" s="504"/>
      <c r="AEL244" s="504"/>
      <c r="AEM244" s="504"/>
      <c r="AEN244" s="504"/>
      <c r="AEO244" s="504"/>
      <c r="AEP244" s="504"/>
      <c r="AEQ244" s="504"/>
      <c r="AER244" s="504"/>
      <c r="AES244" s="504"/>
      <c r="AET244" s="504"/>
      <c r="AEU244" s="504"/>
      <c r="AEV244" s="504"/>
      <c r="AEW244" s="504"/>
      <c r="AEX244" s="504"/>
      <c r="AEY244" s="504"/>
      <c r="AEZ244" s="504"/>
      <c r="AFA244" s="504"/>
      <c r="AFB244" s="504"/>
      <c r="AFC244" s="504"/>
      <c r="AFD244" s="504"/>
      <c r="AFE244" s="504"/>
      <c r="AFF244" s="504"/>
      <c r="AFG244" s="504"/>
      <c r="AFH244" s="504"/>
      <c r="AFI244" s="504"/>
      <c r="AFJ244" s="504"/>
      <c r="AFK244" s="504"/>
      <c r="AFL244" s="504"/>
      <c r="AFM244" s="504"/>
      <c r="AFN244" s="504"/>
      <c r="AFO244" s="504"/>
      <c r="AFP244" s="504"/>
      <c r="AFQ244" s="504"/>
      <c r="AFR244" s="504"/>
      <c r="AFS244" s="504"/>
      <c r="AFT244" s="504"/>
      <c r="AFU244" s="504"/>
      <c r="AFV244" s="504"/>
      <c r="AFW244" s="504"/>
      <c r="AFX244" s="504"/>
      <c r="AFY244" s="504"/>
      <c r="AFZ244" s="504"/>
      <c r="AGA244" s="504"/>
      <c r="AGB244" s="504"/>
      <c r="AGC244" s="504"/>
      <c r="AGD244" s="504"/>
      <c r="AGE244" s="504"/>
      <c r="AGF244" s="504"/>
      <c r="AGG244" s="504"/>
      <c r="AGH244" s="504"/>
      <c r="AGI244" s="504"/>
      <c r="AGJ244" s="504"/>
      <c r="AGK244" s="504"/>
      <c r="AGL244" s="504"/>
      <c r="AGM244" s="504"/>
      <c r="AGN244" s="504"/>
      <c r="AGO244" s="504"/>
      <c r="AGP244" s="504"/>
      <c r="AGQ244" s="504"/>
      <c r="AGR244" s="504"/>
      <c r="AGS244" s="504"/>
      <c r="AGT244" s="504"/>
      <c r="AGU244" s="504"/>
      <c r="AGV244" s="504"/>
      <c r="AGW244" s="504"/>
      <c r="AGX244" s="504"/>
      <c r="AGY244" s="504"/>
      <c r="AGZ244" s="504"/>
      <c r="AHA244" s="504"/>
      <c r="AHB244" s="504"/>
      <c r="AHC244" s="504"/>
      <c r="AHD244" s="504"/>
      <c r="AHE244" s="504"/>
      <c r="AHF244" s="504"/>
      <c r="AHG244" s="504"/>
      <c r="AHH244" s="504"/>
      <c r="AHI244" s="504"/>
      <c r="AHJ244" s="504"/>
      <c r="AHK244" s="504"/>
      <c r="AHL244" s="504"/>
      <c r="AHM244" s="504"/>
      <c r="AHN244" s="504"/>
      <c r="AHO244" s="504"/>
      <c r="AHP244" s="504"/>
      <c r="AHQ244" s="504"/>
      <c r="AHR244" s="504"/>
      <c r="AHS244" s="504"/>
      <c r="AHT244" s="504"/>
      <c r="AHU244" s="504"/>
      <c r="AHV244" s="504"/>
      <c r="AHW244" s="504"/>
      <c r="AHX244" s="504"/>
      <c r="AHY244" s="504"/>
      <c r="AHZ244" s="504"/>
      <c r="AIA244" s="504"/>
      <c r="AIB244" s="504"/>
      <c r="AIC244" s="504"/>
      <c r="AID244" s="504"/>
      <c r="AIE244" s="504"/>
      <c r="AIF244" s="504"/>
      <c r="AIG244" s="504"/>
      <c r="AIH244" s="504"/>
      <c r="AII244" s="504"/>
      <c r="AIJ244" s="504"/>
      <c r="AIK244" s="504"/>
      <c r="AIL244" s="504"/>
      <c r="AIM244" s="504"/>
      <c r="AIN244" s="504"/>
      <c r="AIO244" s="504"/>
      <c r="AIP244" s="504"/>
      <c r="AIQ244" s="504"/>
      <c r="AIR244" s="504"/>
      <c r="AIS244" s="504"/>
      <c r="AIT244" s="504"/>
      <c r="AIU244" s="504"/>
      <c r="AIV244" s="504"/>
      <c r="AIW244" s="504"/>
      <c r="AIX244" s="504"/>
      <c r="AIY244" s="504"/>
      <c r="AIZ244" s="504"/>
      <c r="AJA244" s="504"/>
      <c r="AJB244" s="504"/>
      <c r="AJC244" s="504"/>
      <c r="AJD244" s="504"/>
      <c r="AJE244" s="504"/>
      <c r="AJF244" s="504"/>
      <c r="AJG244" s="504"/>
      <c r="AJH244" s="504"/>
      <c r="AJI244" s="504"/>
      <c r="AJJ244" s="504"/>
      <c r="AJK244" s="504"/>
      <c r="AJL244" s="504"/>
      <c r="AJM244" s="504"/>
      <c r="AJN244" s="504"/>
      <c r="AJO244" s="504"/>
      <c r="AJP244" s="504"/>
      <c r="AJQ244" s="504"/>
      <c r="AJR244" s="504"/>
      <c r="AJS244" s="504"/>
      <c r="AJT244" s="504"/>
      <c r="AJU244" s="504"/>
      <c r="AJV244" s="504"/>
      <c r="AJW244" s="504"/>
      <c r="AJX244" s="504"/>
      <c r="AJY244" s="504"/>
      <c r="AJZ244" s="504"/>
      <c r="AKA244" s="504"/>
      <c r="AKB244" s="504"/>
      <c r="AKC244" s="504"/>
      <c r="AKD244" s="504"/>
      <c r="AKE244" s="504"/>
      <c r="AKF244" s="504"/>
      <c r="AKG244" s="504"/>
      <c r="AKH244" s="504"/>
      <c r="AKI244" s="504"/>
      <c r="AKJ244" s="504"/>
      <c r="AKK244" s="504"/>
      <c r="AKL244" s="504"/>
      <c r="AKM244" s="504"/>
      <c r="AKN244" s="504"/>
      <c r="AKO244" s="504"/>
      <c r="AKP244" s="504"/>
      <c r="AKQ244" s="504"/>
      <c r="AKR244" s="504"/>
      <c r="AKS244" s="504"/>
      <c r="AKT244" s="504"/>
      <c r="AKU244" s="504"/>
      <c r="AKV244" s="504"/>
      <c r="AKW244" s="504"/>
      <c r="AKX244" s="504"/>
      <c r="AKY244" s="504"/>
      <c r="AKZ244" s="504"/>
      <c r="ALA244" s="504"/>
      <c r="ALB244" s="504"/>
      <c r="ALC244" s="504"/>
      <c r="ALD244" s="504"/>
      <c r="ALE244" s="504"/>
      <c r="ALF244" s="504"/>
      <c r="ALG244" s="504"/>
      <c r="ALH244" s="504"/>
      <c r="ALI244" s="504"/>
      <c r="ALJ244" s="504"/>
      <c r="ALK244" s="504"/>
      <c r="ALL244" s="504"/>
      <c r="ALM244" s="504"/>
      <c r="ALN244" s="504"/>
      <c r="ALO244" s="504"/>
      <c r="ALP244" s="504"/>
      <c r="ALQ244" s="504"/>
      <c r="ALR244" s="504"/>
      <c r="ALS244" s="504"/>
      <c r="ALT244" s="504"/>
      <c r="ALU244" s="504"/>
      <c r="ALV244" s="504"/>
      <c r="ALW244" s="504"/>
      <c r="ALX244" s="504"/>
      <c r="ALY244" s="504"/>
      <c r="ALZ244" s="504"/>
      <c r="AMA244" s="504"/>
      <c r="AMB244" s="504"/>
      <c r="AMC244" s="504"/>
      <c r="AMD244" s="504"/>
      <c r="AME244" s="504"/>
      <c r="AMF244" s="504"/>
      <c r="AMG244" s="504"/>
      <c r="AMH244" s="504"/>
      <c r="AMI244" s="504"/>
      <c r="AMJ244" s="504"/>
      <c r="AMK244" s="504"/>
      <c r="AML244" s="504"/>
      <c r="AMM244" s="504"/>
      <c r="AMN244" s="504"/>
      <c r="AMO244" s="504"/>
      <c r="AMP244" s="504"/>
      <c r="AMQ244" s="504"/>
      <c r="AMR244" s="504"/>
      <c r="AMS244" s="504"/>
      <c r="AMT244" s="504"/>
      <c r="AMU244" s="504"/>
      <c r="AMV244" s="504"/>
      <c r="AMW244" s="504"/>
      <c r="AMX244" s="504"/>
      <c r="AMY244" s="504"/>
      <c r="AMZ244" s="504"/>
      <c r="ANA244" s="504"/>
      <c r="ANB244" s="504"/>
      <c r="ANC244" s="504"/>
      <c r="AND244" s="504"/>
      <c r="ANE244" s="504"/>
      <c r="ANF244" s="504"/>
      <c r="ANG244" s="504"/>
      <c r="ANH244" s="504"/>
      <c r="ANI244" s="504"/>
      <c r="ANJ244" s="504"/>
      <c r="ANK244" s="504"/>
      <c r="ANL244" s="504"/>
      <c r="ANM244" s="504"/>
      <c r="ANN244" s="504"/>
      <c r="ANO244" s="504"/>
      <c r="ANP244" s="504"/>
      <c r="ANQ244" s="504"/>
      <c r="ANR244" s="504"/>
      <c r="ANS244" s="504"/>
      <c r="ANT244" s="504"/>
      <c r="ANU244" s="504"/>
      <c r="ANV244" s="504"/>
      <c r="ANW244" s="504"/>
      <c r="ANX244" s="504"/>
      <c r="ANY244" s="504"/>
      <c r="ANZ244" s="504"/>
      <c r="AOA244" s="504"/>
      <c r="AOB244" s="504"/>
      <c r="AOC244" s="504"/>
      <c r="AOD244" s="504"/>
      <c r="AOE244" s="504"/>
      <c r="AOF244" s="504"/>
      <c r="AOG244" s="504"/>
      <c r="AOH244" s="504"/>
      <c r="AOI244" s="504"/>
      <c r="AOJ244" s="504"/>
      <c r="AOK244" s="504"/>
      <c r="AOL244" s="504"/>
      <c r="AOM244" s="504"/>
      <c r="AON244" s="504"/>
      <c r="AOO244" s="504"/>
      <c r="AOP244" s="504"/>
      <c r="AOQ244" s="504"/>
      <c r="AOR244" s="504"/>
      <c r="AOS244" s="504"/>
      <c r="AOT244" s="504"/>
      <c r="AOU244" s="504"/>
      <c r="AOV244" s="504"/>
      <c r="AOW244" s="504"/>
      <c r="AOX244" s="504"/>
      <c r="AOY244" s="504"/>
      <c r="AOZ244" s="504"/>
      <c r="APA244" s="504"/>
      <c r="APB244" s="504"/>
      <c r="APC244" s="504"/>
      <c r="APD244" s="504"/>
      <c r="APE244" s="504"/>
      <c r="APF244" s="504"/>
      <c r="APG244" s="504"/>
      <c r="APH244" s="504"/>
      <c r="API244" s="504"/>
      <c r="APJ244" s="504"/>
      <c r="APK244" s="504"/>
      <c r="APL244" s="504"/>
      <c r="APM244" s="504"/>
      <c r="APN244" s="504"/>
      <c r="APO244" s="504"/>
      <c r="APP244" s="504"/>
      <c r="APQ244" s="504"/>
      <c r="APR244" s="504"/>
      <c r="APS244" s="504"/>
      <c r="APT244" s="504"/>
      <c r="APU244" s="504"/>
      <c r="APV244" s="504"/>
      <c r="APW244" s="504"/>
      <c r="APX244" s="504"/>
      <c r="APY244" s="504"/>
      <c r="APZ244" s="504"/>
      <c r="AQA244" s="504"/>
      <c r="AQB244" s="504"/>
      <c r="AQC244" s="504"/>
      <c r="AQD244" s="504"/>
      <c r="AQE244" s="504"/>
      <c r="AQF244" s="504"/>
      <c r="AQG244" s="504"/>
      <c r="AQH244" s="504"/>
      <c r="AQI244" s="504"/>
      <c r="AQJ244" s="504"/>
      <c r="AQK244" s="504"/>
      <c r="AQL244" s="504"/>
      <c r="AQM244" s="504"/>
      <c r="AQN244" s="504"/>
      <c r="AQO244" s="504"/>
      <c r="AQP244" s="504"/>
      <c r="AQQ244" s="504"/>
      <c r="AQR244" s="504"/>
      <c r="AQS244" s="504"/>
      <c r="AQT244" s="504"/>
      <c r="AQU244" s="504"/>
      <c r="AQV244" s="504"/>
      <c r="AQW244" s="504"/>
      <c r="AQX244" s="504"/>
      <c r="AQY244" s="504"/>
      <c r="AQZ244" s="504"/>
      <c r="ARA244" s="504"/>
      <c r="ARB244" s="504"/>
      <c r="ARC244" s="504"/>
      <c r="ARD244" s="504"/>
      <c r="ARE244" s="504"/>
      <c r="ARF244" s="504"/>
      <c r="ARG244" s="504"/>
      <c r="ARH244" s="504"/>
      <c r="ARI244" s="504"/>
      <c r="ARJ244" s="504"/>
      <c r="ARK244" s="504"/>
      <c r="ARL244" s="504"/>
      <c r="ARM244" s="504"/>
      <c r="ARN244" s="504"/>
      <c r="ARO244" s="504"/>
      <c r="ARP244" s="504"/>
      <c r="ARQ244" s="504"/>
      <c r="ARR244" s="504"/>
      <c r="ARS244" s="504"/>
      <c r="ART244" s="504"/>
      <c r="ARU244" s="504"/>
      <c r="ARV244" s="504"/>
      <c r="ARW244" s="504"/>
      <c r="ARX244" s="504"/>
      <c r="ARY244" s="504"/>
      <c r="ARZ244" s="504"/>
      <c r="ASA244" s="504"/>
      <c r="ASB244" s="504"/>
      <c r="ASC244" s="504"/>
      <c r="ASD244" s="504"/>
      <c r="ASE244" s="504"/>
      <c r="ASF244" s="504"/>
      <c r="ASG244" s="504"/>
      <c r="ASH244" s="504"/>
      <c r="ASI244" s="504"/>
      <c r="ASJ244" s="504"/>
      <c r="ASK244" s="504"/>
      <c r="ASL244" s="504"/>
      <c r="ASM244" s="504"/>
      <c r="ASN244" s="504"/>
      <c r="ASO244" s="504"/>
      <c r="ASP244" s="504"/>
      <c r="ASQ244" s="504"/>
      <c r="ASR244" s="504"/>
      <c r="ASS244" s="504"/>
      <c r="AST244" s="504"/>
      <c r="ASU244" s="504"/>
      <c r="ASV244" s="504"/>
      <c r="ASW244" s="504"/>
      <c r="ASX244" s="504"/>
      <c r="ASY244" s="504"/>
      <c r="ASZ244" s="504"/>
      <c r="ATA244" s="504"/>
      <c r="ATB244" s="504"/>
      <c r="ATC244" s="504"/>
      <c r="ATD244" s="504"/>
      <c r="ATE244" s="504"/>
      <c r="ATF244" s="504"/>
      <c r="ATG244" s="504"/>
      <c r="ATH244" s="504"/>
      <c r="ATI244" s="504"/>
      <c r="ATJ244" s="504"/>
      <c r="ATK244" s="504"/>
      <c r="ATL244" s="504"/>
      <c r="ATM244" s="504"/>
      <c r="ATN244" s="504"/>
      <c r="ATO244" s="504"/>
      <c r="ATP244" s="504"/>
      <c r="ATQ244" s="504"/>
      <c r="ATR244" s="504"/>
      <c r="ATS244" s="504"/>
      <c r="ATT244" s="504"/>
      <c r="ATU244" s="504"/>
      <c r="ATV244" s="504"/>
      <c r="ATW244" s="504"/>
      <c r="ATX244" s="504"/>
      <c r="ATY244" s="504"/>
      <c r="ATZ244" s="504"/>
      <c r="AUA244" s="504"/>
      <c r="AUB244" s="504"/>
      <c r="AUC244" s="504"/>
      <c r="AUD244" s="504"/>
      <c r="AUE244" s="504"/>
      <c r="AUF244" s="504"/>
      <c r="AUG244" s="504"/>
      <c r="AUH244" s="504"/>
      <c r="AUI244" s="504"/>
      <c r="AUJ244" s="504"/>
      <c r="AUK244" s="504"/>
      <c r="AUL244" s="504"/>
      <c r="AUM244" s="504"/>
      <c r="AUN244" s="504"/>
      <c r="AUO244" s="504"/>
      <c r="AUP244" s="504"/>
      <c r="AUQ244" s="504"/>
      <c r="AUR244" s="504"/>
      <c r="AUS244" s="504"/>
      <c r="AUT244" s="504"/>
      <c r="AUU244" s="504"/>
      <c r="AUV244" s="504"/>
      <c r="AUW244" s="504"/>
      <c r="AUX244" s="504"/>
      <c r="AUY244" s="504"/>
      <c r="AUZ244" s="504"/>
      <c r="AVA244" s="504"/>
      <c r="AVB244" s="504"/>
      <c r="AVC244" s="504"/>
      <c r="AVD244" s="504"/>
      <c r="AVE244" s="504"/>
      <c r="AVF244" s="504"/>
      <c r="AVG244" s="504"/>
      <c r="AVH244" s="504"/>
      <c r="AVI244" s="504"/>
      <c r="AVJ244" s="504"/>
      <c r="AVK244" s="504"/>
      <c r="AVL244" s="504"/>
      <c r="AVM244" s="504"/>
      <c r="AVN244" s="504"/>
      <c r="AVO244" s="504"/>
      <c r="AVP244" s="504"/>
      <c r="AVQ244" s="504"/>
      <c r="AVR244" s="504"/>
      <c r="AVS244" s="504"/>
      <c r="AVT244" s="504"/>
      <c r="AVU244" s="504"/>
      <c r="AVV244" s="504"/>
      <c r="AVW244" s="504"/>
      <c r="AVX244" s="504"/>
      <c r="AVY244" s="504"/>
      <c r="AVZ244" s="504"/>
      <c r="AWA244" s="504"/>
      <c r="AWB244" s="504"/>
      <c r="AWC244" s="504"/>
      <c r="AWD244" s="504"/>
      <c r="AWE244" s="504"/>
      <c r="AWF244" s="504"/>
      <c r="AWG244" s="504"/>
      <c r="AWH244" s="504"/>
      <c r="AWI244" s="504"/>
      <c r="AWJ244" s="504"/>
      <c r="AWK244" s="504"/>
      <c r="AWL244" s="504"/>
      <c r="AWM244" s="504"/>
      <c r="AWN244" s="504"/>
      <c r="AWO244" s="504"/>
      <c r="AWP244" s="504"/>
      <c r="AWQ244" s="504"/>
      <c r="AWR244" s="504"/>
      <c r="AWS244" s="504"/>
      <c r="AWT244" s="504"/>
      <c r="AWU244" s="504"/>
      <c r="AWV244" s="504"/>
      <c r="AWW244" s="504"/>
      <c r="AWX244" s="504"/>
      <c r="AWY244" s="504"/>
      <c r="AWZ244" s="504"/>
      <c r="AXA244" s="504"/>
      <c r="AXB244" s="504"/>
      <c r="AXC244" s="504"/>
      <c r="AXD244" s="504"/>
      <c r="AXE244" s="504"/>
      <c r="AXF244" s="504"/>
      <c r="AXG244" s="504"/>
      <c r="AXH244" s="504"/>
      <c r="AXI244" s="504"/>
      <c r="AXJ244" s="504"/>
      <c r="AXK244" s="504"/>
      <c r="AXL244" s="504"/>
      <c r="AXM244" s="504"/>
      <c r="AXN244" s="504"/>
      <c r="AXO244" s="504"/>
      <c r="AXP244" s="504"/>
      <c r="AXQ244" s="504"/>
      <c r="AXR244" s="504"/>
      <c r="AXS244" s="504"/>
      <c r="AXT244" s="504"/>
      <c r="AXU244" s="504"/>
      <c r="AXV244" s="504"/>
      <c r="AXW244" s="504"/>
      <c r="AXX244" s="504"/>
      <c r="AXY244" s="504"/>
      <c r="AXZ244" s="504"/>
      <c r="AYA244" s="504"/>
      <c r="AYB244" s="504"/>
      <c r="AYC244" s="504"/>
      <c r="AYD244" s="504"/>
      <c r="AYE244" s="504"/>
      <c r="AYF244" s="504"/>
      <c r="AYG244" s="504"/>
      <c r="AYH244" s="504"/>
      <c r="AYI244" s="504"/>
      <c r="AYJ244" s="504"/>
      <c r="AYK244" s="504"/>
      <c r="AYL244" s="504"/>
      <c r="AYM244" s="504"/>
      <c r="AYN244" s="504"/>
      <c r="AYO244" s="504"/>
      <c r="AYP244" s="504"/>
      <c r="AYQ244" s="504"/>
      <c r="AYR244" s="504"/>
      <c r="AYS244" s="504"/>
      <c r="AYT244" s="504"/>
      <c r="AYU244" s="504"/>
      <c r="AYV244" s="504"/>
      <c r="AYW244" s="504"/>
      <c r="AYX244" s="504"/>
      <c r="AYY244" s="504"/>
      <c r="AYZ244" s="504"/>
      <c r="AZA244" s="504"/>
      <c r="AZB244" s="504"/>
      <c r="AZC244" s="504"/>
      <c r="AZD244" s="504"/>
      <c r="AZE244" s="504"/>
      <c r="AZF244" s="504"/>
      <c r="AZG244" s="504"/>
      <c r="AZH244" s="504"/>
      <c r="AZI244" s="504"/>
      <c r="AZJ244" s="504"/>
      <c r="AZK244" s="504"/>
      <c r="AZL244" s="504"/>
      <c r="AZM244" s="504"/>
      <c r="AZN244" s="504"/>
      <c r="AZO244" s="504"/>
      <c r="AZP244" s="504"/>
      <c r="AZQ244" s="504"/>
      <c r="AZR244" s="504"/>
      <c r="AZS244" s="504"/>
      <c r="AZT244" s="504"/>
      <c r="AZU244" s="504"/>
      <c r="AZV244" s="504"/>
      <c r="AZW244" s="504"/>
      <c r="AZX244" s="504"/>
      <c r="AZY244" s="504"/>
      <c r="AZZ244" s="504"/>
      <c r="BAA244" s="504"/>
      <c r="BAB244" s="504"/>
      <c r="BAC244" s="504"/>
      <c r="BAD244" s="504"/>
      <c r="BAE244" s="504"/>
      <c r="BAF244" s="504"/>
      <c r="BAG244" s="504"/>
      <c r="BAH244" s="504"/>
      <c r="BAI244" s="504"/>
      <c r="BAJ244" s="504"/>
      <c r="BAK244" s="504"/>
      <c r="BAL244" s="504"/>
      <c r="BAM244" s="504"/>
      <c r="BAN244" s="504"/>
      <c r="BAO244" s="504"/>
      <c r="BAP244" s="504"/>
      <c r="BAQ244" s="504"/>
      <c r="BAR244" s="504"/>
      <c r="BAS244" s="504"/>
      <c r="BAT244" s="504"/>
      <c r="BAU244" s="504"/>
      <c r="BAV244" s="504"/>
      <c r="BAW244" s="504"/>
      <c r="BAX244" s="504"/>
      <c r="BAY244" s="504"/>
      <c r="BAZ244" s="504"/>
      <c r="BBA244" s="504"/>
      <c r="BBB244" s="504"/>
      <c r="BBC244" s="504"/>
      <c r="BBD244" s="504"/>
      <c r="BBE244" s="504"/>
      <c r="BBF244" s="504"/>
      <c r="BBG244" s="504"/>
      <c r="BBH244" s="504"/>
      <c r="BBI244" s="504"/>
      <c r="BBJ244" s="504"/>
      <c r="BBK244" s="504"/>
      <c r="BBL244" s="504"/>
      <c r="BBM244" s="504"/>
      <c r="BBN244" s="504"/>
      <c r="BBO244" s="504"/>
      <c r="BBP244" s="504"/>
      <c r="BBQ244" s="504"/>
      <c r="BBR244" s="504"/>
      <c r="BBS244" s="504"/>
      <c r="BBT244" s="504"/>
      <c r="BBU244" s="504"/>
      <c r="BBV244" s="504"/>
      <c r="BBW244" s="504"/>
      <c r="BBX244" s="504"/>
      <c r="BBY244" s="504"/>
      <c r="BBZ244" s="504"/>
      <c r="BCA244" s="504"/>
      <c r="BCB244" s="504"/>
      <c r="BCC244" s="504"/>
      <c r="BCD244" s="504"/>
      <c r="BCE244" s="504"/>
      <c r="BCF244" s="504"/>
      <c r="BCG244" s="504"/>
      <c r="BCH244" s="504"/>
      <c r="BCI244" s="504"/>
      <c r="BCJ244" s="504"/>
      <c r="BCK244" s="504"/>
      <c r="BCL244" s="504"/>
      <c r="BCM244" s="504"/>
      <c r="BCN244" s="504"/>
      <c r="BCO244" s="504"/>
      <c r="BCP244" s="504"/>
      <c r="BCQ244" s="504"/>
      <c r="BCR244" s="504"/>
      <c r="BCS244" s="504"/>
      <c r="BCT244" s="504"/>
      <c r="BCU244" s="504"/>
      <c r="BCV244" s="504"/>
      <c r="BCW244" s="504"/>
      <c r="BCX244" s="504"/>
      <c r="BCY244" s="504"/>
      <c r="BCZ244" s="504"/>
      <c r="BDA244" s="504"/>
      <c r="BDB244" s="504"/>
      <c r="BDC244" s="504"/>
      <c r="BDD244" s="504"/>
      <c r="BDE244" s="504"/>
      <c r="BDF244" s="504"/>
      <c r="BDG244" s="504"/>
      <c r="BDH244" s="504"/>
      <c r="BDI244" s="504"/>
      <c r="BDJ244" s="504"/>
      <c r="BDK244" s="504"/>
      <c r="BDL244" s="504"/>
      <c r="BDM244" s="504"/>
      <c r="BDN244" s="504"/>
      <c r="BDO244" s="504"/>
      <c r="BDP244" s="504"/>
      <c r="BDQ244" s="504"/>
      <c r="BDR244" s="504"/>
      <c r="BDS244" s="504"/>
      <c r="BDT244" s="504"/>
      <c r="BDU244" s="504"/>
      <c r="BDV244" s="504"/>
      <c r="BDW244" s="504"/>
      <c r="BDX244" s="504"/>
      <c r="BDY244" s="504"/>
      <c r="BDZ244" s="504"/>
      <c r="BEA244" s="504"/>
      <c r="BEB244" s="504"/>
      <c r="BEC244" s="504"/>
      <c r="BED244" s="504"/>
      <c r="BEE244" s="504"/>
      <c r="BEF244" s="504"/>
      <c r="BEG244" s="504"/>
      <c r="BEH244" s="504"/>
      <c r="BEI244" s="504"/>
      <c r="BEJ244" s="504"/>
      <c r="BEK244" s="504"/>
      <c r="BEL244" s="504"/>
      <c r="BEM244" s="504"/>
      <c r="BEN244" s="504"/>
      <c r="BEO244" s="504"/>
      <c r="BEP244" s="504"/>
      <c r="BEQ244" s="504"/>
      <c r="BER244" s="504"/>
      <c r="BES244" s="504"/>
      <c r="BET244" s="504"/>
      <c r="BEU244" s="504"/>
      <c r="BEV244" s="504"/>
      <c r="BEW244" s="504"/>
      <c r="BEX244" s="504"/>
      <c r="BEY244" s="504"/>
      <c r="BEZ244" s="504"/>
      <c r="BFA244" s="504"/>
      <c r="BFB244" s="504"/>
      <c r="BFC244" s="504"/>
      <c r="BFD244" s="504"/>
      <c r="BFE244" s="504"/>
      <c r="BFF244" s="504"/>
      <c r="BFG244" s="504"/>
      <c r="BFH244" s="504"/>
      <c r="BFI244" s="504"/>
      <c r="BFJ244" s="504"/>
      <c r="BFK244" s="504"/>
      <c r="BFL244" s="504"/>
      <c r="BFM244" s="504"/>
      <c r="BFN244" s="504"/>
      <c r="BFO244" s="504"/>
      <c r="BFP244" s="504"/>
      <c r="BFQ244" s="504"/>
      <c r="BFR244" s="504"/>
      <c r="BFS244" s="504"/>
      <c r="BFT244" s="504"/>
      <c r="BFU244" s="504"/>
      <c r="BFV244" s="504"/>
      <c r="BFW244" s="504"/>
      <c r="BFX244" s="504"/>
      <c r="BFY244" s="504"/>
      <c r="BFZ244" s="504"/>
      <c r="BGA244" s="504"/>
      <c r="BGB244" s="504"/>
      <c r="BGC244" s="504"/>
      <c r="BGD244" s="504"/>
      <c r="BGE244" s="504"/>
      <c r="BGF244" s="504"/>
      <c r="BGG244" s="504"/>
      <c r="BGH244" s="504"/>
      <c r="BGI244" s="504"/>
      <c r="BGJ244" s="504"/>
      <c r="BGK244" s="504"/>
      <c r="BGL244" s="504"/>
      <c r="BGM244" s="504"/>
      <c r="BGN244" s="504"/>
      <c r="BGO244" s="504"/>
      <c r="BGP244" s="504"/>
      <c r="BGQ244" s="504"/>
      <c r="BGR244" s="504"/>
      <c r="BGS244" s="504"/>
      <c r="BGT244" s="504"/>
      <c r="BGU244" s="504"/>
      <c r="BGV244" s="504"/>
      <c r="BGW244" s="504"/>
      <c r="BGX244" s="504"/>
      <c r="BGY244" s="504"/>
      <c r="BGZ244" s="504"/>
      <c r="BHA244" s="504"/>
      <c r="BHB244" s="504"/>
      <c r="BHC244" s="504"/>
      <c r="BHD244" s="504"/>
      <c r="BHE244" s="504"/>
      <c r="BHF244" s="504"/>
      <c r="BHG244" s="504"/>
      <c r="BHH244" s="504"/>
      <c r="BHI244" s="504"/>
      <c r="BHJ244" s="504"/>
      <c r="BHK244" s="504"/>
      <c r="BHL244" s="504"/>
      <c r="BHM244" s="504"/>
      <c r="BHN244" s="504"/>
      <c r="BHO244" s="504"/>
      <c r="BHP244" s="504"/>
      <c r="BHQ244" s="504"/>
      <c r="BHR244" s="504"/>
      <c r="BHS244" s="504"/>
      <c r="BHT244" s="504"/>
      <c r="BHU244" s="504"/>
      <c r="BHV244" s="504"/>
      <c r="BHW244" s="504"/>
      <c r="BHX244" s="504"/>
      <c r="BHY244" s="504"/>
      <c r="BHZ244" s="504"/>
      <c r="BIA244" s="504"/>
      <c r="BIB244" s="504"/>
      <c r="BIC244" s="504"/>
      <c r="BID244" s="504"/>
      <c r="BIE244" s="504"/>
      <c r="BIF244" s="504"/>
      <c r="BIG244" s="504"/>
      <c r="BIH244" s="504"/>
      <c r="BII244" s="504"/>
      <c r="BIJ244" s="504"/>
      <c r="BIK244" s="504"/>
      <c r="BIL244" s="504"/>
      <c r="BIM244" s="504"/>
      <c r="BIN244" s="504"/>
      <c r="BIO244" s="504"/>
      <c r="BIP244" s="504"/>
      <c r="BIQ244" s="504"/>
      <c r="BIR244" s="504"/>
      <c r="BIS244" s="504"/>
      <c r="BIT244" s="504"/>
      <c r="BIU244" s="504"/>
      <c r="BIV244" s="504"/>
      <c r="BIW244" s="504"/>
      <c r="BIX244" s="504"/>
      <c r="BIY244" s="504"/>
      <c r="BIZ244" s="504"/>
      <c r="BJA244" s="504"/>
      <c r="BJB244" s="504"/>
      <c r="BJC244" s="504"/>
      <c r="BJD244" s="504"/>
      <c r="BJE244" s="504"/>
      <c r="BJF244" s="504"/>
      <c r="BJG244" s="504"/>
      <c r="BJH244" s="504"/>
      <c r="BJI244" s="504"/>
      <c r="BJJ244" s="504"/>
      <c r="BJK244" s="504"/>
      <c r="BJL244" s="504"/>
      <c r="BJM244" s="504"/>
      <c r="BJN244" s="504"/>
      <c r="BJO244" s="504"/>
      <c r="BJP244" s="504"/>
      <c r="BJQ244" s="504"/>
      <c r="BJR244" s="504"/>
      <c r="BJS244" s="504"/>
      <c r="BJT244" s="504"/>
      <c r="BJU244" s="504"/>
      <c r="BJV244" s="504"/>
      <c r="BJW244" s="504"/>
      <c r="BJX244" s="504"/>
      <c r="BJY244" s="504"/>
      <c r="BJZ244" s="504"/>
      <c r="BKA244" s="504"/>
      <c r="BKB244" s="504"/>
      <c r="BKC244" s="504"/>
      <c r="BKD244" s="504"/>
      <c r="BKE244" s="504"/>
      <c r="BKF244" s="504"/>
      <c r="BKG244" s="504"/>
      <c r="BKH244" s="504"/>
      <c r="BKI244" s="504"/>
      <c r="BKJ244" s="504"/>
      <c r="BKK244" s="504"/>
      <c r="BKL244" s="504"/>
      <c r="BKM244" s="504"/>
      <c r="BKN244" s="504"/>
      <c r="BKO244" s="504"/>
      <c r="BKP244" s="504"/>
      <c r="BKQ244" s="504"/>
      <c r="BKR244" s="504"/>
      <c r="BKS244" s="504"/>
      <c r="BKT244" s="504"/>
      <c r="BKU244" s="504"/>
      <c r="BKV244" s="504"/>
      <c r="BKW244" s="504"/>
      <c r="BKX244" s="504"/>
      <c r="BKY244" s="504"/>
      <c r="BKZ244" s="504"/>
      <c r="BLA244" s="504"/>
      <c r="BLB244" s="504"/>
      <c r="BLC244" s="504"/>
      <c r="BLD244" s="504"/>
      <c r="BLE244" s="504"/>
      <c r="BLF244" s="504"/>
      <c r="BLG244" s="504"/>
      <c r="BLH244" s="504"/>
      <c r="BLI244" s="504"/>
      <c r="BLJ244" s="504"/>
      <c r="BLK244" s="504"/>
      <c r="BLL244" s="504"/>
      <c r="BLM244" s="504"/>
      <c r="BLN244" s="504"/>
      <c r="BLO244" s="504"/>
      <c r="BLP244" s="504"/>
      <c r="BLQ244" s="504"/>
      <c r="BLR244" s="504"/>
      <c r="BLS244" s="504"/>
      <c r="BLT244" s="504"/>
      <c r="BLU244" s="504"/>
      <c r="BLV244" s="504"/>
      <c r="BLW244" s="504"/>
      <c r="BLX244" s="504"/>
      <c r="BLY244" s="504"/>
      <c r="BLZ244" s="504"/>
      <c r="BMA244" s="504"/>
      <c r="BMB244" s="504"/>
      <c r="BMC244" s="504"/>
      <c r="BMD244" s="504"/>
      <c r="BME244" s="504"/>
      <c r="BMF244" s="504"/>
      <c r="BMG244" s="504"/>
      <c r="BMH244" s="504"/>
      <c r="BMI244" s="504"/>
      <c r="BMJ244" s="504"/>
      <c r="BMK244" s="504"/>
      <c r="BML244" s="504"/>
      <c r="BMM244" s="504"/>
      <c r="BMN244" s="504"/>
      <c r="BMO244" s="504"/>
      <c r="BMP244" s="504"/>
      <c r="BMQ244" s="504"/>
      <c r="BMR244" s="504"/>
      <c r="BMS244" s="504"/>
      <c r="BMT244" s="504"/>
      <c r="BMU244" s="504"/>
      <c r="BMV244" s="504"/>
      <c r="BMW244" s="504"/>
      <c r="BMX244" s="504"/>
      <c r="BMY244" s="504"/>
      <c r="BMZ244" s="504"/>
      <c r="BNA244" s="504"/>
      <c r="BNB244" s="504"/>
      <c r="BNC244" s="504"/>
      <c r="BND244" s="504"/>
      <c r="BNE244" s="504"/>
      <c r="BNF244" s="504"/>
      <c r="BNG244" s="504"/>
      <c r="BNH244" s="504"/>
      <c r="BNI244" s="504"/>
      <c r="BNJ244" s="504"/>
      <c r="BNK244" s="504"/>
      <c r="BNL244" s="504"/>
      <c r="BNM244" s="504"/>
      <c r="BNN244" s="504"/>
      <c r="BNO244" s="504"/>
      <c r="BNP244" s="504"/>
      <c r="BNQ244" s="504"/>
      <c r="BNR244" s="504"/>
      <c r="BNS244" s="504"/>
      <c r="BNT244" s="504"/>
      <c r="BNU244" s="504"/>
      <c r="BNV244" s="504"/>
      <c r="BNW244" s="504"/>
      <c r="BNX244" s="504"/>
      <c r="BNY244" s="504"/>
      <c r="BNZ244" s="504"/>
      <c r="BOA244" s="504"/>
      <c r="BOB244" s="504"/>
      <c r="BOC244" s="504"/>
      <c r="BOD244" s="504"/>
      <c r="BOE244" s="504"/>
      <c r="BOF244" s="504"/>
      <c r="BOG244" s="504"/>
      <c r="BOH244" s="504"/>
      <c r="BOI244" s="504"/>
      <c r="BOJ244" s="504"/>
      <c r="BOK244" s="504"/>
      <c r="BOL244" s="504"/>
      <c r="BOM244" s="504"/>
      <c r="BON244" s="504"/>
      <c r="BOO244" s="504"/>
      <c r="BOP244" s="504"/>
      <c r="BOQ244" s="504"/>
      <c r="BOR244" s="504"/>
      <c r="BOS244" s="504"/>
      <c r="BOT244" s="504"/>
      <c r="BOU244" s="504"/>
      <c r="BOV244" s="504"/>
      <c r="BOW244" s="504"/>
      <c r="BOX244" s="504"/>
      <c r="BOY244" s="504"/>
      <c r="BOZ244" s="504"/>
      <c r="BPA244" s="504"/>
      <c r="BPB244" s="504"/>
      <c r="BPC244" s="504"/>
      <c r="BPD244" s="504"/>
      <c r="BPE244" s="504"/>
      <c r="BPF244" s="504"/>
      <c r="BPG244" s="504"/>
      <c r="BPH244" s="504"/>
      <c r="BPI244" s="504"/>
      <c r="BPJ244" s="504"/>
      <c r="BPK244" s="504"/>
      <c r="BPL244" s="504"/>
      <c r="BPM244" s="504"/>
      <c r="BPN244" s="504"/>
      <c r="BPO244" s="504"/>
      <c r="BPP244" s="504"/>
      <c r="BPQ244" s="504"/>
      <c r="BPR244" s="504"/>
      <c r="BPS244" s="504"/>
      <c r="BPT244" s="504"/>
      <c r="BPU244" s="504"/>
      <c r="BPV244" s="504"/>
      <c r="BPW244" s="504"/>
      <c r="BPX244" s="504"/>
      <c r="BPY244" s="504"/>
      <c r="BPZ244" s="504"/>
      <c r="BQA244" s="504"/>
      <c r="BQB244" s="504"/>
      <c r="BQC244" s="504"/>
      <c r="BQD244" s="504"/>
      <c r="BQE244" s="504"/>
      <c r="BQF244" s="504"/>
      <c r="BQG244" s="504"/>
      <c r="BQH244" s="504"/>
      <c r="BQI244" s="504"/>
      <c r="BQJ244" s="504"/>
      <c r="BQK244" s="504"/>
      <c r="BQL244" s="504"/>
      <c r="BQM244" s="504"/>
      <c r="BQN244" s="504"/>
      <c r="BQO244" s="504"/>
      <c r="BQP244" s="504"/>
      <c r="BQQ244" s="504"/>
      <c r="BQR244" s="504"/>
      <c r="BQS244" s="504"/>
      <c r="BQT244" s="504"/>
      <c r="BQU244" s="504"/>
      <c r="BQV244" s="504"/>
      <c r="BQW244" s="504"/>
      <c r="BQX244" s="504"/>
      <c r="BQY244" s="504"/>
      <c r="BQZ244" s="504"/>
      <c r="BRA244" s="504"/>
      <c r="BRB244" s="504"/>
      <c r="BRC244" s="504"/>
      <c r="BRD244" s="504"/>
      <c r="BRE244" s="504"/>
      <c r="BRF244" s="504"/>
      <c r="BRG244" s="504"/>
      <c r="BRH244" s="504"/>
      <c r="BRI244" s="504"/>
      <c r="BRJ244" s="504"/>
      <c r="BRK244" s="504"/>
      <c r="BRL244" s="504"/>
      <c r="BRM244" s="504"/>
      <c r="BRN244" s="504"/>
      <c r="BRO244" s="504"/>
      <c r="BRP244" s="504"/>
      <c r="BRQ244" s="504"/>
      <c r="BRR244" s="504"/>
      <c r="BRS244" s="504"/>
      <c r="BRT244" s="504"/>
      <c r="BRU244" s="504"/>
      <c r="BRV244" s="504"/>
      <c r="BRW244" s="504"/>
      <c r="BRX244" s="504"/>
      <c r="BRY244" s="504"/>
      <c r="BRZ244" s="504"/>
      <c r="BSA244" s="504"/>
      <c r="BSB244" s="504"/>
      <c r="BSC244" s="504"/>
      <c r="BSD244" s="504"/>
      <c r="BSE244" s="504"/>
      <c r="BSF244" s="504"/>
      <c r="BSG244" s="504"/>
      <c r="BSH244" s="504"/>
      <c r="BSI244" s="504"/>
      <c r="BSJ244" s="504"/>
      <c r="BSK244" s="504"/>
      <c r="BSL244" s="504"/>
      <c r="BSM244" s="504"/>
      <c r="BSN244" s="504"/>
      <c r="BSO244" s="504"/>
      <c r="BSP244" s="504"/>
      <c r="BSQ244" s="504"/>
      <c r="BSR244" s="504"/>
      <c r="BSS244" s="504"/>
      <c r="BST244" s="504"/>
      <c r="BSU244" s="504"/>
      <c r="BSV244" s="504"/>
      <c r="BSW244" s="504"/>
      <c r="BSX244" s="504"/>
      <c r="BSY244" s="504"/>
      <c r="BSZ244" s="504"/>
      <c r="BTA244" s="504"/>
      <c r="BTB244" s="504"/>
      <c r="BTC244" s="504"/>
      <c r="BTD244" s="504"/>
      <c r="BTE244" s="504"/>
      <c r="BTF244" s="504"/>
      <c r="BTG244" s="504"/>
      <c r="BTH244" s="504"/>
      <c r="BTI244" s="504"/>
    </row>
    <row r="245" spans="1:1881" s="503" customFormat="1" ht="45" x14ac:dyDescent="0.25">
      <c r="A245" s="473">
        <v>947</v>
      </c>
      <c r="B245" s="469"/>
      <c r="C245" s="470"/>
      <c r="D245" s="898" t="s">
        <v>1083</v>
      </c>
      <c r="E245" s="472" t="s">
        <v>956</v>
      </c>
      <c r="F245" s="947"/>
      <c r="G245" s="583" t="str">
        <f>IF(ISBLANK(F245),"Please do not leave blank","")</f>
        <v>Please do not leave blank</v>
      </c>
      <c r="H245" s="505"/>
      <c r="I245"/>
      <c r="J245"/>
      <c r="K245"/>
      <c r="L245"/>
      <c r="M245"/>
      <c r="N245"/>
      <c r="O245"/>
      <c r="P245" s="504"/>
      <c r="Q245" s="504"/>
      <c r="R245" s="504"/>
      <c r="S245" s="504"/>
      <c r="T245" s="504"/>
      <c r="U245" s="504"/>
      <c r="V245" s="504"/>
      <c r="W245" s="504"/>
      <c r="X245" s="504"/>
      <c r="Y245" s="504"/>
      <c r="Z245" s="504"/>
      <c r="AA245" s="504"/>
      <c r="AB245" s="504"/>
      <c r="AC245" s="504"/>
      <c r="AD245" s="504"/>
      <c r="AE245" s="504"/>
      <c r="AF245" s="504"/>
      <c r="AG245" s="504"/>
      <c r="AH245" s="504"/>
      <c r="AI245" s="504"/>
      <c r="AJ245" s="504"/>
      <c r="AK245" s="504"/>
      <c r="AL245" s="504"/>
      <c r="AM245" s="504"/>
      <c r="AN245" s="504"/>
      <c r="AO245" s="504"/>
      <c r="AP245" s="504"/>
      <c r="AQ245" s="504"/>
      <c r="AR245" s="504"/>
      <c r="AS245" s="504"/>
      <c r="AT245" s="504"/>
      <c r="AU245" s="504"/>
      <c r="AV245" s="504"/>
      <c r="AW245" s="504"/>
      <c r="AX245" s="504"/>
      <c r="AY245" s="504"/>
      <c r="AZ245" s="504"/>
      <c r="BA245" s="504"/>
      <c r="BB245" s="504"/>
      <c r="BC245" s="504"/>
      <c r="BD245" s="504"/>
      <c r="BE245" s="504"/>
      <c r="BF245" s="504"/>
      <c r="BG245" s="504"/>
      <c r="BH245" s="504"/>
      <c r="BI245" s="504"/>
      <c r="BJ245" s="504"/>
      <c r="BK245" s="504"/>
      <c r="BL245" s="504"/>
      <c r="BM245" s="504"/>
      <c r="BN245" s="504"/>
      <c r="BO245" s="504"/>
      <c r="BP245" s="504"/>
      <c r="BQ245" s="504"/>
      <c r="BR245" s="504"/>
      <c r="BS245" s="504"/>
      <c r="BT245" s="504"/>
      <c r="BU245" s="504"/>
      <c r="BV245" s="504"/>
      <c r="BW245" s="504"/>
      <c r="BX245" s="504"/>
      <c r="BY245" s="504"/>
      <c r="BZ245" s="504"/>
      <c r="CA245" s="504"/>
      <c r="CB245" s="504"/>
      <c r="CC245" s="504"/>
      <c r="CD245" s="504"/>
      <c r="CE245" s="504"/>
      <c r="CF245" s="504"/>
      <c r="CG245" s="504"/>
      <c r="CH245" s="504"/>
      <c r="CI245" s="504"/>
      <c r="CJ245" s="504"/>
      <c r="CK245" s="504"/>
      <c r="CL245" s="504"/>
      <c r="CM245" s="504"/>
      <c r="CN245" s="504"/>
      <c r="CO245" s="504"/>
      <c r="CP245" s="504"/>
      <c r="CQ245" s="504"/>
      <c r="CR245" s="504"/>
      <c r="CS245" s="504"/>
      <c r="CT245" s="504"/>
      <c r="CU245" s="504"/>
      <c r="CV245" s="504"/>
      <c r="CW245" s="504"/>
      <c r="CX245" s="504"/>
      <c r="CY245" s="504"/>
      <c r="CZ245" s="504"/>
      <c r="DA245" s="504"/>
      <c r="DB245" s="504"/>
      <c r="DC245" s="504"/>
      <c r="DD245" s="504"/>
      <c r="DE245" s="504"/>
      <c r="DF245" s="504"/>
      <c r="DG245" s="504"/>
      <c r="DH245" s="504"/>
      <c r="DI245" s="504"/>
      <c r="DJ245" s="504"/>
      <c r="DK245" s="504"/>
      <c r="DL245" s="504"/>
      <c r="DM245" s="504"/>
      <c r="DN245" s="504"/>
      <c r="DO245" s="504"/>
      <c r="DP245" s="504"/>
      <c r="DQ245" s="504"/>
      <c r="DR245" s="504"/>
      <c r="DS245" s="504"/>
      <c r="DT245" s="504"/>
      <c r="DU245" s="504"/>
      <c r="DV245" s="504"/>
      <c r="DW245" s="504"/>
      <c r="DX245" s="504"/>
      <c r="DY245" s="504"/>
      <c r="DZ245" s="504"/>
      <c r="EA245" s="504"/>
      <c r="EB245" s="504"/>
      <c r="EC245" s="504"/>
      <c r="ED245" s="504"/>
      <c r="EE245" s="504"/>
      <c r="EF245" s="504"/>
      <c r="EG245" s="504"/>
      <c r="EH245" s="504"/>
      <c r="EI245" s="504"/>
      <c r="EJ245" s="504"/>
      <c r="EK245" s="504"/>
      <c r="EL245" s="504"/>
      <c r="EM245" s="504"/>
      <c r="EN245" s="504"/>
      <c r="EO245" s="504"/>
      <c r="EP245" s="504"/>
      <c r="EQ245" s="504"/>
      <c r="ER245" s="504"/>
      <c r="ES245" s="504"/>
      <c r="ET245" s="504"/>
      <c r="EU245" s="504"/>
      <c r="EV245" s="504"/>
      <c r="EW245" s="504"/>
      <c r="EX245" s="504"/>
      <c r="EY245" s="504"/>
      <c r="EZ245" s="504"/>
      <c r="FA245" s="504"/>
      <c r="FB245" s="504"/>
      <c r="FC245" s="504"/>
      <c r="FD245" s="504"/>
      <c r="FE245" s="504"/>
      <c r="FF245" s="504"/>
      <c r="FG245" s="504"/>
      <c r="FH245" s="504"/>
      <c r="FI245" s="504"/>
      <c r="FJ245" s="504"/>
      <c r="FK245" s="504"/>
      <c r="FL245" s="504"/>
      <c r="FM245" s="504"/>
      <c r="FN245" s="504"/>
      <c r="FO245" s="504"/>
      <c r="FP245" s="504"/>
      <c r="FQ245" s="504"/>
      <c r="FR245" s="504"/>
      <c r="FS245" s="504"/>
      <c r="FT245" s="504"/>
      <c r="FU245" s="504"/>
      <c r="FV245" s="504"/>
      <c r="FW245" s="504"/>
      <c r="FX245" s="504"/>
      <c r="FY245" s="504"/>
      <c r="FZ245" s="504"/>
      <c r="GA245" s="504"/>
      <c r="GB245" s="504"/>
      <c r="GC245" s="504"/>
      <c r="GD245" s="504"/>
      <c r="GE245" s="504"/>
      <c r="GF245" s="504"/>
      <c r="GG245" s="504"/>
      <c r="GH245" s="504"/>
      <c r="GI245" s="504"/>
      <c r="GJ245" s="504"/>
      <c r="GK245" s="504"/>
      <c r="GL245" s="504"/>
      <c r="GM245" s="504"/>
      <c r="GN245" s="504"/>
      <c r="GO245" s="504"/>
      <c r="GP245" s="504"/>
      <c r="GQ245" s="504"/>
      <c r="GR245" s="504"/>
      <c r="GS245" s="504"/>
      <c r="GT245" s="504"/>
      <c r="GU245" s="504"/>
      <c r="GV245" s="504"/>
      <c r="GW245" s="504"/>
      <c r="GX245" s="504"/>
      <c r="GY245" s="504"/>
      <c r="GZ245" s="504"/>
      <c r="HA245" s="504"/>
      <c r="HB245" s="504"/>
      <c r="HC245" s="504"/>
      <c r="HD245" s="504"/>
      <c r="HE245" s="504"/>
      <c r="HF245" s="504"/>
      <c r="HG245" s="504"/>
      <c r="HH245" s="504"/>
      <c r="HI245" s="504"/>
      <c r="HJ245" s="504"/>
      <c r="HK245" s="504"/>
      <c r="HL245" s="504"/>
      <c r="HM245" s="504"/>
      <c r="HN245" s="504"/>
      <c r="HO245" s="504"/>
      <c r="HP245" s="504"/>
      <c r="HQ245" s="504"/>
      <c r="HR245" s="504"/>
      <c r="HS245" s="504"/>
      <c r="HT245" s="504"/>
      <c r="HU245" s="504"/>
      <c r="HV245" s="504"/>
      <c r="HW245" s="504"/>
      <c r="HX245" s="504"/>
      <c r="HY245" s="504"/>
      <c r="HZ245" s="504"/>
      <c r="IA245" s="504"/>
      <c r="IB245" s="504"/>
      <c r="IC245" s="504"/>
      <c r="ID245" s="504"/>
      <c r="IE245" s="504"/>
      <c r="IF245" s="504"/>
      <c r="IG245" s="504"/>
      <c r="IH245" s="504"/>
      <c r="II245" s="504"/>
      <c r="IJ245" s="504"/>
      <c r="IK245" s="504"/>
      <c r="IL245" s="504"/>
      <c r="IM245" s="504"/>
      <c r="IN245" s="504"/>
      <c r="IO245" s="504"/>
      <c r="IP245" s="504"/>
      <c r="IQ245" s="504"/>
      <c r="IR245" s="504"/>
      <c r="IS245" s="504"/>
      <c r="IT245" s="504"/>
      <c r="IU245" s="504"/>
      <c r="IV245" s="504"/>
      <c r="IW245" s="504"/>
      <c r="IX245" s="504"/>
      <c r="IY245" s="504"/>
      <c r="IZ245" s="504"/>
      <c r="JA245" s="504"/>
      <c r="JB245" s="504"/>
      <c r="JC245" s="504"/>
      <c r="JD245" s="504"/>
      <c r="JE245" s="504"/>
      <c r="JF245" s="504"/>
      <c r="JG245" s="504"/>
      <c r="JH245" s="504"/>
      <c r="JI245" s="504"/>
      <c r="JJ245" s="504"/>
      <c r="JK245" s="504"/>
      <c r="JL245" s="504"/>
      <c r="JM245" s="504"/>
      <c r="JN245" s="504"/>
      <c r="JO245" s="504"/>
      <c r="JP245" s="504"/>
      <c r="JQ245" s="504"/>
      <c r="JR245" s="504"/>
      <c r="JS245" s="504"/>
      <c r="JT245" s="504"/>
      <c r="JU245" s="504"/>
      <c r="JV245" s="504"/>
      <c r="JW245" s="504"/>
      <c r="JX245" s="504"/>
      <c r="JY245" s="504"/>
      <c r="JZ245" s="504"/>
      <c r="KA245" s="504"/>
      <c r="KB245" s="504"/>
      <c r="KC245" s="504"/>
      <c r="KD245" s="504"/>
      <c r="KE245" s="504"/>
      <c r="KF245" s="504"/>
      <c r="KG245" s="504"/>
      <c r="KH245" s="504"/>
      <c r="KI245" s="504"/>
      <c r="KJ245" s="504"/>
      <c r="KK245" s="504"/>
      <c r="KL245" s="504"/>
      <c r="KM245" s="504"/>
      <c r="KN245" s="504"/>
      <c r="KO245" s="504"/>
      <c r="KP245" s="504"/>
      <c r="KQ245" s="504"/>
      <c r="KR245" s="504"/>
      <c r="KS245" s="504"/>
      <c r="KT245" s="504"/>
      <c r="KU245" s="504"/>
      <c r="KV245" s="504"/>
      <c r="KW245" s="504"/>
      <c r="KX245" s="504"/>
      <c r="KY245" s="504"/>
      <c r="KZ245" s="504"/>
      <c r="LA245" s="504"/>
      <c r="LB245" s="504"/>
      <c r="LC245" s="504"/>
      <c r="LD245" s="504"/>
      <c r="LE245" s="504"/>
      <c r="LF245" s="504"/>
      <c r="LG245" s="504"/>
      <c r="LH245" s="504"/>
      <c r="LI245" s="504"/>
      <c r="LJ245" s="504"/>
      <c r="LK245" s="504"/>
      <c r="LL245" s="504"/>
      <c r="LM245" s="504"/>
      <c r="LN245" s="504"/>
      <c r="LO245" s="504"/>
      <c r="LP245" s="504"/>
      <c r="LQ245" s="504"/>
      <c r="LR245" s="504"/>
      <c r="LS245" s="504"/>
      <c r="LT245" s="504"/>
      <c r="LU245" s="504"/>
      <c r="LV245" s="504"/>
      <c r="LW245" s="504"/>
      <c r="LX245" s="504"/>
      <c r="LY245" s="504"/>
      <c r="LZ245" s="504"/>
      <c r="MA245" s="504"/>
      <c r="MB245" s="504"/>
      <c r="MC245" s="504"/>
      <c r="MD245" s="504"/>
      <c r="ME245" s="504"/>
      <c r="MF245" s="504"/>
      <c r="MG245" s="504"/>
      <c r="MH245" s="504"/>
      <c r="MI245" s="504"/>
      <c r="MJ245" s="504"/>
      <c r="MK245" s="504"/>
      <c r="ML245" s="504"/>
      <c r="MM245" s="504"/>
      <c r="MN245" s="504"/>
      <c r="MO245" s="504"/>
      <c r="MP245" s="504"/>
      <c r="MQ245" s="504"/>
      <c r="MR245" s="504"/>
      <c r="MS245" s="504"/>
      <c r="MT245" s="504"/>
      <c r="MU245" s="504"/>
      <c r="MV245" s="504"/>
      <c r="MW245" s="504"/>
      <c r="MX245" s="504"/>
      <c r="MY245" s="504"/>
      <c r="MZ245" s="504"/>
      <c r="NA245" s="504"/>
      <c r="NB245" s="504"/>
      <c r="NC245" s="504"/>
      <c r="ND245" s="504"/>
      <c r="NE245" s="504"/>
      <c r="NF245" s="504"/>
      <c r="NG245" s="504"/>
      <c r="NH245" s="504"/>
      <c r="NI245" s="504"/>
      <c r="NJ245" s="504"/>
      <c r="NK245" s="504"/>
      <c r="NL245" s="504"/>
      <c r="NM245" s="504"/>
      <c r="NN245" s="504"/>
      <c r="NO245" s="504"/>
      <c r="NP245" s="504"/>
      <c r="NQ245" s="504"/>
      <c r="NR245" s="504"/>
      <c r="NS245" s="504"/>
      <c r="NT245" s="504"/>
      <c r="NU245" s="504"/>
      <c r="NV245" s="504"/>
      <c r="NW245" s="504"/>
      <c r="NX245" s="504"/>
      <c r="NY245" s="504"/>
      <c r="NZ245" s="504"/>
      <c r="OA245" s="504"/>
      <c r="OB245" s="504"/>
      <c r="OC245" s="504"/>
      <c r="OD245" s="504"/>
      <c r="OE245" s="504"/>
      <c r="OF245" s="504"/>
      <c r="OG245" s="504"/>
      <c r="OH245" s="504"/>
      <c r="OI245" s="504"/>
      <c r="OJ245" s="504"/>
      <c r="OK245" s="504"/>
      <c r="OL245" s="504"/>
      <c r="OM245" s="504"/>
      <c r="ON245" s="504"/>
      <c r="OO245" s="504"/>
      <c r="OP245" s="504"/>
      <c r="OQ245" s="504"/>
      <c r="OR245" s="504"/>
      <c r="OS245" s="504"/>
      <c r="OT245" s="504"/>
      <c r="OU245" s="504"/>
      <c r="OV245" s="504"/>
      <c r="OW245" s="504"/>
      <c r="OX245" s="504"/>
      <c r="OY245" s="504"/>
      <c r="OZ245" s="504"/>
      <c r="PA245" s="504"/>
      <c r="PB245" s="504"/>
      <c r="PC245" s="504"/>
      <c r="PD245" s="504"/>
      <c r="PE245" s="504"/>
      <c r="PF245" s="504"/>
      <c r="PG245" s="504"/>
      <c r="PH245" s="504"/>
      <c r="PI245" s="504"/>
      <c r="PJ245" s="504"/>
      <c r="PK245" s="504"/>
      <c r="PL245" s="504"/>
      <c r="PM245" s="504"/>
      <c r="PN245" s="504"/>
      <c r="PO245" s="504"/>
      <c r="PP245" s="504"/>
      <c r="PQ245" s="504"/>
      <c r="PR245" s="504"/>
      <c r="PS245" s="504"/>
      <c r="PT245" s="504"/>
      <c r="PU245" s="504"/>
      <c r="PV245" s="504"/>
      <c r="PW245" s="504"/>
      <c r="PX245" s="504"/>
      <c r="PY245" s="504"/>
      <c r="PZ245" s="504"/>
      <c r="QA245" s="504"/>
      <c r="QB245" s="504"/>
      <c r="QC245" s="504"/>
      <c r="QD245" s="504"/>
      <c r="QE245" s="504"/>
      <c r="QF245" s="504"/>
      <c r="QG245" s="504"/>
      <c r="QH245" s="504"/>
      <c r="QI245" s="504"/>
      <c r="QJ245" s="504"/>
      <c r="QK245" s="504"/>
      <c r="QL245" s="504"/>
      <c r="QM245" s="504"/>
      <c r="QN245" s="504"/>
      <c r="QO245" s="504"/>
      <c r="QP245" s="504"/>
      <c r="QQ245" s="504"/>
      <c r="QR245" s="504"/>
      <c r="QS245" s="504"/>
      <c r="QT245" s="504"/>
      <c r="QU245" s="504"/>
      <c r="QV245" s="504"/>
      <c r="QW245" s="504"/>
      <c r="QX245" s="504"/>
      <c r="QY245" s="504"/>
      <c r="QZ245" s="504"/>
      <c r="RA245" s="504"/>
      <c r="RB245" s="504"/>
      <c r="RC245" s="504"/>
      <c r="RD245" s="504"/>
      <c r="RE245" s="504"/>
      <c r="RF245" s="504"/>
      <c r="RG245" s="504"/>
      <c r="RH245" s="504"/>
      <c r="RI245" s="504"/>
      <c r="RJ245" s="504"/>
      <c r="RK245" s="504"/>
      <c r="RL245" s="504"/>
      <c r="RM245" s="504"/>
      <c r="RN245" s="504"/>
      <c r="RO245" s="504"/>
      <c r="RP245" s="504"/>
      <c r="RQ245" s="504"/>
      <c r="RR245" s="504"/>
      <c r="RS245" s="504"/>
      <c r="RT245" s="504"/>
      <c r="RU245" s="504"/>
      <c r="RV245" s="504"/>
      <c r="RW245" s="504"/>
      <c r="RX245" s="504"/>
      <c r="RY245" s="504"/>
      <c r="RZ245" s="504"/>
      <c r="SA245" s="504"/>
      <c r="SB245" s="504"/>
      <c r="SC245" s="504"/>
      <c r="SD245" s="504"/>
      <c r="SE245" s="504"/>
      <c r="SF245" s="504"/>
      <c r="SG245" s="504"/>
      <c r="SH245" s="504"/>
      <c r="SI245" s="504"/>
      <c r="SJ245" s="504"/>
      <c r="SK245" s="504"/>
      <c r="SL245" s="504"/>
      <c r="SM245" s="504"/>
      <c r="SN245" s="504"/>
      <c r="SO245" s="504"/>
      <c r="SP245" s="504"/>
      <c r="SQ245" s="504"/>
      <c r="SR245" s="504"/>
      <c r="SS245" s="504"/>
      <c r="ST245" s="504"/>
      <c r="SU245" s="504"/>
      <c r="SV245" s="504"/>
      <c r="SW245" s="504"/>
      <c r="SX245" s="504"/>
      <c r="SY245" s="504"/>
      <c r="SZ245" s="504"/>
      <c r="TA245" s="504"/>
      <c r="TB245" s="504"/>
      <c r="TC245" s="504"/>
      <c r="TD245" s="504"/>
      <c r="TE245" s="504"/>
      <c r="TF245" s="504"/>
      <c r="TG245" s="504"/>
      <c r="TH245" s="504"/>
      <c r="TI245" s="504"/>
      <c r="TJ245" s="504"/>
      <c r="TK245" s="504"/>
      <c r="TL245" s="504"/>
      <c r="TM245" s="504"/>
      <c r="TN245" s="504"/>
      <c r="TO245" s="504"/>
      <c r="TP245" s="504"/>
      <c r="TQ245" s="504"/>
      <c r="TR245" s="504"/>
      <c r="TS245" s="504"/>
      <c r="TT245" s="504"/>
      <c r="TU245" s="504"/>
      <c r="TV245" s="504"/>
      <c r="TW245" s="504"/>
      <c r="TX245" s="504"/>
      <c r="TY245" s="504"/>
      <c r="TZ245" s="504"/>
      <c r="UA245" s="504"/>
      <c r="UB245" s="504"/>
      <c r="UC245" s="504"/>
      <c r="UD245" s="504"/>
      <c r="UE245" s="504"/>
      <c r="UF245" s="504"/>
      <c r="UG245" s="504"/>
      <c r="UH245" s="504"/>
      <c r="UI245" s="504"/>
      <c r="UJ245" s="504"/>
      <c r="UK245" s="504"/>
      <c r="UL245" s="504"/>
      <c r="UM245" s="504"/>
      <c r="UN245" s="504"/>
      <c r="UO245" s="504"/>
      <c r="UP245" s="504"/>
      <c r="UQ245" s="504"/>
      <c r="UR245" s="504"/>
      <c r="US245" s="504"/>
      <c r="UT245" s="504"/>
      <c r="UU245" s="504"/>
      <c r="UV245" s="504"/>
      <c r="UW245" s="504"/>
      <c r="UX245" s="504"/>
      <c r="UY245" s="504"/>
      <c r="UZ245" s="504"/>
      <c r="VA245" s="504"/>
      <c r="VB245" s="504"/>
      <c r="VC245" s="504"/>
      <c r="VD245" s="504"/>
      <c r="VE245" s="504"/>
      <c r="VF245" s="504"/>
      <c r="VG245" s="504"/>
      <c r="VH245" s="504"/>
      <c r="VI245" s="504"/>
      <c r="VJ245" s="504"/>
      <c r="VK245" s="504"/>
      <c r="VL245" s="504"/>
      <c r="VM245" s="504"/>
      <c r="VN245" s="504"/>
      <c r="VO245" s="504"/>
      <c r="VP245" s="504"/>
      <c r="VQ245" s="504"/>
      <c r="VR245" s="504"/>
      <c r="VS245" s="504"/>
      <c r="VT245" s="504"/>
      <c r="VU245" s="504"/>
      <c r="VV245" s="504"/>
      <c r="VW245" s="504"/>
      <c r="VX245" s="504"/>
      <c r="VY245" s="504"/>
      <c r="VZ245" s="504"/>
      <c r="WA245" s="504"/>
      <c r="WB245" s="504"/>
      <c r="WC245" s="504"/>
      <c r="WD245" s="504"/>
      <c r="WE245" s="504"/>
      <c r="WF245" s="504"/>
      <c r="WG245" s="504"/>
      <c r="WH245" s="504"/>
      <c r="WI245" s="504"/>
      <c r="WJ245" s="504"/>
      <c r="WK245" s="504"/>
      <c r="WL245" s="504"/>
      <c r="WM245" s="504"/>
      <c r="WN245" s="504"/>
      <c r="WO245" s="504"/>
      <c r="WP245" s="504"/>
      <c r="WQ245" s="504"/>
      <c r="WR245" s="504"/>
      <c r="WS245" s="504"/>
      <c r="WT245" s="504"/>
      <c r="WU245" s="504"/>
      <c r="WV245" s="504"/>
      <c r="WW245" s="504"/>
      <c r="WX245" s="504"/>
      <c r="WY245" s="504"/>
      <c r="WZ245" s="504"/>
      <c r="XA245" s="504"/>
      <c r="XB245" s="504"/>
      <c r="XC245" s="504"/>
      <c r="XD245" s="504"/>
      <c r="XE245" s="504"/>
      <c r="XF245" s="504"/>
      <c r="XG245" s="504"/>
      <c r="XH245" s="504"/>
      <c r="XI245" s="504"/>
      <c r="XJ245" s="504"/>
      <c r="XK245" s="504"/>
      <c r="XL245" s="504"/>
      <c r="XM245" s="504"/>
      <c r="XN245" s="504"/>
      <c r="XO245" s="504"/>
      <c r="XP245" s="504"/>
      <c r="XQ245" s="504"/>
      <c r="XR245" s="504"/>
      <c r="XS245" s="504"/>
      <c r="XT245" s="504"/>
      <c r="XU245" s="504"/>
      <c r="XV245" s="504"/>
      <c r="XW245" s="504"/>
      <c r="XX245" s="504"/>
      <c r="XY245" s="504"/>
      <c r="XZ245" s="504"/>
      <c r="YA245" s="504"/>
      <c r="YB245" s="504"/>
      <c r="YC245" s="504"/>
      <c r="YD245" s="504"/>
      <c r="YE245" s="504"/>
      <c r="YF245" s="504"/>
      <c r="YG245" s="504"/>
      <c r="YH245" s="504"/>
      <c r="YI245" s="504"/>
      <c r="YJ245" s="504"/>
      <c r="YK245" s="504"/>
      <c r="YL245" s="504"/>
      <c r="YM245" s="504"/>
      <c r="YN245" s="504"/>
      <c r="YO245" s="504"/>
      <c r="YP245" s="504"/>
      <c r="YQ245" s="504"/>
      <c r="YR245" s="504"/>
      <c r="YS245" s="504"/>
      <c r="YT245" s="504"/>
      <c r="YU245" s="504"/>
      <c r="YV245" s="504"/>
      <c r="YW245" s="504"/>
      <c r="YX245" s="504"/>
      <c r="YY245" s="504"/>
      <c r="YZ245" s="504"/>
      <c r="ZA245" s="504"/>
      <c r="ZB245" s="504"/>
      <c r="ZC245" s="504"/>
      <c r="ZD245" s="504"/>
      <c r="ZE245" s="504"/>
      <c r="ZF245" s="504"/>
      <c r="ZG245" s="504"/>
      <c r="ZH245" s="504"/>
      <c r="ZI245" s="504"/>
      <c r="ZJ245" s="504"/>
      <c r="ZK245" s="504"/>
      <c r="ZL245" s="504"/>
      <c r="ZM245" s="504"/>
      <c r="ZN245" s="504"/>
      <c r="ZO245" s="504"/>
      <c r="ZP245" s="504"/>
      <c r="ZQ245" s="504"/>
      <c r="ZR245" s="504"/>
      <c r="ZS245" s="504"/>
      <c r="ZT245" s="504"/>
      <c r="ZU245" s="504"/>
      <c r="ZV245" s="504"/>
      <c r="ZW245" s="504"/>
      <c r="ZX245" s="504"/>
      <c r="ZY245" s="504"/>
      <c r="ZZ245" s="504"/>
      <c r="AAA245" s="504"/>
      <c r="AAB245" s="504"/>
      <c r="AAC245" s="504"/>
      <c r="AAD245" s="504"/>
      <c r="AAE245" s="504"/>
      <c r="AAF245" s="504"/>
      <c r="AAG245" s="504"/>
      <c r="AAH245" s="504"/>
      <c r="AAI245" s="504"/>
      <c r="AAJ245" s="504"/>
      <c r="AAK245" s="504"/>
      <c r="AAL245" s="504"/>
      <c r="AAM245" s="504"/>
      <c r="AAN245" s="504"/>
      <c r="AAO245" s="504"/>
      <c r="AAP245" s="504"/>
      <c r="AAQ245" s="504"/>
      <c r="AAR245" s="504"/>
      <c r="AAS245" s="504"/>
      <c r="AAT245" s="504"/>
      <c r="AAU245" s="504"/>
      <c r="AAV245" s="504"/>
      <c r="AAW245" s="504"/>
      <c r="AAX245" s="504"/>
      <c r="AAY245" s="504"/>
      <c r="AAZ245" s="504"/>
      <c r="ABA245" s="504"/>
      <c r="ABB245" s="504"/>
      <c r="ABC245" s="504"/>
      <c r="ABD245" s="504"/>
      <c r="ABE245" s="504"/>
      <c r="ABF245" s="504"/>
      <c r="ABG245" s="504"/>
      <c r="ABH245" s="504"/>
      <c r="ABI245" s="504"/>
      <c r="ABJ245" s="504"/>
      <c r="ABK245" s="504"/>
      <c r="ABL245" s="504"/>
      <c r="ABM245" s="504"/>
      <c r="ABN245" s="504"/>
      <c r="ABO245" s="504"/>
      <c r="ABP245" s="504"/>
      <c r="ABQ245" s="504"/>
      <c r="ABR245" s="504"/>
      <c r="ABS245" s="504"/>
      <c r="ABT245" s="504"/>
      <c r="ABU245" s="504"/>
      <c r="ABV245" s="504"/>
      <c r="ABW245" s="504"/>
      <c r="ABX245" s="504"/>
      <c r="ABY245" s="504"/>
      <c r="ABZ245" s="504"/>
      <c r="ACA245" s="504"/>
      <c r="ACB245" s="504"/>
      <c r="ACC245" s="504"/>
      <c r="ACD245" s="504"/>
      <c r="ACE245" s="504"/>
      <c r="ACF245" s="504"/>
      <c r="ACG245" s="504"/>
      <c r="ACH245" s="504"/>
      <c r="ACI245" s="504"/>
      <c r="ACJ245" s="504"/>
      <c r="ACK245" s="504"/>
      <c r="ACL245" s="504"/>
      <c r="ACM245" s="504"/>
      <c r="ACN245" s="504"/>
      <c r="ACO245" s="504"/>
      <c r="ACP245" s="504"/>
      <c r="ACQ245" s="504"/>
      <c r="ACR245" s="504"/>
      <c r="ACS245" s="504"/>
      <c r="ACT245" s="504"/>
      <c r="ACU245" s="504"/>
      <c r="ACV245" s="504"/>
      <c r="ACW245" s="504"/>
      <c r="ACX245" s="504"/>
      <c r="ACY245" s="504"/>
      <c r="ACZ245" s="504"/>
      <c r="ADA245" s="504"/>
      <c r="ADB245" s="504"/>
      <c r="ADC245" s="504"/>
      <c r="ADD245" s="504"/>
      <c r="ADE245" s="504"/>
      <c r="ADF245" s="504"/>
      <c r="ADG245" s="504"/>
      <c r="ADH245" s="504"/>
      <c r="ADI245" s="504"/>
      <c r="ADJ245" s="504"/>
      <c r="ADK245" s="504"/>
      <c r="ADL245" s="504"/>
      <c r="ADM245" s="504"/>
      <c r="ADN245" s="504"/>
      <c r="ADO245" s="504"/>
      <c r="ADP245" s="504"/>
      <c r="ADQ245" s="504"/>
      <c r="ADR245" s="504"/>
      <c r="ADS245" s="504"/>
      <c r="ADT245" s="504"/>
      <c r="ADU245" s="504"/>
      <c r="ADV245" s="504"/>
      <c r="ADW245" s="504"/>
      <c r="ADX245" s="504"/>
      <c r="ADY245" s="504"/>
      <c r="ADZ245" s="504"/>
      <c r="AEA245" s="504"/>
      <c r="AEB245" s="504"/>
      <c r="AEC245" s="504"/>
      <c r="AED245" s="504"/>
      <c r="AEE245" s="504"/>
      <c r="AEF245" s="504"/>
      <c r="AEG245" s="504"/>
      <c r="AEH245" s="504"/>
      <c r="AEI245" s="504"/>
      <c r="AEJ245" s="504"/>
      <c r="AEK245" s="504"/>
      <c r="AEL245" s="504"/>
      <c r="AEM245" s="504"/>
      <c r="AEN245" s="504"/>
      <c r="AEO245" s="504"/>
      <c r="AEP245" s="504"/>
      <c r="AEQ245" s="504"/>
      <c r="AER245" s="504"/>
      <c r="AES245" s="504"/>
      <c r="AET245" s="504"/>
      <c r="AEU245" s="504"/>
      <c r="AEV245" s="504"/>
      <c r="AEW245" s="504"/>
      <c r="AEX245" s="504"/>
      <c r="AEY245" s="504"/>
      <c r="AEZ245" s="504"/>
      <c r="AFA245" s="504"/>
      <c r="AFB245" s="504"/>
      <c r="AFC245" s="504"/>
      <c r="AFD245" s="504"/>
      <c r="AFE245" s="504"/>
      <c r="AFF245" s="504"/>
      <c r="AFG245" s="504"/>
      <c r="AFH245" s="504"/>
      <c r="AFI245" s="504"/>
      <c r="AFJ245" s="504"/>
      <c r="AFK245" s="504"/>
      <c r="AFL245" s="504"/>
      <c r="AFM245" s="504"/>
      <c r="AFN245" s="504"/>
      <c r="AFO245" s="504"/>
      <c r="AFP245" s="504"/>
      <c r="AFQ245" s="504"/>
      <c r="AFR245" s="504"/>
      <c r="AFS245" s="504"/>
      <c r="AFT245" s="504"/>
      <c r="AFU245" s="504"/>
      <c r="AFV245" s="504"/>
      <c r="AFW245" s="504"/>
      <c r="AFX245" s="504"/>
      <c r="AFY245" s="504"/>
      <c r="AFZ245" s="504"/>
      <c r="AGA245" s="504"/>
      <c r="AGB245" s="504"/>
      <c r="AGC245" s="504"/>
      <c r="AGD245" s="504"/>
      <c r="AGE245" s="504"/>
      <c r="AGF245" s="504"/>
      <c r="AGG245" s="504"/>
      <c r="AGH245" s="504"/>
      <c r="AGI245" s="504"/>
      <c r="AGJ245" s="504"/>
      <c r="AGK245" s="504"/>
      <c r="AGL245" s="504"/>
      <c r="AGM245" s="504"/>
      <c r="AGN245" s="504"/>
      <c r="AGO245" s="504"/>
      <c r="AGP245" s="504"/>
      <c r="AGQ245" s="504"/>
      <c r="AGR245" s="504"/>
      <c r="AGS245" s="504"/>
      <c r="AGT245" s="504"/>
      <c r="AGU245" s="504"/>
      <c r="AGV245" s="504"/>
      <c r="AGW245" s="504"/>
      <c r="AGX245" s="504"/>
      <c r="AGY245" s="504"/>
      <c r="AGZ245" s="504"/>
      <c r="AHA245" s="504"/>
      <c r="AHB245" s="504"/>
      <c r="AHC245" s="504"/>
      <c r="AHD245" s="504"/>
      <c r="AHE245" s="504"/>
      <c r="AHF245" s="504"/>
      <c r="AHG245" s="504"/>
      <c r="AHH245" s="504"/>
      <c r="AHI245" s="504"/>
      <c r="AHJ245" s="504"/>
      <c r="AHK245" s="504"/>
      <c r="AHL245" s="504"/>
      <c r="AHM245" s="504"/>
      <c r="AHN245" s="504"/>
      <c r="AHO245" s="504"/>
      <c r="AHP245" s="504"/>
      <c r="AHQ245" s="504"/>
      <c r="AHR245" s="504"/>
      <c r="AHS245" s="504"/>
      <c r="AHT245" s="504"/>
      <c r="AHU245" s="504"/>
      <c r="AHV245" s="504"/>
      <c r="AHW245" s="504"/>
      <c r="AHX245" s="504"/>
      <c r="AHY245" s="504"/>
      <c r="AHZ245" s="504"/>
      <c r="AIA245" s="504"/>
      <c r="AIB245" s="504"/>
      <c r="AIC245" s="504"/>
      <c r="AID245" s="504"/>
      <c r="AIE245" s="504"/>
      <c r="AIF245" s="504"/>
      <c r="AIG245" s="504"/>
      <c r="AIH245" s="504"/>
      <c r="AII245" s="504"/>
      <c r="AIJ245" s="504"/>
      <c r="AIK245" s="504"/>
      <c r="AIL245" s="504"/>
      <c r="AIM245" s="504"/>
      <c r="AIN245" s="504"/>
      <c r="AIO245" s="504"/>
      <c r="AIP245" s="504"/>
      <c r="AIQ245" s="504"/>
      <c r="AIR245" s="504"/>
      <c r="AIS245" s="504"/>
      <c r="AIT245" s="504"/>
      <c r="AIU245" s="504"/>
      <c r="AIV245" s="504"/>
      <c r="AIW245" s="504"/>
      <c r="AIX245" s="504"/>
      <c r="AIY245" s="504"/>
      <c r="AIZ245" s="504"/>
      <c r="AJA245" s="504"/>
      <c r="AJB245" s="504"/>
      <c r="AJC245" s="504"/>
      <c r="AJD245" s="504"/>
      <c r="AJE245" s="504"/>
      <c r="AJF245" s="504"/>
      <c r="AJG245" s="504"/>
      <c r="AJH245" s="504"/>
      <c r="AJI245" s="504"/>
      <c r="AJJ245" s="504"/>
      <c r="AJK245" s="504"/>
      <c r="AJL245" s="504"/>
      <c r="AJM245" s="504"/>
      <c r="AJN245" s="504"/>
      <c r="AJO245" s="504"/>
      <c r="AJP245" s="504"/>
      <c r="AJQ245" s="504"/>
      <c r="AJR245" s="504"/>
      <c r="AJS245" s="504"/>
      <c r="AJT245" s="504"/>
      <c r="AJU245" s="504"/>
      <c r="AJV245" s="504"/>
      <c r="AJW245" s="504"/>
      <c r="AJX245" s="504"/>
      <c r="AJY245" s="504"/>
      <c r="AJZ245" s="504"/>
      <c r="AKA245" s="504"/>
      <c r="AKB245" s="504"/>
      <c r="AKC245" s="504"/>
      <c r="AKD245" s="504"/>
      <c r="AKE245" s="504"/>
      <c r="AKF245" s="504"/>
      <c r="AKG245" s="504"/>
      <c r="AKH245" s="504"/>
      <c r="AKI245" s="504"/>
      <c r="AKJ245" s="504"/>
      <c r="AKK245" s="504"/>
      <c r="AKL245" s="504"/>
      <c r="AKM245" s="504"/>
      <c r="AKN245" s="504"/>
      <c r="AKO245" s="504"/>
      <c r="AKP245" s="504"/>
      <c r="AKQ245" s="504"/>
      <c r="AKR245" s="504"/>
      <c r="AKS245" s="504"/>
      <c r="AKT245" s="504"/>
      <c r="AKU245" s="504"/>
      <c r="AKV245" s="504"/>
      <c r="AKW245" s="504"/>
      <c r="AKX245" s="504"/>
      <c r="AKY245" s="504"/>
      <c r="AKZ245" s="504"/>
      <c r="ALA245" s="504"/>
      <c r="ALB245" s="504"/>
      <c r="ALC245" s="504"/>
      <c r="ALD245" s="504"/>
      <c r="ALE245" s="504"/>
      <c r="ALF245" s="504"/>
      <c r="ALG245" s="504"/>
      <c r="ALH245" s="504"/>
      <c r="ALI245" s="504"/>
      <c r="ALJ245" s="504"/>
      <c r="ALK245" s="504"/>
      <c r="ALL245" s="504"/>
      <c r="ALM245" s="504"/>
      <c r="ALN245" s="504"/>
      <c r="ALO245" s="504"/>
      <c r="ALP245" s="504"/>
      <c r="ALQ245" s="504"/>
      <c r="ALR245" s="504"/>
      <c r="ALS245" s="504"/>
      <c r="ALT245" s="504"/>
      <c r="ALU245" s="504"/>
      <c r="ALV245" s="504"/>
      <c r="ALW245" s="504"/>
      <c r="ALX245" s="504"/>
      <c r="ALY245" s="504"/>
      <c r="ALZ245" s="504"/>
      <c r="AMA245" s="504"/>
      <c r="AMB245" s="504"/>
      <c r="AMC245" s="504"/>
      <c r="AMD245" s="504"/>
      <c r="AME245" s="504"/>
      <c r="AMF245" s="504"/>
      <c r="AMG245" s="504"/>
      <c r="AMH245" s="504"/>
      <c r="AMI245" s="504"/>
      <c r="AMJ245" s="504"/>
      <c r="AMK245" s="504"/>
      <c r="AML245" s="504"/>
      <c r="AMM245" s="504"/>
      <c r="AMN245" s="504"/>
      <c r="AMO245" s="504"/>
      <c r="AMP245" s="504"/>
      <c r="AMQ245" s="504"/>
      <c r="AMR245" s="504"/>
      <c r="AMS245" s="504"/>
      <c r="AMT245" s="504"/>
      <c r="AMU245" s="504"/>
      <c r="AMV245" s="504"/>
      <c r="AMW245" s="504"/>
      <c r="AMX245" s="504"/>
      <c r="AMY245" s="504"/>
      <c r="AMZ245" s="504"/>
      <c r="ANA245" s="504"/>
      <c r="ANB245" s="504"/>
      <c r="ANC245" s="504"/>
      <c r="AND245" s="504"/>
      <c r="ANE245" s="504"/>
      <c r="ANF245" s="504"/>
      <c r="ANG245" s="504"/>
      <c r="ANH245" s="504"/>
      <c r="ANI245" s="504"/>
      <c r="ANJ245" s="504"/>
      <c r="ANK245" s="504"/>
      <c r="ANL245" s="504"/>
      <c r="ANM245" s="504"/>
      <c r="ANN245" s="504"/>
      <c r="ANO245" s="504"/>
      <c r="ANP245" s="504"/>
      <c r="ANQ245" s="504"/>
      <c r="ANR245" s="504"/>
      <c r="ANS245" s="504"/>
      <c r="ANT245" s="504"/>
      <c r="ANU245" s="504"/>
      <c r="ANV245" s="504"/>
      <c r="ANW245" s="504"/>
      <c r="ANX245" s="504"/>
      <c r="ANY245" s="504"/>
      <c r="ANZ245" s="504"/>
      <c r="AOA245" s="504"/>
      <c r="AOB245" s="504"/>
      <c r="AOC245" s="504"/>
      <c r="AOD245" s="504"/>
      <c r="AOE245" s="504"/>
      <c r="AOF245" s="504"/>
      <c r="AOG245" s="504"/>
      <c r="AOH245" s="504"/>
      <c r="AOI245" s="504"/>
      <c r="AOJ245" s="504"/>
      <c r="AOK245" s="504"/>
      <c r="AOL245" s="504"/>
      <c r="AOM245" s="504"/>
      <c r="AON245" s="504"/>
      <c r="AOO245" s="504"/>
      <c r="AOP245" s="504"/>
      <c r="AOQ245" s="504"/>
      <c r="AOR245" s="504"/>
      <c r="AOS245" s="504"/>
      <c r="AOT245" s="504"/>
      <c r="AOU245" s="504"/>
      <c r="AOV245" s="504"/>
      <c r="AOW245" s="504"/>
      <c r="AOX245" s="504"/>
      <c r="AOY245" s="504"/>
      <c r="AOZ245" s="504"/>
      <c r="APA245" s="504"/>
      <c r="APB245" s="504"/>
      <c r="APC245" s="504"/>
      <c r="APD245" s="504"/>
      <c r="APE245" s="504"/>
      <c r="APF245" s="504"/>
      <c r="APG245" s="504"/>
      <c r="APH245" s="504"/>
      <c r="API245" s="504"/>
      <c r="APJ245" s="504"/>
      <c r="APK245" s="504"/>
      <c r="APL245" s="504"/>
      <c r="APM245" s="504"/>
      <c r="APN245" s="504"/>
      <c r="APO245" s="504"/>
      <c r="APP245" s="504"/>
      <c r="APQ245" s="504"/>
      <c r="APR245" s="504"/>
      <c r="APS245" s="504"/>
      <c r="APT245" s="504"/>
      <c r="APU245" s="504"/>
      <c r="APV245" s="504"/>
      <c r="APW245" s="504"/>
      <c r="APX245" s="504"/>
      <c r="APY245" s="504"/>
      <c r="APZ245" s="504"/>
      <c r="AQA245" s="504"/>
      <c r="AQB245" s="504"/>
      <c r="AQC245" s="504"/>
      <c r="AQD245" s="504"/>
      <c r="AQE245" s="504"/>
      <c r="AQF245" s="504"/>
      <c r="AQG245" s="504"/>
      <c r="AQH245" s="504"/>
      <c r="AQI245" s="504"/>
      <c r="AQJ245" s="504"/>
      <c r="AQK245" s="504"/>
      <c r="AQL245" s="504"/>
      <c r="AQM245" s="504"/>
      <c r="AQN245" s="504"/>
      <c r="AQO245" s="504"/>
      <c r="AQP245" s="504"/>
      <c r="AQQ245" s="504"/>
      <c r="AQR245" s="504"/>
      <c r="AQS245" s="504"/>
      <c r="AQT245" s="504"/>
      <c r="AQU245" s="504"/>
      <c r="AQV245" s="504"/>
      <c r="AQW245" s="504"/>
      <c r="AQX245" s="504"/>
      <c r="AQY245" s="504"/>
      <c r="AQZ245" s="504"/>
      <c r="ARA245" s="504"/>
      <c r="ARB245" s="504"/>
      <c r="ARC245" s="504"/>
      <c r="ARD245" s="504"/>
      <c r="ARE245" s="504"/>
      <c r="ARF245" s="504"/>
      <c r="ARG245" s="504"/>
      <c r="ARH245" s="504"/>
      <c r="ARI245" s="504"/>
      <c r="ARJ245" s="504"/>
      <c r="ARK245" s="504"/>
      <c r="ARL245" s="504"/>
      <c r="ARM245" s="504"/>
      <c r="ARN245" s="504"/>
      <c r="ARO245" s="504"/>
      <c r="ARP245" s="504"/>
      <c r="ARQ245" s="504"/>
      <c r="ARR245" s="504"/>
      <c r="ARS245" s="504"/>
      <c r="ART245" s="504"/>
      <c r="ARU245" s="504"/>
      <c r="ARV245" s="504"/>
      <c r="ARW245" s="504"/>
      <c r="ARX245" s="504"/>
      <c r="ARY245" s="504"/>
      <c r="ARZ245" s="504"/>
      <c r="ASA245" s="504"/>
      <c r="ASB245" s="504"/>
      <c r="ASC245" s="504"/>
      <c r="ASD245" s="504"/>
      <c r="ASE245" s="504"/>
      <c r="ASF245" s="504"/>
      <c r="ASG245" s="504"/>
      <c r="ASH245" s="504"/>
      <c r="ASI245" s="504"/>
      <c r="ASJ245" s="504"/>
      <c r="ASK245" s="504"/>
      <c r="ASL245" s="504"/>
      <c r="ASM245" s="504"/>
      <c r="ASN245" s="504"/>
      <c r="ASO245" s="504"/>
      <c r="ASP245" s="504"/>
      <c r="ASQ245" s="504"/>
      <c r="ASR245" s="504"/>
      <c r="ASS245" s="504"/>
      <c r="AST245" s="504"/>
      <c r="ASU245" s="504"/>
      <c r="ASV245" s="504"/>
      <c r="ASW245" s="504"/>
      <c r="ASX245" s="504"/>
      <c r="ASY245" s="504"/>
      <c r="ASZ245" s="504"/>
      <c r="ATA245" s="504"/>
      <c r="ATB245" s="504"/>
      <c r="ATC245" s="504"/>
      <c r="ATD245" s="504"/>
      <c r="ATE245" s="504"/>
      <c r="ATF245" s="504"/>
      <c r="ATG245" s="504"/>
      <c r="ATH245" s="504"/>
      <c r="ATI245" s="504"/>
      <c r="ATJ245" s="504"/>
      <c r="ATK245" s="504"/>
      <c r="ATL245" s="504"/>
      <c r="ATM245" s="504"/>
      <c r="ATN245" s="504"/>
      <c r="ATO245" s="504"/>
      <c r="ATP245" s="504"/>
      <c r="ATQ245" s="504"/>
      <c r="ATR245" s="504"/>
      <c r="ATS245" s="504"/>
      <c r="ATT245" s="504"/>
      <c r="ATU245" s="504"/>
      <c r="ATV245" s="504"/>
      <c r="ATW245" s="504"/>
      <c r="ATX245" s="504"/>
      <c r="ATY245" s="504"/>
      <c r="ATZ245" s="504"/>
      <c r="AUA245" s="504"/>
      <c r="AUB245" s="504"/>
      <c r="AUC245" s="504"/>
      <c r="AUD245" s="504"/>
      <c r="AUE245" s="504"/>
      <c r="AUF245" s="504"/>
      <c r="AUG245" s="504"/>
      <c r="AUH245" s="504"/>
      <c r="AUI245" s="504"/>
      <c r="AUJ245" s="504"/>
      <c r="AUK245" s="504"/>
      <c r="AUL245" s="504"/>
      <c r="AUM245" s="504"/>
      <c r="AUN245" s="504"/>
      <c r="AUO245" s="504"/>
      <c r="AUP245" s="504"/>
      <c r="AUQ245" s="504"/>
      <c r="AUR245" s="504"/>
      <c r="AUS245" s="504"/>
      <c r="AUT245" s="504"/>
      <c r="AUU245" s="504"/>
      <c r="AUV245" s="504"/>
      <c r="AUW245" s="504"/>
      <c r="AUX245" s="504"/>
      <c r="AUY245" s="504"/>
      <c r="AUZ245" s="504"/>
      <c r="AVA245" s="504"/>
      <c r="AVB245" s="504"/>
      <c r="AVC245" s="504"/>
      <c r="AVD245" s="504"/>
      <c r="AVE245" s="504"/>
      <c r="AVF245" s="504"/>
      <c r="AVG245" s="504"/>
      <c r="AVH245" s="504"/>
      <c r="AVI245" s="504"/>
      <c r="AVJ245" s="504"/>
      <c r="AVK245" s="504"/>
      <c r="AVL245" s="504"/>
      <c r="AVM245" s="504"/>
      <c r="AVN245" s="504"/>
      <c r="AVO245" s="504"/>
      <c r="AVP245" s="504"/>
      <c r="AVQ245" s="504"/>
      <c r="AVR245" s="504"/>
      <c r="AVS245" s="504"/>
      <c r="AVT245" s="504"/>
      <c r="AVU245" s="504"/>
      <c r="AVV245" s="504"/>
      <c r="AVW245" s="504"/>
      <c r="AVX245" s="504"/>
      <c r="AVY245" s="504"/>
      <c r="AVZ245" s="504"/>
      <c r="AWA245" s="504"/>
      <c r="AWB245" s="504"/>
      <c r="AWC245" s="504"/>
      <c r="AWD245" s="504"/>
      <c r="AWE245" s="504"/>
      <c r="AWF245" s="504"/>
      <c r="AWG245" s="504"/>
      <c r="AWH245" s="504"/>
      <c r="AWI245" s="504"/>
      <c r="AWJ245" s="504"/>
      <c r="AWK245" s="504"/>
      <c r="AWL245" s="504"/>
      <c r="AWM245" s="504"/>
      <c r="AWN245" s="504"/>
      <c r="AWO245" s="504"/>
      <c r="AWP245" s="504"/>
      <c r="AWQ245" s="504"/>
      <c r="AWR245" s="504"/>
      <c r="AWS245" s="504"/>
      <c r="AWT245" s="504"/>
      <c r="AWU245" s="504"/>
      <c r="AWV245" s="504"/>
      <c r="AWW245" s="504"/>
      <c r="AWX245" s="504"/>
      <c r="AWY245" s="504"/>
      <c r="AWZ245" s="504"/>
      <c r="AXA245" s="504"/>
      <c r="AXB245" s="504"/>
      <c r="AXC245" s="504"/>
      <c r="AXD245" s="504"/>
      <c r="AXE245" s="504"/>
      <c r="AXF245" s="504"/>
      <c r="AXG245" s="504"/>
      <c r="AXH245" s="504"/>
      <c r="AXI245" s="504"/>
      <c r="AXJ245" s="504"/>
      <c r="AXK245" s="504"/>
      <c r="AXL245" s="504"/>
      <c r="AXM245" s="504"/>
      <c r="AXN245" s="504"/>
      <c r="AXO245" s="504"/>
      <c r="AXP245" s="504"/>
      <c r="AXQ245" s="504"/>
      <c r="AXR245" s="504"/>
      <c r="AXS245" s="504"/>
      <c r="AXT245" s="504"/>
      <c r="AXU245" s="504"/>
      <c r="AXV245" s="504"/>
      <c r="AXW245" s="504"/>
      <c r="AXX245" s="504"/>
      <c r="AXY245" s="504"/>
      <c r="AXZ245" s="504"/>
      <c r="AYA245" s="504"/>
      <c r="AYB245" s="504"/>
      <c r="AYC245" s="504"/>
      <c r="AYD245" s="504"/>
      <c r="AYE245" s="504"/>
      <c r="AYF245" s="504"/>
      <c r="AYG245" s="504"/>
      <c r="AYH245" s="504"/>
      <c r="AYI245" s="504"/>
      <c r="AYJ245" s="504"/>
      <c r="AYK245" s="504"/>
      <c r="AYL245" s="504"/>
      <c r="AYM245" s="504"/>
      <c r="AYN245" s="504"/>
      <c r="AYO245" s="504"/>
      <c r="AYP245" s="504"/>
      <c r="AYQ245" s="504"/>
      <c r="AYR245" s="504"/>
      <c r="AYS245" s="504"/>
      <c r="AYT245" s="504"/>
      <c r="AYU245" s="504"/>
      <c r="AYV245" s="504"/>
      <c r="AYW245" s="504"/>
      <c r="AYX245" s="504"/>
      <c r="AYY245" s="504"/>
      <c r="AYZ245" s="504"/>
      <c r="AZA245" s="504"/>
      <c r="AZB245" s="504"/>
      <c r="AZC245" s="504"/>
      <c r="AZD245" s="504"/>
      <c r="AZE245" s="504"/>
      <c r="AZF245" s="504"/>
      <c r="AZG245" s="504"/>
      <c r="AZH245" s="504"/>
      <c r="AZI245" s="504"/>
      <c r="AZJ245" s="504"/>
      <c r="AZK245" s="504"/>
      <c r="AZL245" s="504"/>
      <c r="AZM245" s="504"/>
      <c r="AZN245" s="504"/>
      <c r="AZO245" s="504"/>
      <c r="AZP245" s="504"/>
      <c r="AZQ245" s="504"/>
      <c r="AZR245" s="504"/>
      <c r="AZS245" s="504"/>
      <c r="AZT245" s="504"/>
      <c r="AZU245" s="504"/>
      <c r="AZV245" s="504"/>
      <c r="AZW245" s="504"/>
      <c r="AZX245" s="504"/>
      <c r="AZY245" s="504"/>
      <c r="AZZ245" s="504"/>
      <c r="BAA245" s="504"/>
      <c r="BAB245" s="504"/>
      <c r="BAC245" s="504"/>
      <c r="BAD245" s="504"/>
      <c r="BAE245" s="504"/>
      <c r="BAF245" s="504"/>
      <c r="BAG245" s="504"/>
      <c r="BAH245" s="504"/>
      <c r="BAI245" s="504"/>
      <c r="BAJ245" s="504"/>
      <c r="BAK245" s="504"/>
      <c r="BAL245" s="504"/>
      <c r="BAM245" s="504"/>
      <c r="BAN245" s="504"/>
      <c r="BAO245" s="504"/>
      <c r="BAP245" s="504"/>
      <c r="BAQ245" s="504"/>
      <c r="BAR245" s="504"/>
      <c r="BAS245" s="504"/>
      <c r="BAT245" s="504"/>
      <c r="BAU245" s="504"/>
      <c r="BAV245" s="504"/>
      <c r="BAW245" s="504"/>
      <c r="BAX245" s="504"/>
      <c r="BAY245" s="504"/>
      <c r="BAZ245" s="504"/>
      <c r="BBA245" s="504"/>
      <c r="BBB245" s="504"/>
      <c r="BBC245" s="504"/>
      <c r="BBD245" s="504"/>
      <c r="BBE245" s="504"/>
      <c r="BBF245" s="504"/>
      <c r="BBG245" s="504"/>
      <c r="BBH245" s="504"/>
      <c r="BBI245" s="504"/>
      <c r="BBJ245" s="504"/>
      <c r="BBK245" s="504"/>
      <c r="BBL245" s="504"/>
      <c r="BBM245" s="504"/>
      <c r="BBN245" s="504"/>
      <c r="BBO245" s="504"/>
      <c r="BBP245" s="504"/>
      <c r="BBQ245" s="504"/>
      <c r="BBR245" s="504"/>
      <c r="BBS245" s="504"/>
      <c r="BBT245" s="504"/>
      <c r="BBU245" s="504"/>
      <c r="BBV245" s="504"/>
      <c r="BBW245" s="504"/>
      <c r="BBX245" s="504"/>
      <c r="BBY245" s="504"/>
      <c r="BBZ245" s="504"/>
      <c r="BCA245" s="504"/>
      <c r="BCB245" s="504"/>
      <c r="BCC245" s="504"/>
      <c r="BCD245" s="504"/>
      <c r="BCE245" s="504"/>
      <c r="BCF245" s="504"/>
      <c r="BCG245" s="504"/>
      <c r="BCH245" s="504"/>
      <c r="BCI245" s="504"/>
      <c r="BCJ245" s="504"/>
      <c r="BCK245" s="504"/>
      <c r="BCL245" s="504"/>
      <c r="BCM245" s="504"/>
      <c r="BCN245" s="504"/>
      <c r="BCO245" s="504"/>
      <c r="BCP245" s="504"/>
      <c r="BCQ245" s="504"/>
      <c r="BCR245" s="504"/>
      <c r="BCS245" s="504"/>
      <c r="BCT245" s="504"/>
      <c r="BCU245" s="504"/>
      <c r="BCV245" s="504"/>
      <c r="BCW245" s="504"/>
      <c r="BCX245" s="504"/>
      <c r="BCY245" s="504"/>
      <c r="BCZ245" s="504"/>
      <c r="BDA245" s="504"/>
      <c r="BDB245" s="504"/>
      <c r="BDC245" s="504"/>
      <c r="BDD245" s="504"/>
      <c r="BDE245" s="504"/>
      <c r="BDF245" s="504"/>
      <c r="BDG245" s="504"/>
      <c r="BDH245" s="504"/>
      <c r="BDI245" s="504"/>
      <c r="BDJ245" s="504"/>
      <c r="BDK245" s="504"/>
      <c r="BDL245" s="504"/>
      <c r="BDM245" s="504"/>
      <c r="BDN245" s="504"/>
      <c r="BDO245" s="504"/>
      <c r="BDP245" s="504"/>
      <c r="BDQ245" s="504"/>
      <c r="BDR245" s="504"/>
      <c r="BDS245" s="504"/>
      <c r="BDT245" s="504"/>
      <c r="BDU245" s="504"/>
      <c r="BDV245" s="504"/>
      <c r="BDW245" s="504"/>
      <c r="BDX245" s="504"/>
      <c r="BDY245" s="504"/>
      <c r="BDZ245" s="504"/>
      <c r="BEA245" s="504"/>
      <c r="BEB245" s="504"/>
      <c r="BEC245" s="504"/>
      <c r="BED245" s="504"/>
      <c r="BEE245" s="504"/>
      <c r="BEF245" s="504"/>
      <c r="BEG245" s="504"/>
      <c r="BEH245" s="504"/>
      <c r="BEI245" s="504"/>
      <c r="BEJ245" s="504"/>
      <c r="BEK245" s="504"/>
      <c r="BEL245" s="504"/>
      <c r="BEM245" s="504"/>
      <c r="BEN245" s="504"/>
      <c r="BEO245" s="504"/>
      <c r="BEP245" s="504"/>
      <c r="BEQ245" s="504"/>
      <c r="BER245" s="504"/>
      <c r="BES245" s="504"/>
      <c r="BET245" s="504"/>
      <c r="BEU245" s="504"/>
      <c r="BEV245" s="504"/>
      <c r="BEW245" s="504"/>
      <c r="BEX245" s="504"/>
      <c r="BEY245" s="504"/>
      <c r="BEZ245" s="504"/>
      <c r="BFA245" s="504"/>
      <c r="BFB245" s="504"/>
      <c r="BFC245" s="504"/>
      <c r="BFD245" s="504"/>
      <c r="BFE245" s="504"/>
      <c r="BFF245" s="504"/>
      <c r="BFG245" s="504"/>
      <c r="BFH245" s="504"/>
      <c r="BFI245" s="504"/>
      <c r="BFJ245" s="504"/>
      <c r="BFK245" s="504"/>
      <c r="BFL245" s="504"/>
      <c r="BFM245" s="504"/>
      <c r="BFN245" s="504"/>
      <c r="BFO245" s="504"/>
      <c r="BFP245" s="504"/>
      <c r="BFQ245" s="504"/>
      <c r="BFR245" s="504"/>
      <c r="BFS245" s="504"/>
      <c r="BFT245" s="504"/>
      <c r="BFU245" s="504"/>
      <c r="BFV245" s="504"/>
      <c r="BFW245" s="504"/>
      <c r="BFX245" s="504"/>
      <c r="BFY245" s="504"/>
      <c r="BFZ245" s="504"/>
      <c r="BGA245" s="504"/>
      <c r="BGB245" s="504"/>
      <c r="BGC245" s="504"/>
      <c r="BGD245" s="504"/>
      <c r="BGE245" s="504"/>
      <c r="BGF245" s="504"/>
      <c r="BGG245" s="504"/>
      <c r="BGH245" s="504"/>
      <c r="BGI245" s="504"/>
      <c r="BGJ245" s="504"/>
      <c r="BGK245" s="504"/>
      <c r="BGL245" s="504"/>
      <c r="BGM245" s="504"/>
      <c r="BGN245" s="504"/>
      <c r="BGO245" s="504"/>
      <c r="BGP245" s="504"/>
      <c r="BGQ245" s="504"/>
      <c r="BGR245" s="504"/>
      <c r="BGS245" s="504"/>
      <c r="BGT245" s="504"/>
      <c r="BGU245" s="504"/>
      <c r="BGV245" s="504"/>
      <c r="BGW245" s="504"/>
      <c r="BGX245" s="504"/>
      <c r="BGY245" s="504"/>
      <c r="BGZ245" s="504"/>
      <c r="BHA245" s="504"/>
      <c r="BHB245" s="504"/>
      <c r="BHC245" s="504"/>
      <c r="BHD245" s="504"/>
      <c r="BHE245" s="504"/>
      <c r="BHF245" s="504"/>
      <c r="BHG245" s="504"/>
      <c r="BHH245" s="504"/>
      <c r="BHI245" s="504"/>
      <c r="BHJ245" s="504"/>
      <c r="BHK245" s="504"/>
      <c r="BHL245" s="504"/>
      <c r="BHM245" s="504"/>
      <c r="BHN245" s="504"/>
      <c r="BHO245" s="504"/>
      <c r="BHP245" s="504"/>
      <c r="BHQ245" s="504"/>
      <c r="BHR245" s="504"/>
      <c r="BHS245" s="504"/>
      <c r="BHT245" s="504"/>
      <c r="BHU245" s="504"/>
      <c r="BHV245" s="504"/>
      <c r="BHW245" s="504"/>
      <c r="BHX245" s="504"/>
      <c r="BHY245" s="504"/>
      <c r="BHZ245" s="504"/>
      <c r="BIA245" s="504"/>
      <c r="BIB245" s="504"/>
      <c r="BIC245" s="504"/>
      <c r="BID245" s="504"/>
      <c r="BIE245" s="504"/>
      <c r="BIF245" s="504"/>
      <c r="BIG245" s="504"/>
      <c r="BIH245" s="504"/>
      <c r="BII245" s="504"/>
      <c r="BIJ245" s="504"/>
      <c r="BIK245" s="504"/>
      <c r="BIL245" s="504"/>
      <c r="BIM245" s="504"/>
      <c r="BIN245" s="504"/>
      <c r="BIO245" s="504"/>
      <c r="BIP245" s="504"/>
      <c r="BIQ245" s="504"/>
      <c r="BIR245" s="504"/>
      <c r="BIS245" s="504"/>
      <c r="BIT245" s="504"/>
      <c r="BIU245" s="504"/>
      <c r="BIV245" s="504"/>
      <c r="BIW245" s="504"/>
      <c r="BIX245" s="504"/>
      <c r="BIY245" s="504"/>
      <c r="BIZ245" s="504"/>
      <c r="BJA245" s="504"/>
      <c r="BJB245" s="504"/>
      <c r="BJC245" s="504"/>
      <c r="BJD245" s="504"/>
      <c r="BJE245" s="504"/>
      <c r="BJF245" s="504"/>
      <c r="BJG245" s="504"/>
      <c r="BJH245" s="504"/>
      <c r="BJI245" s="504"/>
      <c r="BJJ245" s="504"/>
      <c r="BJK245" s="504"/>
      <c r="BJL245" s="504"/>
      <c r="BJM245" s="504"/>
      <c r="BJN245" s="504"/>
      <c r="BJO245" s="504"/>
      <c r="BJP245" s="504"/>
      <c r="BJQ245" s="504"/>
      <c r="BJR245" s="504"/>
      <c r="BJS245" s="504"/>
      <c r="BJT245" s="504"/>
      <c r="BJU245" s="504"/>
      <c r="BJV245" s="504"/>
      <c r="BJW245" s="504"/>
      <c r="BJX245" s="504"/>
      <c r="BJY245" s="504"/>
      <c r="BJZ245" s="504"/>
      <c r="BKA245" s="504"/>
      <c r="BKB245" s="504"/>
      <c r="BKC245" s="504"/>
      <c r="BKD245" s="504"/>
      <c r="BKE245" s="504"/>
      <c r="BKF245" s="504"/>
      <c r="BKG245" s="504"/>
      <c r="BKH245" s="504"/>
      <c r="BKI245" s="504"/>
      <c r="BKJ245" s="504"/>
      <c r="BKK245" s="504"/>
      <c r="BKL245" s="504"/>
      <c r="BKM245" s="504"/>
      <c r="BKN245" s="504"/>
      <c r="BKO245" s="504"/>
      <c r="BKP245" s="504"/>
      <c r="BKQ245" s="504"/>
      <c r="BKR245" s="504"/>
      <c r="BKS245" s="504"/>
      <c r="BKT245" s="504"/>
      <c r="BKU245" s="504"/>
      <c r="BKV245" s="504"/>
      <c r="BKW245" s="504"/>
      <c r="BKX245" s="504"/>
      <c r="BKY245" s="504"/>
      <c r="BKZ245" s="504"/>
      <c r="BLA245" s="504"/>
      <c r="BLB245" s="504"/>
      <c r="BLC245" s="504"/>
      <c r="BLD245" s="504"/>
      <c r="BLE245" s="504"/>
      <c r="BLF245" s="504"/>
      <c r="BLG245" s="504"/>
      <c r="BLH245" s="504"/>
      <c r="BLI245" s="504"/>
      <c r="BLJ245" s="504"/>
      <c r="BLK245" s="504"/>
      <c r="BLL245" s="504"/>
      <c r="BLM245" s="504"/>
      <c r="BLN245" s="504"/>
      <c r="BLO245" s="504"/>
      <c r="BLP245" s="504"/>
      <c r="BLQ245" s="504"/>
      <c r="BLR245" s="504"/>
      <c r="BLS245" s="504"/>
      <c r="BLT245" s="504"/>
      <c r="BLU245" s="504"/>
      <c r="BLV245" s="504"/>
      <c r="BLW245" s="504"/>
      <c r="BLX245" s="504"/>
      <c r="BLY245" s="504"/>
      <c r="BLZ245" s="504"/>
      <c r="BMA245" s="504"/>
      <c r="BMB245" s="504"/>
      <c r="BMC245" s="504"/>
      <c r="BMD245" s="504"/>
      <c r="BME245" s="504"/>
      <c r="BMF245" s="504"/>
      <c r="BMG245" s="504"/>
      <c r="BMH245" s="504"/>
      <c r="BMI245" s="504"/>
      <c r="BMJ245" s="504"/>
      <c r="BMK245" s="504"/>
      <c r="BML245" s="504"/>
      <c r="BMM245" s="504"/>
      <c r="BMN245" s="504"/>
      <c r="BMO245" s="504"/>
      <c r="BMP245" s="504"/>
      <c r="BMQ245" s="504"/>
      <c r="BMR245" s="504"/>
      <c r="BMS245" s="504"/>
      <c r="BMT245" s="504"/>
      <c r="BMU245" s="504"/>
      <c r="BMV245" s="504"/>
      <c r="BMW245" s="504"/>
      <c r="BMX245" s="504"/>
      <c r="BMY245" s="504"/>
      <c r="BMZ245" s="504"/>
      <c r="BNA245" s="504"/>
      <c r="BNB245" s="504"/>
      <c r="BNC245" s="504"/>
      <c r="BND245" s="504"/>
      <c r="BNE245" s="504"/>
      <c r="BNF245" s="504"/>
      <c r="BNG245" s="504"/>
      <c r="BNH245" s="504"/>
      <c r="BNI245" s="504"/>
      <c r="BNJ245" s="504"/>
      <c r="BNK245" s="504"/>
      <c r="BNL245" s="504"/>
      <c r="BNM245" s="504"/>
      <c r="BNN245" s="504"/>
      <c r="BNO245" s="504"/>
      <c r="BNP245" s="504"/>
      <c r="BNQ245" s="504"/>
      <c r="BNR245" s="504"/>
      <c r="BNS245" s="504"/>
      <c r="BNT245" s="504"/>
      <c r="BNU245" s="504"/>
      <c r="BNV245" s="504"/>
      <c r="BNW245" s="504"/>
      <c r="BNX245" s="504"/>
      <c r="BNY245" s="504"/>
      <c r="BNZ245" s="504"/>
      <c r="BOA245" s="504"/>
      <c r="BOB245" s="504"/>
      <c r="BOC245" s="504"/>
      <c r="BOD245" s="504"/>
      <c r="BOE245" s="504"/>
      <c r="BOF245" s="504"/>
      <c r="BOG245" s="504"/>
      <c r="BOH245" s="504"/>
      <c r="BOI245" s="504"/>
      <c r="BOJ245" s="504"/>
      <c r="BOK245" s="504"/>
      <c r="BOL245" s="504"/>
      <c r="BOM245" s="504"/>
      <c r="BON245" s="504"/>
      <c r="BOO245" s="504"/>
      <c r="BOP245" s="504"/>
      <c r="BOQ245" s="504"/>
      <c r="BOR245" s="504"/>
      <c r="BOS245" s="504"/>
      <c r="BOT245" s="504"/>
      <c r="BOU245" s="504"/>
      <c r="BOV245" s="504"/>
      <c r="BOW245" s="504"/>
      <c r="BOX245" s="504"/>
      <c r="BOY245" s="504"/>
      <c r="BOZ245" s="504"/>
      <c r="BPA245" s="504"/>
      <c r="BPB245" s="504"/>
      <c r="BPC245" s="504"/>
      <c r="BPD245" s="504"/>
      <c r="BPE245" s="504"/>
      <c r="BPF245" s="504"/>
      <c r="BPG245" s="504"/>
      <c r="BPH245" s="504"/>
      <c r="BPI245" s="504"/>
      <c r="BPJ245" s="504"/>
      <c r="BPK245" s="504"/>
      <c r="BPL245" s="504"/>
      <c r="BPM245" s="504"/>
      <c r="BPN245" s="504"/>
      <c r="BPO245" s="504"/>
      <c r="BPP245" s="504"/>
      <c r="BPQ245" s="504"/>
      <c r="BPR245" s="504"/>
      <c r="BPS245" s="504"/>
      <c r="BPT245" s="504"/>
      <c r="BPU245" s="504"/>
      <c r="BPV245" s="504"/>
      <c r="BPW245" s="504"/>
      <c r="BPX245" s="504"/>
      <c r="BPY245" s="504"/>
      <c r="BPZ245" s="504"/>
      <c r="BQA245" s="504"/>
      <c r="BQB245" s="504"/>
      <c r="BQC245" s="504"/>
      <c r="BQD245" s="504"/>
      <c r="BQE245" s="504"/>
      <c r="BQF245" s="504"/>
      <c r="BQG245" s="504"/>
      <c r="BQH245" s="504"/>
      <c r="BQI245" s="504"/>
      <c r="BQJ245" s="504"/>
      <c r="BQK245" s="504"/>
      <c r="BQL245" s="504"/>
      <c r="BQM245" s="504"/>
      <c r="BQN245" s="504"/>
      <c r="BQO245" s="504"/>
      <c r="BQP245" s="504"/>
      <c r="BQQ245" s="504"/>
      <c r="BQR245" s="504"/>
      <c r="BQS245" s="504"/>
      <c r="BQT245" s="504"/>
      <c r="BQU245" s="504"/>
      <c r="BQV245" s="504"/>
      <c r="BQW245" s="504"/>
      <c r="BQX245" s="504"/>
      <c r="BQY245" s="504"/>
      <c r="BQZ245" s="504"/>
      <c r="BRA245" s="504"/>
      <c r="BRB245" s="504"/>
      <c r="BRC245" s="504"/>
      <c r="BRD245" s="504"/>
      <c r="BRE245" s="504"/>
      <c r="BRF245" s="504"/>
      <c r="BRG245" s="504"/>
      <c r="BRH245" s="504"/>
      <c r="BRI245" s="504"/>
      <c r="BRJ245" s="504"/>
      <c r="BRK245" s="504"/>
      <c r="BRL245" s="504"/>
      <c r="BRM245" s="504"/>
      <c r="BRN245" s="504"/>
      <c r="BRO245" s="504"/>
      <c r="BRP245" s="504"/>
      <c r="BRQ245" s="504"/>
      <c r="BRR245" s="504"/>
      <c r="BRS245" s="504"/>
      <c r="BRT245" s="504"/>
      <c r="BRU245" s="504"/>
      <c r="BRV245" s="504"/>
      <c r="BRW245" s="504"/>
      <c r="BRX245" s="504"/>
      <c r="BRY245" s="504"/>
      <c r="BRZ245" s="504"/>
      <c r="BSA245" s="504"/>
      <c r="BSB245" s="504"/>
      <c r="BSC245" s="504"/>
      <c r="BSD245" s="504"/>
      <c r="BSE245" s="504"/>
      <c r="BSF245" s="504"/>
      <c r="BSG245" s="504"/>
      <c r="BSH245" s="504"/>
      <c r="BSI245" s="504"/>
      <c r="BSJ245" s="504"/>
      <c r="BSK245" s="504"/>
      <c r="BSL245" s="504"/>
      <c r="BSM245" s="504"/>
      <c r="BSN245" s="504"/>
      <c r="BSO245" s="504"/>
      <c r="BSP245" s="504"/>
      <c r="BSQ245" s="504"/>
      <c r="BSR245" s="504"/>
      <c r="BSS245" s="504"/>
      <c r="BST245" s="504"/>
      <c r="BSU245" s="504"/>
      <c r="BSV245" s="504"/>
      <c r="BSW245" s="504"/>
      <c r="BSX245" s="504"/>
      <c r="BSY245" s="504"/>
      <c r="BSZ245" s="504"/>
      <c r="BTA245" s="504"/>
      <c r="BTB245" s="504"/>
      <c r="BTC245" s="504"/>
      <c r="BTD245" s="504"/>
      <c r="BTE245" s="504"/>
      <c r="BTF245" s="504"/>
      <c r="BTG245" s="504"/>
      <c r="BTH245" s="504"/>
      <c r="BTI245" s="504"/>
    </row>
    <row r="246" spans="1:1881" s="503" customFormat="1" ht="65.25" customHeight="1" x14ac:dyDescent="0.25">
      <c r="A246" s="473">
        <v>948</v>
      </c>
      <c r="B246" s="469"/>
      <c r="C246" s="470"/>
      <c r="D246" s="897" t="s">
        <v>1084</v>
      </c>
      <c r="E246" s="472" t="s">
        <v>956</v>
      </c>
      <c r="F246" s="947"/>
      <c r="G246" s="583" t="str">
        <f t="shared" ref="G246:G252" si="3">IF(ISBLANK(F246),"Please do not leave blank","")</f>
        <v>Please do not leave blank</v>
      </c>
      <c r="H246" s="505"/>
      <c r="I246"/>
      <c r="J246"/>
      <c r="K246"/>
      <c r="L246"/>
      <c r="M246"/>
      <c r="N246"/>
      <c r="O246"/>
      <c r="P246" s="504"/>
      <c r="Q246" s="504"/>
      <c r="R246" s="504"/>
      <c r="S246" s="504"/>
      <c r="T246" s="504"/>
      <c r="U246" s="504"/>
      <c r="V246" s="504"/>
      <c r="W246" s="504"/>
      <c r="X246" s="504"/>
      <c r="Y246" s="504"/>
      <c r="Z246" s="504"/>
      <c r="AA246" s="504"/>
      <c r="AB246" s="504"/>
      <c r="AC246" s="504"/>
      <c r="AD246" s="504"/>
      <c r="AE246" s="504"/>
      <c r="AF246" s="504"/>
      <c r="AG246" s="504"/>
      <c r="AH246" s="504"/>
      <c r="AI246" s="504"/>
      <c r="AJ246" s="504"/>
      <c r="AK246" s="504"/>
      <c r="AL246" s="504"/>
      <c r="AM246" s="504"/>
      <c r="AN246" s="504"/>
      <c r="AO246" s="504"/>
      <c r="AP246" s="504"/>
      <c r="AQ246" s="504"/>
      <c r="AR246" s="504"/>
      <c r="AS246" s="504"/>
      <c r="AT246" s="504"/>
      <c r="AU246" s="504"/>
      <c r="AV246" s="504"/>
      <c r="AW246" s="504"/>
      <c r="AX246" s="504"/>
      <c r="AY246" s="504"/>
      <c r="AZ246" s="504"/>
      <c r="BA246" s="504"/>
      <c r="BB246" s="504"/>
      <c r="BC246" s="504"/>
      <c r="BD246" s="504"/>
      <c r="BE246" s="504"/>
      <c r="BF246" s="504"/>
      <c r="BG246" s="504"/>
      <c r="BH246" s="504"/>
      <c r="BI246" s="504"/>
      <c r="BJ246" s="504"/>
      <c r="BK246" s="504"/>
      <c r="BL246" s="504"/>
      <c r="BM246" s="504"/>
      <c r="BN246" s="504"/>
      <c r="BO246" s="504"/>
      <c r="BP246" s="504"/>
      <c r="BQ246" s="504"/>
      <c r="BR246" s="504"/>
      <c r="BS246" s="504"/>
      <c r="BT246" s="504"/>
      <c r="BU246" s="504"/>
      <c r="BV246" s="504"/>
      <c r="BW246" s="504"/>
      <c r="BX246" s="504"/>
      <c r="BY246" s="504"/>
      <c r="BZ246" s="504"/>
      <c r="CA246" s="504"/>
      <c r="CB246" s="504"/>
      <c r="CC246" s="504"/>
      <c r="CD246" s="504"/>
      <c r="CE246" s="504"/>
      <c r="CF246" s="504"/>
      <c r="CG246" s="504"/>
      <c r="CH246" s="504"/>
      <c r="CI246" s="504"/>
      <c r="CJ246" s="504"/>
      <c r="CK246" s="504"/>
      <c r="CL246" s="504"/>
      <c r="CM246" s="504"/>
      <c r="CN246" s="504"/>
      <c r="CO246" s="504"/>
      <c r="CP246" s="504"/>
      <c r="CQ246" s="504"/>
      <c r="CR246" s="504"/>
      <c r="CS246" s="504"/>
      <c r="CT246" s="504"/>
      <c r="CU246" s="504"/>
      <c r="CV246" s="504"/>
      <c r="CW246" s="504"/>
      <c r="CX246" s="504"/>
      <c r="CY246" s="504"/>
      <c r="CZ246" s="504"/>
      <c r="DA246" s="504"/>
      <c r="DB246" s="504"/>
      <c r="DC246" s="504"/>
      <c r="DD246" s="504"/>
      <c r="DE246" s="504"/>
      <c r="DF246" s="504"/>
      <c r="DG246" s="504"/>
      <c r="DH246" s="504"/>
      <c r="DI246" s="504"/>
      <c r="DJ246" s="504"/>
      <c r="DK246" s="504"/>
      <c r="DL246" s="504"/>
      <c r="DM246" s="504"/>
      <c r="DN246" s="504"/>
      <c r="DO246" s="504"/>
      <c r="DP246" s="504"/>
      <c r="DQ246" s="504"/>
      <c r="DR246" s="504"/>
      <c r="DS246" s="504"/>
      <c r="DT246" s="504"/>
      <c r="DU246" s="504"/>
      <c r="DV246" s="504"/>
      <c r="DW246" s="504"/>
      <c r="DX246" s="504"/>
      <c r="DY246" s="504"/>
      <c r="DZ246" s="504"/>
      <c r="EA246" s="504"/>
      <c r="EB246" s="504"/>
      <c r="EC246" s="504"/>
      <c r="ED246" s="504"/>
      <c r="EE246" s="504"/>
      <c r="EF246" s="504"/>
      <c r="EG246" s="504"/>
      <c r="EH246" s="504"/>
      <c r="EI246" s="504"/>
      <c r="EJ246" s="504"/>
      <c r="EK246" s="504"/>
      <c r="EL246" s="504"/>
      <c r="EM246" s="504"/>
      <c r="EN246" s="504"/>
      <c r="EO246" s="504"/>
      <c r="EP246" s="504"/>
      <c r="EQ246" s="504"/>
      <c r="ER246" s="504"/>
      <c r="ES246" s="504"/>
      <c r="ET246" s="504"/>
      <c r="EU246" s="504"/>
      <c r="EV246" s="504"/>
      <c r="EW246" s="504"/>
      <c r="EX246" s="504"/>
      <c r="EY246" s="504"/>
      <c r="EZ246" s="504"/>
      <c r="FA246" s="504"/>
      <c r="FB246" s="504"/>
      <c r="FC246" s="504"/>
      <c r="FD246" s="504"/>
      <c r="FE246" s="504"/>
      <c r="FF246" s="504"/>
      <c r="FG246" s="504"/>
      <c r="FH246" s="504"/>
      <c r="FI246" s="504"/>
      <c r="FJ246" s="504"/>
      <c r="FK246" s="504"/>
      <c r="FL246" s="504"/>
      <c r="FM246" s="504"/>
      <c r="FN246" s="504"/>
      <c r="FO246" s="504"/>
      <c r="FP246" s="504"/>
      <c r="FQ246" s="504"/>
      <c r="FR246" s="504"/>
      <c r="FS246" s="504"/>
      <c r="FT246" s="504"/>
      <c r="FU246" s="504"/>
      <c r="FV246" s="504"/>
      <c r="FW246" s="504"/>
      <c r="FX246" s="504"/>
      <c r="FY246" s="504"/>
      <c r="FZ246" s="504"/>
      <c r="GA246" s="504"/>
      <c r="GB246" s="504"/>
      <c r="GC246" s="504"/>
      <c r="GD246" s="504"/>
      <c r="GE246" s="504"/>
      <c r="GF246" s="504"/>
      <c r="GG246" s="504"/>
      <c r="GH246" s="504"/>
      <c r="GI246" s="504"/>
      <c r="GJ246" s="504"/>
      <c r="GK246" s="504"/>
      <c r="GL246" s="504"/>
      <c r="GM246" s="504"/>
      <c r="GN246" s="504"/>
      <c r="GO246" s="504"/>
      <c r="GP246" s="504"/>
      <c r="GQ246" s="504"/>
      <c r="GR246" s="504"/>
      <c r="GS246" s="504"/>
      <c r="GT246" s="504"/>
      <c r="GU246" s="504"/>
      <c r="GV246" s="504"/>
      <c r="GW246" s="504"/>
      <c r="GX246" s="504"/>
      <c r="GY246" s="504"/>
      <c r="GZ246" s="504"/>
      <c r="HA246" s="504"/>
      <c r="HB246" s="504"/>
      <c r="HC246" s="504"/>
      <c r="HD246" s="504"/>
      <c r="HE246" s="504"/>
      <c r="HF246" s="504"/>
      <c r="HG246" s="504"/>
      <c r="HH246" s="504"/>
      <c r="HI246" s="504"/>
      <c r="HJ246" s="504"/>
      <c r="HK246" s="504"/>
      <c r="HL246" s="504"/>
      <c r="HM246" s="504"/>
      <c r="HN246" s="504"/>
      <c r="HO246" s="504"/>
      <c r="HP246" s="504"/>
      <c r="HQ246" s="504"/>
      <c r="HR246" s="504"/>
      <c r="HS246" s="504"/>
      <c r="HT246" s="504"/>
      <c r="HU246" s="504"/>
      <c r="HV246" s="504"/>
      <c r="HW246" s="504"/>
      <c r="HX246" s="504"/>
      <c r="HY246" s="504"/>
      <c r="HZ246" s="504"/>
      <c r="IA246" s="504"/>
      <c r="IB246" s="504"/>
      <c r="IC246" s="504"/>
      <c r="ID246" s="504"/>
      <c r="IE246" s="504"/>
      <c r="IF246" s="504"/>
      <c r="IG246" s="504"/>
      <c r="IH246" s="504"/>
      <c r="II246" s="504"/>
      <c r="IJ246" s="504"/>
      <c r="IK246" s="504"/>
      <c r="IL246" s="504"/>
      <c r="IM246" s="504"/>
      <c r="IN246" s="504"/>
      <c r="IO246" s="504"/>
      <c r="IP246" s="504"/>
      <c r="IQ246" s="504"/>
      <c r="IR246" s="504"/>
      <c r="IS246" s="504"/>
      <c r="IT246" s="504"/>
      <c r="IU246" s="504"/>
      <c r="IV246" s="504"/>
      <c r="IW246" s="504"/>
      <c r="IX246" s="504"/>
      <c r="IY246" s="504"/>
      <c r="IZ246" s="504"/>
      <c r="JA246" s="504"/>
      <c r="JB246" s="504"/>
      <c r="JC246" s="504"/>
      <c r="JD246" s="504"/>
      <c r="JE246" s="504"/>
      <c r="JF246" s="504"/>
      <c r="JG246" s="504"/>
      <c r="JH246" s="504"/>
      <c r="JI246" s="504"/>
      <c r="JJ246" s="504"/>
      <c r="JK246" s="504"/>
      <c r="JL246" s="504"/>
      <c r="JM246" s="504"/>
      <c r="JN246" s="504"/>
      <c r="JO246" s="504"/>
      <c r="JP246" s="504"/>
      <c r="JQ246" s="504"/>
      <c r="JR246" s="504"/>
      <c r="JS246" s="504"/>
      <c r="JT246" s="504"/>
      <c r="JU246" s="504"/>
      <c r="JV246" s="504"/>
      <c r="JW246" s="504"/>
      <c r="JX246" s="504"/>
      <c r="JY246" s="504"/>
      <c r="JZ246" s="504"/>
      <c r="KA246" s="504"/>
      <c r="KB246" s="504"/>
      <c r="KC246" s="504"/>
      <c r="KD246" s="504"/>
      <c r="KE246" s="504"/>
      <c r="KF246" s="504"/>
      <c r="KG246" s="504"/>
      <c r="KH246" s="504"/>
      <c r="KI246" s="504"/>
      <c r="KJ246" s="504"/>
      <c r="KK246" s="504"/>
      <c r="KL246" s="504"/>
      <c r="KM246" s="504"/>
      <c r="KN246" s="504"/>
      <c r="KO246" s="504"/>
      <c r="KP246" s="504"/>
      <c r="KQ246" s="504"/>
      <c r="KR246" s="504"/>
      <c r="KS246" s="504"/>
      <c r="KT246" s="504"/>
      <c r="KU246" s="504"/>
      <c r="KV246" s="504"/>
      <c r="KW246" s="504"/>
      <c r="KX246" s="504"/>
      <c r="KY246" s="504"/>
      <c r="KZ246" s="504"/>
      <c r="LA246" s="504"/>
      <c r="LB246" s="504"/>
      <c r="LC246" s="504"/>
      <c r="LD246" s="504"/>
      <c r="LE246" s="504"/>
      <c r="LF246" s="504"/>
      <c r="LG246" s="504"/>
      <c r="LH246" s="504"/>
      <c r="LI246" s="504"/>
      <c r="LJ246" s="504"/>
      <c r="LK246" s="504"/>
      <c r="LL246" s="504"/>
      <c r="LM246" s="504"/>
      <c r="LN246" s="504"/>
      <c r="LO246" s="504"/>
      <c r="LP246" s="504"/>
      <c r="LQ246" s="504"/>
      <c r="LR246" s="504"/>
      <c r="LS246" s="504"/>
      <c r="LT246" s="504"/>
      <c r="LU246" s="504"/>
      <c r="LV246" s="504"/>
      <c r="LW246" s="504"/>
      <c r="LX246" s="504"/>
      <c r="LY246" s="504"/>
      <c r="LZ246" s="504"/>
      <c r="MA246" s="504"/>
      <c r="MB246" s="504"/>
      <c r="MC246" s="504"/>
      <c r="MD246" s="504"/>
      <c r="ME246" s="504"/>
      <c r="MF246" s="504"/>
      <c r="MG246" s="504"/>
      <c r="MH246" s="504"/>
      <c r="MI246" s="504"/>
      <c r="MJ246" s="504"/>
      <c r="MK246" s="504"/>
      <c r="ML246" s="504"/>
      <c r="MM246" s="504"/>
      <c r="MN246" s="504"/>
      <c r="MO246" s="504"/>
      <c r="MP246" s="504"/>
      <c r="MQ246" s="504"/>
      <c r="MR246" s="504"/>
      <c r="MS246" s="504"/>
      <c r="MT246" s="504"/>
      <c r="MU246" s="504"/>
      <c r="MV246" s="504"/>
      <c r="MW246" s="504"/>
      <c r="MX246" s="504"/>
      <c r="MY246" s="504"/>
      <c r="MZ246" s="504"/>
      <c r="NA246" s="504"/>
      <c r="NB246" s="504"/>
      <c r="NC246" s="504"/>
      <c r="ND246" s="504"/>
      <c r="NE246" s="504"/>
      <c r="NF246" s="504"/>
      <c r="NG246" s="504"/>
      <c r="NH246" s="504"/>
      <c r="NI246" s="504"/>
      <c r="NJ246" s="504"/>
      <c r="NK246" s="504"/>
      <c r="NL246" s="504"/>
      <c r="NM246" s="504"/>
      <c r="NN246" s="504"/>
      <c r="NO246" s="504"/>
      <c r="NP246" s="504"/>
      <c r="NQ246" s="504"/>
      <c r="NR246" s="504"/>
      <c r="NS246" s="504"/>
      <c r="NT246" s="504"/>
      <c r="NU246" s="504"/>
      <c r="NV246" s="504"/>
      <c r="NW246" s="504"/>
      <c r="NX246" s="504"/>
      <c r="NY246" s="504"/>
      <c r="NZ246" s="504"/>
      <c r="OA246" s="504"/>
      <c r="OB246" s="504"/>
      <c r="OC246" s="504"/>
      <c r="OD246" s="504"/>
      <c r="OE246" s="504"/>
      <c r="OF246" s="504"/>
      <c r="OG246" s="504"/>
      <c r="OH246" s="504"/>
      <c r="OI246" s="504"/>
      <c r="OJ246" s="504"/>
      <c r="OK246" s="504"/>
      <c r="OL246" s="504"/>
      <c r="OM246" s="504"/>
      <c r="ON246" s="504"/>
      <c r="OO246" s="504"/>
      <c r="OP246" s="504"/>
      <c r="OQ246" s="504"/>
      <c r="OR246" s="504"/>
      <c r="OS246" s="504"/>
      <c r="OT246" s="504"/>
      <c r="OU246" s="504"/>
      <c r="OV246" s="504"/>
      <c r="OW246" s="504"/>
      <c r="OX246" s="504"/>
      <c r="OY246" s="504"/>
      <c r="OZ246" s="504"/>
      <c r="PA246" s="504"/>
      <c r="PB246" s="504"/>
      <c r="PC246" s="504"/>
      <c r="PD246" s="504"/>
      <c r="PE246" s="504"/>
      <c r="PF246" s="504"/>
      <c r="PG246" s="504"/>
      <c r="PH246" s="504"/>
      <c r="PI246" s="504"/>
      <c r="PJ246" s="504"/>
      <c r="PK246" s="504"/>
      <c r="PL246" s="504"/>
      <c r="PM246" s="504"/>
      <c r="PN246" s="504"/>
      <c r="PO246" s="504"/>
      <c r="PP246" s="504"/>
      <c r="PQ246" s="504"/>
      <c r="PR246" s="504"/>
      <c r="PS246" s="504"/>
      <c r="PT246" s="504"/>
      <c r="PU246" s="504"/>
      <c r="PV246" s="504"/>
      <c r="PW246" s="504"/>
      <c r="PX246" s="504"/>
      <c r="PY246" s="504"/>
      <c r="PZ246" s="504"/>
      <c r="QA246" s="504"/>
      <c r="QB246" s="504"/>
      <c r="QC246" s="504"/>
      <c r="QD246" s="504"/>
      <c r="QE246" s="504"/>
      <c r="QF246" s="504"/>
      <c r="QG246" s="504"/>
      <c r="QH246" s="504"/>
      <c r="QI246" s="504"/>
      <c r="QJ246" s="504"/>
      <c r="QK246" s="504"/>
      <c r="QL246" s="504"/>
      <c r="QM246" s="504"/>
      <c r="QN246" s="504"/>
      <c r="QO246" s="504"/>
      <c r="QP246" s="504"/>
      <c r="QQ246" s="504"/>
      <c r="QR246" s="504"/>
      <c r="QS246" s="504"/>
      <c r="QT246" s="504"/>
      <c r="QU246" s="504"/>
      <c r="QV246" s="504"/>
      <c r="QW246" s="504"/>
      <c r="QX246" s="504"/>
      <c r="QY246" s="504"/>
      <c r="QZ246" s="504"/>
      <c r="RA246" s="504"/>
      <c r="RB246" s="504"/>
      <c r="RC246" s="504"/>
      <c r="RD246" s="504"/>
      <c r="RE246" s="504"/>
      <c r="RF246" s="504"/>
      <c r="RG246" s="504"/>
      <c r="RH246" s="504"/>
      <c r="RI246" s="504"/>
      <c r="RJ246" s="504"/>
      <c r="RK246" s="504"/>
      <c r="RL246" s="504"/>
      <c r="RM246" s="504"/>
      <c r="RN246" s="504"/>
      <c r="RO246" s="504"/>
      <c r="RP246" s="504"/>
      <c r="RQ246" s="504"/>
      <c r="RR246" s="504"/>
      <c r="RS246" s="504"/>
      <c r="RT246" s="504"/>
      <c r="RU246" s="504"/>
      <c r="RV246" s="504"/>
      <c r="RW246" s="504"/>
      <c r="RX246" s="504"/>
      <c r="RY246" s="504"/>
      <c r="RZ246" s="504"/>
      <c r="SA246" s="504"/>
      <c r="SB246" s="504"/>
      <c r="SC246" s="504"/>
      <c r="SD246" s="504"/>
      <c r="SE246" s="504"/>
      <c r="SF246" s="504"/>
      <c r="SG246" s="504"/>
      <c r="SH246" s="504"/>
      <c r="SI246" s="504"/>
      <c r="SJ246" s="504"/>
      <c r="SK246" s="504"/>
      <c r="SL246" s="504"/>
      <c r="SM246" s="504"/>
      <c r="SN246" s="504"/>
      <c r="SO246" s="504"/>
      <c r="SP246" s="504"/>
      <c r="SQ246" s="504"/>
      <c r="SR246" s="504"/>
      <c r="SS246" s="504"/>
      <c r="ST246" s="504"/>
      <c r="SU246" s="504"/>
      <c r="SV246" s="504"/>
      <c r="SW246" s="504"/>
      <c r="SX246" s="504"/>
      <c r="SY246" s="504"/>
      <c r="SZ246" s="504"/>
      <c r="TA246" s="504"/>
      <c r="TB246" s="504"/>
      <c r="TC246" s="504"/>
      <c r="TD246" s="504"/>
      <c r="TE246" s="504"/>
      <c r="TF246" s="504"/>
      <c r="TG246" s="504"/>
      <c r="TH246" s="504"/>
      <c r="TI246" s="504"/>
      <c r="TJ246" s="504"/>
      <c r="TK246" s="504"/>
      <c r="TL246" s="504"/>
      <c r="TM246" s="504"/>
      <c r="TN246" s="504"/>
      <c r="TO246" s="504"/>
      <c r="TP246" s="504"/>
      <c r="TQ246" s="504"/>
      <c r="TR246" s="504"/>
      <c r="TS246" s="504"/>
      <c r="TT246" s="504"/>
      <c r="TU246" s="504"/>
      <c r="TV246" s="504"/>
      <c r="TW246" s="504"/>
      <c r="TX246" s="504"/>
      <c r="TY246" s="504"/>
      <c r="TZ246" s="504"/>
      <c r="UA246" s="504"/>
      <c r="UB246" s="504"/>
      <c r="UC246" s="504"/>
      <c r="UD246" s="504"/>
      <c r="UE246" s="504"/>
      <c r="UF246" s="504"/>
      <c r="UG246" s="504"/>
      <c r="UH246" s="504"/>
      <c r="UI246" s="504"/>
      <c r="UJ246" s="504"/>
      <c r="UK246" s="504"/>
      <c r="UL246" s="504"/>
      <c r="UM246" s="504"/>
      <c r="UN246" s="504"/>
      <c r="UO246" s="504"/>
      <c r="UP246" s="504"/>
      <c r="UQ246" s="504"/>
      <c r="UR246" s="504"/>
      <c r="US246" s="504"/>
      <c r="UT246" s="504"/>
      <c r="UU246" s="504"/>
      <c r="UV246" s="504"/>
      <c r="UW246" s="504"/>
      <c r="UX246" s="504"/>
      <c r="UY246" s="504"/>
      <c r="UZ246" s="504"/>
      <c r="VA246" s="504"/>
      <c r="VB246" s="504"/>
      <c r="VC246" s="504"/>
      <c r="VD246" s="504"/>
      <c r="VE246" s="504"/>
      <c r="VF246" s="504"/>
      <c r="VG246" s="504"/>
      <c r="VH246" s="504"/>
      <c r="VI246" s="504"/>
      <c r="VJ246" s="504"/>
      <c r="VK246" s="504"/>
      <c r="VL246" s="504"/>
      <c r="VM246" s="504"/>
      <c r="VN246" s="504"/>
      <c r="VO246" s="504"/>
      <c r="VP246" s="504"/>
      <c r="VQ246" s="504"/>
      <c r="VR246" s="504"/>
      <c r="VS246" s="504"/>
      <c r="VT246" s="504"/>
      <c r="VU246" s="504"/>
      <c r="VV246" s="504"/>
      <c r="VW246" s="504"/>
      <c r="VX246" s="504"/>
      <c r="VY246" s="504"/>
      <c r="VZ246" s="504"/>
      <c r="WA246" s="504"/>
      <c r="WB246" s="504"/>
      <c r="WC246" s="504"/>
      <c r="WD246" s="504"/>
      <c r="WE246" s="504"/>
      <c r="WF246" s="504"/>
      <c r="WG246" s="504"/>
      <c r="WH246" s="504"/>
      <c r="WI246" s="504"/>
      <c r="WJ246" s="504"/>
      <c r="WK246" s="504"/>
      <c r="WL246" s="504"/>
      <c r="WM246" s="504"/>
      <c r="WN246" s="504"/>
      <c r="WO246" s="504"/>
      <c r="WP246" s="504"/>
      <c r="WQ246" s="504"/>
      <c r="WR246" s="504"/>
      <c r="WS246" s="504"/>
      <c r="WT246" s="504"/>
      <c r="WU246" s="504"/>
      <c r="WV246" s="504"/>
      <c r="WW246" s="504"/>
      <c r="WX246" s="504"/>
      <c r="WY246" s="504"/>
      <c r="WZ246" s="504"/>
      <c r="XA246" s="504"/>
      <c r="XB246" s="504"/>
      <c r="XC246" s="504"/>
      <c r="XD246" s="504"/>
      <c r="XE246" s="504"/>
      <c r="XF246" s="504"/>
      <c r="XG246" s="504"/>
      <c r="XH246" s="504"/>
      <c r="XI246" s="504"/>
      <c r="XJ246" s="504"/>
      <c r="XK246" s="504"/>
      <c r="XL246" s="504"/>
      <c r="XM246" s="504"/>
      <c r="XN246" s="504"/>
      <c r="XO246" s="504"/>
      <c r="XP246" s="504"/>
      <c r="XQ246" s="504"/>
      <c r="XR246" s="504"/>
      <c r="XS246" s="504"/>
      <c r="XT246" s="504"/>
      <c r="XU246" s="504"/>
      <c r="XV246" s="504"/>
      <c r="XW246" s="504"/>
      <c r="XX246" s="504"/>
      <c r="XY246" s="504"/>
      <c r="XZ246" s="504"/>
      <c r="YA246" s="504"/>
      <c r="YB246" s="504"/>
      <c r="YC246" s="504"/>
      <c r="YD246" s="504"/>
      <c r="YE246" s="504"/>
      <c r="YF246" s="504"/>
      <c r="YG246" s="504"/>
      <c r="YH246" s="504"/>
      <c r="YI246" s="504"/>
      <c r="YJ246" s="504"/>
      <c r="YK246" s="504"/>
      <c r="YL246" s="504"/>
      <c r="YM246" s="504"/>
      <c r="YN246" s="504"/>
      <c r="YO246" s="504"/>
      <c r="YP246" s="504"/>
      <c r="YQ246" s="504"/>
      <c r="YR246" s="504"/>
      <c r="YS246" s="504"/>
      <c r="YT246" s="504"/>
      <c r="YU246" s="504"/>
      <c r="YV246" s="504"/>
      <c r="YW246" s="504"/>
      <c r="YX246" s="504"/>
      <c r="YY246" s="504"/>
      <c r="YZ246" s="504"/>
      <c r="ZA246" s="504"/>
      <c r="ZB246" s="504"/>
      <c r="ZC246" s="504"/>
      <c r="ZD246" s="504"/>
      <c r="ZE246" s="504"/>
      <c r="ZF246" s="504"/>
      <c r="ZG246" s="504"/>
      <c r="ZH246" s="504"/>
      <c r="ZI246" s="504"/>
      <c r="ZJ246" s="504"/>
      <c r="ZK246" s="504"/>
      <c r="ZL246" s="504"/>
      <c r="ZM246" s="504"/>
      <c r="ZN246" s="504"/>
      <c r="ZO246" s="504"/>
      <c r="ZP246" s="504"/>
      <c r="ZQ246" s="504"/>
      <c r="ZR246" s="504"/>
      <c r="ZS246" s="504"/>
      <c r="ZT246" s="504"/>
      <c r="ZU246" s="504"/>
      <c r="ZV246" s="504"/>
      <c r="ZW246" s="504"/>
      <c r="ZX246" s="504"/>
      <c r="ZY246" s="504"/>
      <c r="ZZ246" s="504"/>
      <c r="AAA246" s="504"/>
      <c r="AAB246" s="504"/>
      <c r="AAC246" s="504"/>
      <c r="AAD246" s="504"/>
      <c r="AAE246" s="504"/>
      <c r="AAF246" s="504"/>
      <c r="AAG246" s="504"/>
      <c r="AAH246" s="504"/>
      <c r="AAI246" s="504"/>
      <c r="AAJ246" s="504"/>
      <c r="AAK246" s="504"/>
      <c r="AAL246" s="504"/>
      <c r="AAM246" s="504"/>
      <c r="AAN246" s="504"/>
      <c r="AAO246" s="504"/>
      <c r="AAP246" s="504"/>
      <c r="AAQ246" s="504"/>
      <c r="AAR246" s="504"/>
      <c r="AAS246" s="504"/>
      <c r="AAT246" s="504"/>
      <c r="AAU246" s="504"/>
      <c r="AAV246" s="504"/>
      <c r="AAW246" s="504"/>
      <c r="AAX246" s="504"/>
      <c r="AAY246" s="504"/>
      <c r="AAZ246" s="504"/>
      <c r="ABA246" s="504"/>
      <c r="ABB246" s="504"/>
      <c r="ABC246" s="504"/>
      <c r="ABD246" s="504"/>
      <c r="ABE246" s="504"/>
      <c r="ABF246" s="504"/>
      <c r="ABG246" s="504"/>
      <c r="ABH246" s="504"/>
      <c r="ABI246" s="504"/>
      <c r="ABJ246" s="504"/>
      <c r="ABK246" s="504"/>
      <c r="ABL246" s="504"/>
      <c r="ABM246" s="504"/>
      <c r="ABN246" s="504"/>
      <c r="ABO246" s="504"/>
      <c r="ABP246" s="504"/>
      <c r="ABQ246" s="504"/>
      <c r="ABR246" s="504"/>
      <c r="ABS246" s="504"/>
      <c r="ABT246" s="504"/>
      <c r="ABU246" s="504"/>
      <c r="ABV246" s="504"/>
      <c r="ABW246" s="504"/>
      <c r="ABX246" s="504"/>
      <c r="ABY246" s="504"/>
      <c r="ABZ246" s="504"/>
      <c r="ACA246" s="504"/>
      <c r="ACB246" s="504"/>
      <c r="ACC246" s="504"/>
      <c r="ACD246" s="504"/>
      <c r="ACE246" s="504"/>
      <c r="ACF246" s="504"/>
      <c r="ACG246" s="504"/>
      <c r="ACH246" s="504"/>
      <c r="ACI246" s="504"/>
      <c r="ACJ246" s="504"/>
      <c r="ACK246" s="504"/>
      <c r="ACL246" s="504"/>
      <c r="ACM246" s="504"/>
      <c r="ACN246" s="504"/>
      <c r="ACO246" s="504"/>
      <c r="ACP246" s="504"/>
      <c r="ACQ246" s="504"/>
      <c r="ACR246" s="504"/>
      <c r="ACS246" s="504"/>
      <c r="ACT246" s="504"/>
      <c r="ACU246" s="504"/>
      <c r="ACV246" s="504"/>
      <c r="ACW246" s="504"/>
      <c r="ACX246" s="504"/>
      <c r="ACY246" s="504"/>
      <c r="ACZ246" s="504"/>
      <c r="ADA246" s="504"/>
      <c r="ADB246" s="504"/>
      <c r="ADC246" s="504"/>
      <c r="ADD246" s="504"/>
      <c r="ADE246" s="504"/>
      <c r="ADF246" s="504"/>
      <c r="ADG246" s="504"/>
      <c r="ADH246" s="504"/>
      <c r="ADI246" s="504"/>
      <c r="ADJ246" s="504"/>
      <c r="ADK246" s="504"/>
      <c r="ADL246" s="504"/>
      <c r="ADM246" s="504"/>
      <c r="ADN246" s="504"/>
      <c r="ADO246" s="504"/>
      <c r="ADP246" s="504"/>
      <c r="ADQ246" s="504"/>
      <c r="ADR246" s="504"/>
      <c r="ADS246" s="504"/>
      <c r="ADT246" s="504"/>
      <c r="ADU246" s="504"/>
      <c r="ADV246" s="504"/>
      <c r="ADW246" s="504"/>
      <c r="ADX246" s="504"/>
      <c r="ADY246" s="504"/>
      <c r="ADZ246" s="504"/>
      <c r="AEA246" s="504"/>
      <c r="AEB246" s="504"/>
      <c r="AEC246" s="504"/>
      <c r="AED246" s="504"/>
      <c r="AEE246" s="504"/>
      <c r="AEF246" s="504"/>
      <c r="AEG246" s="504"/>
      <c r="AEH246" s="504"/>
      <c r="AEI246" s="504"/>
      <c r="AEJ246" s="504"/>
      <c r="AEK246" s="504"/>
      <c r="AEL246" s="504"/>
      <c r="AEM246" s="504"/>
      <c r="AEN246" s="504"/>
      <c r="AEO246" s="504"/>
      <c r="AEP246" s="504"/>
      <c r="AEQ246" s="504"/>
      <c r="AER246" s="504"/>
      <c r="AES246" s="504"/>
      <c r="AET246" s="504"/>
      <c r="AEU246" s="504"/>
      <c r="AEV246" s="504"/>
      <c r="AEW246" s="504"/>
      <c r="AEX246" s="504"/>
      <c r="AEY246" s="504"/>
      <c r="AEZ246" s="504"/>
      <c r="AFA246" s="504"/>
      <c r="AFB246" s="504"/>
      <c r="AFC246" s="504"/>
      <c r="AFD246" s="504"/>
      <c r="AFE246" s="504"/>
      <c r="AFF246" s="504"/>
      <c r="AFG246" s="504"/>
      <c r="AFH246" s="504"/>
      <c r="AFI246" s="504"/>
      <c r="AFJ246" s="504"/>
      <c r="AFK246" s="504"/>
      <c r="AFL246" s="504"/>
      <c r="AFM246" s="504"/>
      <c r="AFN246" s="504"/>
      <c r="AFO246" s="504"/>
      <c r="AFP246" s="504"/>
      <c r="AFQ246" s="504"/>
      <c r="AFR246" s="504"/>
      <c r="AFS246" s="504"/>
      <c r="AFT246" s="504"/>
      <c r="AFU246" s="504"/>
      <c r="AFV246" s="504"/>
      <c r="AFW246" s="504"/>
      <c r="AFX246" s="504"/>
      <c r="AFY246" s="504"/>
      <c r="AFZ246" s="504"/>
      <c r="AGA246" s="504"/>
      <c r="AGB246" s="504"/>
      <c r="AGC246" s="504"/>
      <c r="AGD246" s="504"/>
      <c r="AGE246" s="504"/>
      <c r="AGF246" s="504"/>
      <c r="AGG246" s="504"/>
      <c r="AGH246" s="504"/>
      <c r="AGI246" s="504"/>
      <c r="AGJ246" s="504"/>
      <c r="AGK246" s="504"/>
      <c r="AGL246" s="504"/>
      <c r="AGM246" s="504"/>
      <c r="AGN246" s="504"/>
      <c r="AGO246" s="504"/>
      <c r="AGP246" s="504"/>
      <c r="AGQ246" s="504"/>
      <c r="AGR246" s="504"/>
      <c r="AGS246" s="504"/>
      <c r="AGT246" s="504"/>
      <c r="AGU246" s="504"/>
      <c r="AGV246" s="504"/>
      <c r="AGW246" s="504"/>
      <c r="AGX246" s="504"/>
      <c r="AGY246" s="504"/>
      <c r="AGZ246" s="504"/>
      <c r="AHA246" s="504"/>
      <c r="AHB246" s="504"/>
      <c r="AHC246" s="504"/>
      <c r="AHD246" s="504"/>
      <c r="AHE246" s="504"/>
      <c r="AHF246" s="504"/>
      <c r="AHG246" s="504"/>
      <c r="AHH246" s="504"/>
      <c r="AHI246" s="504"/>
      <c r="AHJ246" s="504"/>
      <c r="AHK246" s="504"/>
      <c r="AHL246" s="504"/>
      <c r="AHM246" s="504"/>
      <c r="AHN246" s="504"/>
      <c r="AHO246" s="504"/>
      <c r="AHP246" s="504"/>
      <c r="AHQ246" s="504"/>
      <c r="AHR246" s="504"/>
      <c r="AHS246" s="504"/>
      <c r="AHT246" s="504"/>
      <c r="AHU246" s="504"/>
      <c r="AHV246" s="504"/>
      <c r="AHW246" s="504"/>
      <c r="AHX246" s="504"/>
      <c r="AHY246" s="504"/>
      <c r="AHZ246" s="504"/>
      <c r="AIA246" s="504"/>
      <c r="AIB246" s="504"/>
      <c r="AIC246" s="504"/>
      <c r="AID246" s="504"/>
      <c r="AIE246" s="504"/>
      <c r="AIF246" s="504"/>
      <c r="AIG246" s="504"/>
      <c r="AIH246" s="504"/>
      <c r="AII246" s="504"/>
      <c r="AIJ246" s="504"/>
      <c r="AIK246" s="504"/>
      <c r="AIL246" s="504"/>
      <c r="AIM246" s="504"/>
      <c r="AIN246" s="504"/>
      <c r="AIO246" s="504"/>
      <c r="AIP246" s="504"/>
      <c r="AIQ246" s="504"/>
      <c r="AIR246" s="504"/>
      <c r="AIS246" s="504"/>
      <c r="AIT246" s="504"/>
      <c r="AIU246" s="504"/>
      <c r="AIV246" s="504"/>
      <c r="AIW246" s="504"/>
      <c r="AIX246" s="504"/>
      <c r="AIY246" s="504"/>
      <c r="AIZ246" s="504"/>
      <c r="AJA246" s="504"/>
      <c r="AJB246" s="504"/>
      <c r="AJC246" s="504"/>
      <c r="AJD246" s="504"/>
      <c r="AJE246" s="504"/>
      <c r="AJF246" s="504"/>
      <c r="AJG246" s="504"/>
      <c r="AJH246" s="504"/>
      <c r="AJI246" s="504"/>
      <c r="AJJ246" s="504"/>
      <c r="AJK246" s="504"/>
      <c r="AJL246" s="504"/>
      <c r="AJM246" s="504"/>
      <c r="AJN246" s="504"/>
      <c r="AJO246" s="504"/>
      <c r="AJP246" s="504"/>
      <c r="AJQ246" s="504"/>
      <c r="AJR246" s="504"/>
      <c r="AJS246" s="504"/>
      <c r="AJT246" s="504"/>
      <c r="AJU246" s="504"/>
      <c r="AJV246" s="504"/>
      <c r="AJW246" s="504"/>
      <c r="AJX246" s="504"/>
      <c r="AJY246" s="504"/>
      <c r="AJZ246" s="504"/>
      <c r="AKA246" s="504"/>
      <c r="AKB246" s="504"/>
      <c r="AKC246" s="504"/>
      <c r="AKD246" s="504"/>
      <c r="AKE246" s="504"/>
      <c r="AKF246" s="504"/>
      <c r="AKG246" s="504"/>
      <c r="AKH246" s="504"/>
      <c r="AKI246" s="504"/>
      <c r="AKJ246" s="504"/>
      <c r="AKK246" s="504"/>
      <c r="AKL246" s="504"/>
      <c r="AKM246" s="504"/>
      <c r="AKN246" s="504"/>
      <c r="AKO246" s="504"/>
      <c r="AKP246" s="504"/>
      <c r="AKQ246" s="504"/>
      <c r="AKR246" s="504"/>
      <c r="AKS246" s="504"/>
      <c r="AKT246" s="504"/>
      <c r="AKU246" s="504"/>
      <c r="AKV246" s="504"/>
      <c r="AKW246" s="504"/>
      <c r="AKX246" s="504"/>
      <c r="AKY246" s="504"/>
      <c r="AKZ246" s="504"/>
      <c r="ALA246" s="504"/>
      <c r="ALB246" s="504"/>
      <c r="ALC246" s="504"/>
      <c r="ALD246" s="504"/>
      <c r="ALE246" s="504"/>
      <c r="ALF246" s="504"/>
      <c r="ALG246" s="504"/>
      <c r="ALH246" s="504"/>
      <c r="ALI246" s="504"/>
      <c r="ALJ246" s="504"/>
      <c r="ALK246" s="504"/>
      <c r="ALL246" s="504"/>
      <c r="ALM246" s="504"/>
      <c r="ALN246" s="504"/>
      <c r="ALO246" s="504"/>
      <c r="ALP246" s="504"/>
      <c r="ALQ246" s="504"/>
      <c r="ALR246" s="504"/>
      <c r="ALS246" s="504"/>
      <c r="ALT246" s="504"/>
      <c r="ALU246" s="504"/>
      <c r="ALV246" s="504"/>
      <c r="ALW246" s="504"/>
      <c r="ALX246" s="504"/>
      <c r="ALY246" s="504"/>
      <c r="ALZ246" s="504"/>
      <c r="AMA246" s="504"/>
      <c r="AMB246" s="504"/>
      <c r="AMC246" s="504"/>
      <c r="AMD246" s="504"/>
      <c r="AME246" s="504"/>
      <c r="AMF246" s="504"/>
      <c r="AMG246" s="504"/>
      <c r="AMH246" s="504"/>
      <c r="AMI246" s="504"/>
      <c r="AMJ246" s="504"/>
      <c r="AMK246" s="504"/>
      <c r="AML246" s="504"/>
      <c r="AMM246" s="504"/>
      <c r="AMN246" s="504"/>
      <c r="AMO246" s="504"/>
      <c r="AMP246" s="504"/>
      <c r="AMQ246" s="504"/>
      <c r="AMR246" s="504"/>
      <c r="AMS246" s="504"/>
      <c r="AMT246" s="504"/>
      <c r="AMU246" s="504"/>
      <c r="AMV246" s="504"/>
      <c r="AMW246" s="504"/>
      <c r="AMX246" s="504"/>
      <c r="AMY246" s="504"/>
      <c r="AMZ246" s="504"/>
      <c r="ANA246" s="504"/>
      <c r="ANB246" s="504"/>
      <c r="ANC246" s="504"/>
      <c r="AND246" s="504"/>
      <c r="ANE246" s="504"/>
      <c r="ANF246" s="504"/>
      <c r="ANG246" s="504"/>
      <c r="ANH246" s="504"/>
      <c r="ANI246" s="504"/>
      <c r="ANJ246" s="504"/>
      <c r="ANK246" s="504"/>
      <c r="ANL246" s="504"/>
      <c r="ANM246" s="504"/>
      <c r="ANN246" s="504"/>
      <c r="ANO246" s="504"/>
      <c r="ANP246" s="504"/>
      <c r="ANQ246" s="504"/>
      <c r="ANR246" s="504"/>
      <c r="ANS246" s="504"/>
      <c r="ANT246" s="504"/>
      <c r="ANU246" s="504"/>
      <c r="ANV246" s="504"/>
      <c r="ANW246" s="504"/>
      <c r="ANX246" s="504"/>
      <c r="ANY246" s="504"/>
      <c r="ANZ246" s="504"/>
      <c r="AOA246" s="504"/>
      <c r="AOB246" s="504"/>
      <c r="AOC246" s="504"/>
      <c r="AOD246" s="504"/>
      <c r="AOE246" s="504"/>
      <c r="AOF246" s="504"/>
      <c r="AOG246" s="504"/>
      <c r="AOH246" s="504"/>
      <c r="AOI246" s="504"/>
      <c r="AOJ246" s="504"/>
      <c r="AOK246" s="504"/>
      <c r="AOL246" s="504"/>
      <c r="AOM246" s="504"/>
      <c r="AON246" s="504"/>
      <c r="AOO246" s="504"/>
      <c r="AOP246" s="504"/>
      <c r="AOQ246" s="504"/>
      <c r="AOR246" s="504"/>
      <c r="AOS246" s="504"/>
      <c r="AOT246" s="504"/>
      <c r="AOU246" s="504"/>
      <c r="AOV246" s="504"/>
      <c r="AOW246" s="504"/>
      <c r="AOX246" s="504"/>
      <c r="AOY246" s="504"/>
      <c r="AOZ246" s="504"/>
      <c r="APA246" s="504"/>
      <c r="APB246" s="504"/>
      <c r="APC246" s="504"/>
      <c r="APD246" s="504"/>
      <c r="APE246" s="504"/>
      <c r="APF246" s="504"/>
      <c r="APG246" s="504"/>
      <c r="APH246" s="504"/>
      <c r="API246" s="504"/>
      <c r="APJ246" s="504"/>
      <c r="APK246" s="504"/>
      <c r="APL246" s="504"/>
      <c r="APM246" s="504"/>
      <c r="APN246" s="504"/>
      <c r="APO246" s="504"/>
      <c r="APP246" s="504"/>
      <c r="APQ246" s="504"/>
      <c r="APR246" s="504"/>
      <c r="APS246" s="504"/>
      <c r="APT246" s="504"/>
      <c r="APU246" s="504"/>
      <c r="APV246" s="504"/>
      <c r="APW246" s="504"/>
      <c r="APX246" s="504"/>
      <c r="APY246" s="504"/>
      <c r="APZ246" s="504"/>
      <c r="AQA246" s="504"/>
      <c r="AQB246" s="504"/>
      <c r="AQC246" s="504"/>
      <c r="AQD246" s="504"/>
      <c r="AQE246" s="504"/>
      <c r="AQF246" s="504"/>
      <c r="AQG246" s="504"/>
      <c r="AQH246" s="504"/>
      <c r="AQI246" s="504"/>
      <c r="AQJ246" s="504"/>
      <c r="AQK246" s="504"/>
      <c r="AQL246" s="504"/>
      <c r="AQM246" s="504"/>
      <c r="AQN246" s="504"/>
      <c r="AQO246" s="504"/>
      <c r="AQP246" s="504"/>
      <c r="AQQ246" s="504"/>
      <c r="AQR246" s="504"/>
      <c r="AQS246" s="504"/>
      <c r="AQT246" s="504"/>
      <c r="AQU246" s="504"/>
      <c r="AQV246" s="504"/>
      <c r="AQW246" s="504"/>
      <c r="AQX246" s="504"/>
      <c r="AQY246" s="504"/>
      <c r="AQZ246" s="504"/>
      <c r="ARA246" s="504"/>
      <c r="ARB246" s="504"/>
      <c r="ARC246" s="504"/>
      <c r="ARD246" s="504"/>
      <c r="ARE246" s="504"/>
      <c r="ARF246" s="504"/>
      <c r="ARG246" s="504"/>
      <c r="ARH246" s="504"/>
      <c r="ARI246" s="504"/>
      <c r="ARJ246" s="504"/>
      <c r="ARK246" s="504"/>
      <c r="ARL246" s="504"/>
      <c r="ARM246" s="504"/>
      <c r="ARN246" s="504"/>
      <c r="ARO246" s="504"/>
      <c r="ARP246" s="504"/>
      <c r="ARQ246" s="504"/>
      <c r="ARR246" s="504"/>
      <c r="ARS246" s="504"/>
      <c r="ART246" s="504"/>
      <c r="ARU246" s="504"/>
      <c r="ARV246" s="504"/>
      <c r="ARW246" s="504"/>
      <c r="ARX246" s="504"/>
      <c r="ARY246" s="504"/>
      <c r="ARZ246" s="504"/>
      <c r="ASA246" s="504"/>
      <c r="ASB246" s="504"/>
      <c r="ASC246" s="504"/>
      <c r="ASD246" s="504"/>
      <c r="ASE246" s="504"/>
      <c r="ASF246" s="504"/>
      <c r="ASG246" s="504"/>
      <c r="ASH246" s="504"/>
      <c r="ASI246" s="504"/>
      <c r="ASJ246" s="504"/>
      <c r="ASK246" s="504"/>
      <c r="ASL246" s="504"/>
      <c r="ASM246" s="504"/>
      <c r="ASN246" s="504"/>
      <c r="ASO246" s="504"/>
      <c r="ASP246" s="504"/>
      <c r="ASQ246" s="504"/>
      <c r="ASR246" s="504"/>
      <c r="ASS246" s="504"/>
      <c r="AST246" s="504"/>
      <c r="ASU246" s="504"/>
      <c r="ASV246" s="504"/>
      <c r="ASW246" s="504"/>
      <c r="ASX246" s="504"/>
      <c r="ASY246" s="504"/>
      <c r="ASZ246" s="504"/>
      <c r="ATA246" s="504"/>
      <c r="ATB246" s="504"/>
      <c r="ATC246" s="504"/>
      <c r="ATD246" s="504"/>
      <c r="ATE246" s="504"/>
      <c r="ATF246" s="504"/>
      <c r="ATG246" s="504"/>
      <c r="ATH246" s="504"/>
      <c r="ATI246" s="504"/>
      <c r="ATJ246" s="504"/>
      <c r="ATK246" s="504"/>
      <c r="ATL246" s="504"/>
      <c r="ATM246" s="504"/>
      <c r="ATN246" s="504"/>
      <c r="ATO246" s="504"/>
      <c r="ATP246" s="504"/>
      <c r="ATQ246" s="504"/>
      <c r="ATR246" s="504"/>
      <c r="ATS246" s="504"/>
      <c r="ATT246" s="504"/>
      <c r="ATU246" s="504"/>
      <c r="ATV246" s="504"/>
      <c r="ATW246" s="504"/>
      <c r="ATX246" s="504"/>
      <c r="ATY246" s="504"/>
      <c r="ATZ246" s="504"/>
      <c r="AUA246" s="504"/>
      <c r="AUB246" s="504"/>
      <c r="AUC246" s="504"/>
      <c r="AUD246" s="504"/>
      <c r="AUE246" s="504"/>
      <c r="AUF246" s="504"/>
      <c r="AUG246" s="504"/>
      <c r="AUH246" s="504"/>
      <c r="AUI246" s="504"/>
      <c r="AUJ246" s="504"/>
      <c r="AUK246" s="504"/>
      <c r="AUL246" s="504"/>
      <c r="AUM246" s="504"/>
      <c r="AUN246" s="504"/>
      <c r="AUO246" s="504"/>
      <c r="AUP246" s="504"/>
      <c r="AUQ246" s="504"/>
      <c r="AUR246" s="504"/>
      <c r="AUS246" s="504"/>
      <c r="AUT246" s="504"/>
      <c r="AUU246" s="504"/>
      <c r="AUV246" s="504"/>
      <c r="AUW246" s="504"/>
      <c r="AUX246" s="504"/>
      <c r="AUY246" s="504"/>
      <c r="AUZ246" s="504"/>
      <c r="AVA246" s="504"/>
      <c r="AVB246" s="504"/>
      <c r="AVC246" s="504"/>
      <c r="AVD246" s="504"/>
      <c r="AVE246" s="504"/>
      <c r="AVF246" s="504"/>
      <c r="AVG246" s="504"/>
      <c r="AVH246" s="504"/>
      <c r="AVI246" s="504"/>
      <c r="AVJ246" s="504"/>
      <c r="AVK246" s="504"/>
      <c r="AVL246" s="504"/>
      <c r="AVM246" s="504"/>
      <c r="AVN246" s="504"/>
      <c r="AVO246" s="504"/>
      <c r="AVP246" s="504"/>
      <c r="AVQ246" s="504"/>
      <c r="AVR246" s="504"/>
      <c r="AVS246" s="504"/>
      <c r="AVT246" s="504"/>
      <c r="AVU246" s="504"/>
      <c r="AVV246" s="504"/>
      <c r="AVW246" s="504"/>
      <c r="AVX246" s="504"/>
      <c r="AVY246" s="504"/>
      <c r="AVZ246" s="504"/>
      <c r="AWA246" s="504"/>
      <c r="AWB246" s="504"/>
      <c r="AWC246" s="504"/>
      <c r="AWD246" s="504"/>
      <c r="AWE246" s="504"/>
      <c r="AWF246" s="504"/>
      <c r="AWG246" s="504"/>
      <c r="AWH246" s="504"/>
      <c r="AWI246" s="504"/>
      <c r="AWJ246" s="504"/>
      <c r="AWK246" s="504"/>
      <c r="AWL246" s="504"/>
      <c r="AWM246" s="504"/>
      <c r="AWN246" s="504"/>
      <c r="AWO246" s="504"/>
      <c r="AWP246" s="504"/>
      <c r="AWQ246" s="504"/>
      <c r="AWR246" s="504"/>
      <c r="AWS246" s="504"/>
      <c r="AWT246" s="504"/>
      <c r="AWU246" s="504"/>
      <c r="AWV246" s="504"/>
      <c r="AWW246" s="504"/>
      <c r="AWX246" s="504"/>
      <c r="AWY246" s="504"/>
      <c r="AWZ246" s="504"/>
      <c r="AXA246" s="504"/>
      <c r="AXB246" s="504"/>
      <c r="AXC246" s="504"/>
      <c r="AXD246" s="504"/>
      <c r="AXE246" s="504"/>
      <c r="AXF246" s="504"/>
      <c r="AXG246" s="504"/>
      <c r="AXH246" s="504"/>
      <c r="AXI246" s="504"/>
      <c r="AXJ246" s="504"/>
      <c r="AXK246" s="504"/>
      <c r="AXL246" s="504"/>
      <c r="AXM246" s="504"/>
      <c r="AXN246" s="504"/>
      <c r="AXO246" s="504"/>
      <c r="AXP246" s="504"/>
      <c r="AXQ246" s="504"/>
      <c r="AXR246" s="504"/>
      <c r="AXS246" s="504"/>
      <c r="AXT246" s="504"/>
      <c r="AXU246" s="504"/>
      <c r="AXV246" s="504"/>
      <c r="AXW246" s="504"/>
      <c r="AXX246" s="504"/>
      <c r="AXY246" s="504"/>
      <c r="AXZ246" s="504"/>
      <c r="AYA246" s="504"/>
      <c r="AYB246" s="504"/>
      <c r="AYC246" s="504"/>
      <c r="AYD246" s="504"/>
      <c r="AYE246" s="504"/>
      <c r="AYF246" s="504"/>
      <c r="AYG246" s="504"/>
      <c r="AYH246" s="504"/>
      <c r="AYI246" s="504"/>
      <c r="AYJ246" s="504"/>
      <c r="AYK246" s="504"/>
      <c r="AYL246" s="504"/>
      <c r="AYM246" s="504"/>
      <c r="AYN246" s="504"/>
      <c r="AYO246" s="504"/>
      <c r="AYP246" s="504"/>
      <c r="AYQ246" s="504"/>
      <c r="AYR246" s="504"/>
      <c r="AYS246" s="504"/>
      <c r="AYT246" s="504"/>
      <c r="AYU246" s="504"/>
      <c r="AYV246" s="504"/>
      <c r="AYW246" s="504"/>
      <c r="AYX246" s="504"/>
      <c r="AYY246" s="504"/>
      <c r="AYZ246" s="504"/>
      <c r="AZA246" s="504"/>
      <c r="AZB246" s="504"/>
      <c r="AZC246" s="504"/>
      <c r="AZD246" s="504"/>
      <c r="AZE246" s="504"/>
      <c r="AZF246" s="504"/>
      <c r="AZG246" s="504"/>
      <c r="AZH246" s="504"/>
      <c r="AZI246" s="504"/>
      <c r="AZJ246" s="504"/>
      <c r="AZK246" s="504"/>
      <c r="AZL246" s="504"/>
      <c r="AZM246" s="504"/>
      <c r="AZN246" s="504"/>
      <c r="AZO246" s="504"/>
      <c r="AZP246" s="504"/>
      <c r="AZQ246" s="504"/>
      <c r="AZR246" s="504"/>
      <c r="AZS246" s="504"/>
      <c r="AZT246" s="504"/>
      <c r="AZU246" s="504"/>
      <c r="AZV246" s="504"/>
      <c r="AZW246" s="504"/>
      <c r="AZX246" s="504"/>
      <c r="AZY246" s="504"/>
      <c r="AZZ246" s="504"/>
      <c r="BAA246" s="504"/>
      <c r="BAB246" s="504"/>
      <c r="BAC246" s="504"/>
      <c r="BAD246" s="504"/>
      <c r="BAE246" s="504"/>
      <c r="BAF246" s="504"/>
      <c r="BAG246" s="504"/>
      <c r="BAH246" s="504"/>
      <c r="BAI246" s="504"/>
      <c r="BAJ246" s="504"/>
      <c r="BAK246" s="504"/>
      <c r="BAL246" s="504"/>
      <c r="BAM246" s="504"/>
      <c r="BAN246" s="504"/>
      <c r="BAO246" s="504"/>
      <c r="BAP246" s="504"/>
      <c r="BAQ246" s="504"/>
      <c r="BAR246" s="504"/>
      <c r="BAS246" s="504"/>
      <c r="BAT246" s="504"/>
      <c r="BAU246" s="504"/>
      <c r="BAV246" s="504"/>
      <c r="BAW246" s="504"/>
      <c r="BAX246" s="504"/>
      <c r="BAY246" s="504"/>
      <c r="BAZ246" s="504"/>
      <c r="BBA246" s="504"/>
      <c r="BBB246" s="504"/>
      <c r="BBC246" s="504"/>
      <c r="BBD246" s="504"/>
      <c r="BBE246" s="504"/>
      <c r="BBF246" s="504"/>
      <c r="BBG246" s="504"/>
      <c r="BBH246" s="504"/>
      <c r="BBI246" s="504"/>
      <c r="BBJ246" s="504"/>
      <c r="BBK246" s="504"/>
      <c r="BBL246" s="504"/>
      <c r="BBM246" s="504"/>
      <c r="BBN246" s="504"/>
      <c r="BBO246" s="504"/>
      <c r="BBP246" s="504"/>
      <c r="BBQ246" s="504"/>
      <c r="BBR246" s="504"/>
      <c r="BBS246" s="504"/>
      <c r="BBT246" s="504"/>
      <c r="BBU246" s="504"/>
      <c r="BBV246" s="504"/>
      <c r="BBW246" s="504"/>
      <c r="BBX246" s="504"/>
      <c r="BBY246" s="504"/>
      <c r="BBZ246" s="504"/>
      <c r="BCA246" s="504"/>
      <c r="BCB246" s="504"/>
      <c r="BCC246" s="504"/>
      <c r="BCD246" s="504"/>
      <c r="BCE246" s="504"/>
      <c r="BCF246" s="504"/>
      <c r="BCG246" s="504"/>
      <c r="BCH246" s="504"/>
      <c r="BCI246" s="504"/>
      <c r="BCJ246" s="504"/>
      <c r="BCK246" s="504"/>
      <c r="BCL246" s="504"/>
      <c r="BCM246" s="504"/>
      <c r="BCN246" s="504"/>
      <c r="BCO246" s="504"/>
      <c r="BCP246" s="504"/>
      <c r="BCQ246" s="504"/>
      <c r="BCR246" s="504"/>
      <c r="BCS246" s="504"/>
      <c r="BCT246" s="504"/>
      <c r="BCU246" s="504"/>
      <c r="BCV246" s="504"/>
      <c r="BCW246" s="504"/>
      <c r="BCX246" s="504"/>
      <c r="BCY246" s="504"/>
      <c r="BCZ246" s="504"/>
      <c r="BDA246" s="504"/>
      <c r="BDB246" s="504"/>
      <c r="BDC246" s="504"/>
      <c r="BDD246" s="504"/>
      <c r="BDE246" s="504"/>
      <c r="BDF246" s="504"/>
      <c r="BDG246" s="504"/>
      <c r="BDH246" s="504"/>
      <c r="BDI246" s="504"/>
      <c r="BDJ246" s="504"/>
      <c r="BDK246" s="504"/>
      <c r="BDL246" s="504"/>
      <c r="BDM246" s="504"/>
      <c r="BDN246" s="504"/>
      <c r="BDO246" s="504"/>
      <c r="BDP246" s="504"/>
      <c r="BDQ246" s="504"/>
      <c r="BDR246" s="504"/>
      <c r="BDS246" s="504"/>
      <c r="BDT246" s="504"/>
      <c r="BDU246" s="504"/>
      <c r="BDV246" s="504"/>
      <c r="BDW246" s="504"/>
      <c r="BDX246" s="504"/>
      <c r="BDY246" s="504"/>
      <c r="BDZ246" s="504"/>
      <c r="BEA246" s="504"/>
      <c r="BEB246" s="504"/>
      <c r="BEC246" s="504"/>
      <c r="BED246" s="504"/>
      <c r="BEE246" s="504"/>
      <c r="BEF246" s="504"/>
      <c r="BEG246" s="504"/>
      <c r="BEH246" s="504"/>
      <c r="BEI246" s="504"/>
      <c r="BEJ246" s="504"/>
      <c r="BEK246" s="504"/>
      <c r="BEL246" s="504"/>
      <c r="BEM246" s="504"/>
      <c r="BEN246" s="504"/>
      <c r="BEO246" s="504"/>
      <c r="BEP246" s="504"/>
      <c r="BEQ246" s="504"/>
      <c r="BER246" s="504"/>
      <c r="BES246" s="504"/>
      <c r="BET246" s="504"/>
      <c r="BEU246" s="504"/>
      <c r="BEV246" s="504"/>
      <c r="BEW246" s="504"/>
      <c r="BEX246" s="504"/>
      <c r="BEY246" s="504"/>
      <c r="BEZ246" s="504"/>
      <c r="BFA246" s="504"/>
      <c r="BFB246" s="504"/>
      <c r="BFC246" s="504"/>
      <c r="BFD246" s="504"/>
      <c r="BFE246" s="504"/>
      <c r="BFF246" s="504"/>
      <c r="BFG246" s="504"/>
      <c r="BFH246" s="504"/>
      <c r="BFI246" s="504"/>
      <c r="BFJ246" s="504"/>
      <c r="BFK246" s="504"/>
      <c r="BFL246" s="504"/>
      <c r="BFM246" s="504"/>
      <c r="BFN246" s="504"/>
      <c r="BFO246" s="504"/>
      <c r="BFP246" s="504"/>
      <c r="BFQ246" s="504"/>
      <c r="BFR246" s="504"/>
      <c r="BFS246" s="504"/>
      <c r="BFT246" s="504"/>
      <c r="BFU246" s="504"/>
      <c r="BFV246" s="504"/>
      <c r="BFW246" s="504"/>
      <c r="BFX246" s="504"/>
      <c r="BFY246" s="504"/>
      <c r="BFZ246" s="504"/>
      <c r="BGA246" s="504"/>
      <c r="BGB246" s="504"/>
      <c r="BGC246" s="504"/>
      <c r="BGD246" s="504"/>
      <c r="BGE246" s="504"/>
      <c r="BGF246" s="504"/>
      <c r="BGG246" s="504"/>
      <c r="BGH246" s="504"/>
      <c r="BGI246" s="504"/>
      <c r="BGJ246" s="504"/>
      <c r="BGK246" s="504"/>
      <c r="BGL246" s="504"/>
      <c r="BGM246" s="504"/>
      <c r="BGN246" s="504"/>
      <c r="BGO246" s="504"/>
      <c r="BGP246" s="504"/>
      <c r="BGQ246" s="504"/>
      <c r="BGR246" s="504"/>
      <c r="BGS246" s="504"/>
      <c r="BGT246" s="504"/>
      <c r="BGU246" s="504"/>
      <c r="BGV246" s="504"/>
      <c r="BGW246" s="504"/>
      <c r="BGX246" s="504"/>
      <c r="BGY246" s="504"/>
      <c r="BGZ246" s="504"/>
      <c r="BHA246" s="504"/>
      <c r="BHB246" s="504"/>
      <c r="BHC246" s="504"/>
      <c r="BHD246" s="504"/>
      <c r="BHE246" s="504"/>
      <c r="BHF246" s="504"/>
      <c r="BHG246" s="504"/>
      <c r="BHH246" s="504"/>
      <c r="BHI246" s="504"/>
      <c r="BHJ246" s="504"/>
      <c r="BHK246" s="504"/>
      <c r="BHL246" s="504"/>
      <c r="BHM246" s="504"/>
      <c r="BHN246" s="504"/>
      <c r="BHO246" s="504"/>
      <c r="BHP246" s="504"/>
      <c r="BHQ246" s="504"/>
      <c r="BHR246" s="504"/>
      <c r="BHS246" s="504"/>
      <c r="BHT246" s="504"/>
      <c r="BHU246" s="504"/>
      <c r="BHV246" s="504"/>
      <c r="BHW246" s="504"/>
      <c r="BHX246" s="504"/>
      <c r="BHY246" s="504"/>
      <c r="BHZ246" s="504"/>
      <c r="BIA246" s="504"/>
      <c r="BIB246" s="504"/>
      <c r="BIC246" s="504"/>
      <c r="BID246" s="504"/>
      <c r="BIE246" s="504"/>
      <c r="BIF246" s="504"/>
      <c r="BIG246" s="504"/>
      <c r="BIH246" s="504"/>
      <c r="BII246" s="504"/>
      <c r="BIJ246" s="504"/>
      <c r="BIK246" s="504"/>
      <c r="BIL246" s="504"/>
      <c r="BIM246" s="504"/>
      <c r="BIN246" s="504"/>
      <c r="BIO246" s="504"/>
      <c r="BIP246" s="504"/>
      <c r="BIQ246" s="504"/>
      <c r="BIR246" s="504"/>
      <c r="BIS246" s="504"/>
      <c r="BIT246" s="504"/>
      <c r="BIU246" s="504"/>
      <c r="BIV246" s="504"/>
      <c r="BIW246" s="504"/>
      <c r="BIX246" s="504"/>
      <c r="BIY246" s="504"/>
      <c r="BIZ246" s="504"/>
      <c r="BJA246" s="504"/>
      <c r="BJB246" s="504"/>
      <c r="BJC246" s="504"/>
      <c r="BJD246" s="504"/>
      <c r="BJE246" s="504"/>
      <c r="BJF246" s="504"/>
      <c r="BJG246" s="504"/>
      <c r="BJH246" s="504"/>
      <c r="BJI246" s="504"/>
      <c r="BJJ246" s="504"/>
      <c r="BJK246" s="504"/>
      <c r="BJL246" s="504"/>
      <c r="BJM246" s="504"/>
      <c r="BJN246" s="504"/>
      <c r="BJO246" s="504"/>
      <c r="BJP246" s="504"/>
      <c r="BJQ246" s="504"/>
      <c r="BJR246" s="504"/>
      <c r="BJS246" s="504"/>
      <c r="BJT246" s="504"/>
      <c r="BJU246" s="504"/>
      <c r="BJV246" s="504"/>
      <c r="BJW246" s="504"/>
      <c r="BJX246" s="504"/>
      <c r="BJY246" s="504"/>
      <c r="BJZ246" s="504"/>
      <c r="BKA246" s="504"/>
      <c r="BKB246" s="504"/>
      <c r="BKC246" s="504"/>
      <c r="BKD246" s="504"/>
      <c r="BKE246" s="504"/>
      <c r="BKF246" s="504"/>
      <c r="BKG246" s="504"/>
      <c r="BKH246" s="504"/>
      <c r="BKI246" s="504"/>
      <c r="BKJ246" s="504"/>
      <c r="BKK246" s="504"/>
      <c r="BKL246" s="504"/>
      <c r="BKM246" s="504"/>
      <c r="BKN246" s="504"/>
      <c r="BKO246" s="504"/>
      <c r="BKP246" s="504"/>
      <c r="BKQ246" s="504"/>
      <c r="BKR246" s="504"/>
      <c r="BKS246" s="504"/>
      <c r="BKT246" s="504"/>
      <c r="BKU246" s="504"/>
      <c r="BKV246" s="504"/>
      <c r="BKW246" s="504"/>
      <c r="BKX246" s="504"/>
      <c r="BKY246" s="504"/>
      <c r="BKZ246" s="504"/>
      <c r="BLA246" s="504"/>
      <c r="BLB246" s="504"/>
      <c r="BLC246" s="504"/>
      <c r="BLD246" s="504"/>
      <c r="BLE246" s="504"/>
      <c r="BLF246" s="504"/>
      <c r="BLG246" s="504"/>
      <c r="BLH246" s="504"/>
      <c r="BLI246" s="504"/>
      <c r="BLJ246" s="504"/>
      <c r="BLK246" s="504"/>
      <c r="BLL246" s="504"/>
      <c r="BLM246" s="504"/>
      <c r="BLN246" s="504"/>
      <c r="BLO246" s="504"/>
      <c r="BLP246" s="504"/>
      <c r="BLQ246" s="504"/>
      <c r="BLR246" s="504"/>
      <c r="BLS246" s="504"/>
      <c r="BLT246" s="504"/>
      <c r="BLU246" s="504"/>
      <c r="BLV246" s="504"/>
      <c r="BLW246" s="504"/>
      <c r="BLX246" s="504"/>
      <c r="BLY246" s="504"/>
      <c r="BLZ246" s="504"/>
      <c r="BMA246" s="504"/>
      <c r="BMB246" s="504"/>
      <c r="BMC246" s="504"/>
      <c r="BMD246" s="504"/>
      <c r="BME246" s="504"/>
      <c r="BMF246" s="504"/>
      <c r="BMG246" s="504"/>
      <c r="BMH246" s="504"/>
      <c r="BMI246" s="504"/>
      <c r="BMJ246" s="504"/>
      <c r="BMK246" s="504"/>
      <c r="BML246" s="504"/>
      <c r="BMM246" s="504"/>
      <c r="BMN246" s="504"/>
      <c r="BMO246" s="504"/>
      <c r="BMP246" s="504"/>
      <c r="BMQ246" s="504"/>
      <c r="BMR246" s="504"/>
      <c r="BMS246" s="504"/>
      <c r="BMT246" s="504"/>
      <c r="BMU246" s="504"/>
      <c r="BMV246" s="504"/>
      <c r="BMW246" s="504"/>
      <c r="BMX246" s="504"/>
      <c r="BMY246" s="504"/>
      <c r="BMZ246" s="504"/>
      <c r="BNA246" s="504"/>
      <c r="BNB246" s="504"/>
      <c r="BNC246" s="504"/>
      <c r="BND246" s="504"/>
      <c r="BNE246" s="504"/>
      <c r="BNF246" s="504"/>
      <c r="BNG246" s="504"/>
      <c r="BNH246" s="504"/>
      <c r="BNI246" s="504"/>
      <c r="BNJ246" s="504"/>
      <c r="BNK246" s="504"/>
      <c r="BNL246" s="504"/>
      <c r="BNM246" s="504"/>
      <c r="BNN246" s="504"/>
      <c r="BNO246" s="504"/>
      <c r="BNP246" s="504"/>
      <c r="BNQ246" s="504"/>
      <c r="BNR246" s="504"/>
      <c r="BNS246" s="504"/>
      <c r="BNT246" s="504"/>
      <c r="BNU246" s="504"/>
      <c r="BNV246" s="504"/>
      <c r="BNW246" s="504"/>
      <c r="BNX246" s="504"/>
      <c r="BNY246" s="504"/>
      <c r="BNZ246" s="504"/>
      <c r="BOA246" s="504"/>
      <c r="BOB246" s="504"/>
      <c r="BOC246" s="504"/>
      <c r="BOD246" s="504"/>
      <c r="BOE246" s="504"/>
      <c r="BOF246" s="504"/>
      <c r="BOG246" s="504"/>
      <c r="BOH246" s="504"/>
      <c r="BOI246" s="504"/>
      <c r="BOJ246" s="504"/>
      <c r="BOK246" s="504"/>
      <c r="BOL246" s="504"/>
      <c r="BOM246" s="504"/>
      <c r="BON246" s="504"/>
      <c r="BOO246" s="504"/>
      <c r="BOP246" s="504"/>
      <c r="BOQ246" s="504"/>
      <c r="BOR246" s="504"/>
      <c r="BOS246" s="504"/>
      <c r="BOT246" s="504"/>
      <c r="BOU246" s="504"/>
      <c r="BOV246" s="504"/>
      <c r="BOW246" s="504"/>
      <c r="BOX246" s="504"/>
      <c r="BOY246" s="504"/>
      <c r="BOZ246" s="504"/>
      <c r="BPA246" s="504"/>
      <c r="BPB246" s="504"/>
      <c r="BPC246" s="504"/>
      <c r="BPD246" s="504"/>
      <c r="BPE246" s="504"/>
      <c r="BPF246" s="504"/>
      <c r="BPG246" s="504"/>
      <c r="BPH246" s="504"/>
      <c r="BPI246" s="504"/>
      <c r="BPJ246" s="504"/>
      <c r="BPK246" s="504"/>
      <c r="BPL246" s="504"/>
      <c r="BPM246" s="504"/>
      <c r="BPN246" s="504"/>
      <c r="BPO246" s="504"/>
      <c r="BPP246" s="504"/>
      <c r="BPQ246" s="504"/>
      <c r="BPR246" s="504"/>
      <c r="BPS246" s="504"/>
      <c r="BPT246" s="504"/>
      <c r="BPU246" s="504"/>
      <c r="BPV246" s="504"/>
      <c r="BPW246" s="504"/>
      <c r="BPX246" s="504"/>
      <c r="BPY246" s="504"/>
      <c r="BPZ246" s="504"/>
      <c r="BQA246" s="504"/>
      <c r="BQB246" s="504"/>
      <c r="BQC246" s="504"/>
      <c r="BQD246" s="504"/>
      <c r="BQE246" s="504"/>
      <c r="BQF246" s="504"/>
      <c r="BQG246" s="504"/>
      <c r="BQH246" s="504"/>
      <c r="BQI246" s="504"/>
      <c r="BQJ246" s="504"/>
      <c r="BQK246" s="504"/>
      <c r="BQL246" s="504"/>
      <c r="BQM246" s="504"/>
      <c r="BQN246" s="504"/>
      <c r="BQO246" s="504"/>
      <c r="BQP246" s="504"/>
      <c r="BQQ246" s="504"/>
      <c r="BQR246" s="504"/>
      <c r="BQS246" s="504"/>
      <c r="BQT246" s="504"/>
      <c r="BQU246" s="504"/>
      <c r="BQV246" s="504"/>
      <c r="BQW246" s="504"/>
      <c r="BQX246" s="504"/>
      <c r="BQY246" s="504"/>
      <c r="BQZ246" s="504"/>
      <c r="BRA246" s="504"/>
      <c r="BRB246" s="504"/>
      <c r="BRC246" s="504"/>
      <c r="BRD246" s="504"/>
      <c r="BRE246" s="504"/>
      <c r="BRF246" s="504"/>
      <c r="BRG246" s="504"/>
      <c r="BRH246" s="504"/>
      <c r="BRI246" s="504"/>
      <c r="BRJ246" s="504"/>
      <c r="BRK246" s="504"/>
      <c r="BRL246" s="504"/>
      <c r="BRM246" s="504"/>
      <c r="BRN246" s="504"/>
      <c r="BRO246" s="504"/>
      <c r="BRP246" s="504"/>
      <c r="BRQ246" s="504"/>
      <c r="BRR246" s="504"/>
      <c r="BRS246" s="504"/>
      <c r="BRT246" s="504"/>
      <c r="BRU246" s="504"/>
      <c r="BRV246" s="504"/>
      <c r="BRW246" s="504"/>
      <c r="BRX246" s="504"/>
      <c r="BRY246" s="504"/>
      <c r="BRZ246" s="504"/>
      <c r="BSA246" s="504"/>
      <c r="BSB246" s="504"/>
      <c r="BSC246" s="504"/>
      <c r="BSD246" s="504"/>
      <c r="BSE246" s="504"/>
      <c r="BSF246" s="504"/>
      <c r="BSG246" s="504"/>
      <c r="BSH246" s="504"/>
      <c r="BSI246" s="504"/>
      <c r="BSJ246" s="504"/>
      <c r="BSK246" s="504"/>
      <c r="BSL246" s="504"/>
      <c r="BSM246" s="504"/>
      <c r="BSN246" s="504"/>
      <c r="BSO246" s="504"/>
      <c r="BSP246" s="504"/>
      <c r="BSQ246" s="504"/>
      <c r="BSR246" s="504"/>
      <c r="BSS246" s="504"/>
      <c r="BST246" s="504"/>
      <c r="BSU246" s="504"/>
      <c r="BSV246" s="504"/>
      <c r="BSW246" s="504"/>
      <c r="BSX246" s="504"/>
      <c r="BSY246" s="504"/>
      <c r="BSZ246" s="504"/>
      <c r="BTA246" s="504"/>
      <c r="BTB246" s="504"/>
      <c r="BTC246" s="504"/>
      <c r="BTD246" s="504"/>
      <c r="BTE246" s="504"/>
      <c r="BTF246" s="504"/>
      <c r="BTG246" s="504"/>
      <c r="BTH246" s="504"/>
      <c r="BTI246" s="504"/>
    </row>
    <row r="247" spans="1:1881" s="503" customFormat="1" ht="45" x14ac:dyDescent="0.25">
      <c r="A247" s="473">
        <v>949</v>
      </c>
      <c r="B247" s="469"/>
      <c r="C247" s="470"/>
      <c r="D247" s="897" t="s">
        <v>1085</v>
      </c>
      <c r="E247" s="472" t="s">
        <v>956</v>
      </c>
      <c r="F247" s="947"/>
      <c r="G247" s="583" t="str">
        <f t="shared" si="3"/>
        <v>Please do not leave blank</v>
      </c>
      <c r="H247" s="505"/>
      <c r="I247"/>
      <c r="J247"/>
      <c r="K247"/>
      <c r="L247"/>
      <c r="M247"/>
      <c r="N247"/>
      <c r="O247"/>
      <c r="P247" s="504"/>
      <c r="Q247" s="504"/>
      <c r="R247" s="504"/>
      <c r="S247" s="504"/>
      <c r="T247" s="504"/>
      <c r="U247" s="504"/>
      <c r="V247" s="504"/>
      <c r="W247" s="504"/>
      <c r="X247" s="504"/>
      <c r="Y247" s="504"/>
      <c r="Z247" s="504"/>
      <c r="AA247" s="504"/>
      <c r="AB247" s="504"/>
      <c r="AC247" s="504"/>
      <c r="AD247" s="504"/>
      <c r="AE247" s="504"/>
      <c r="AF247" s="504"/>
      <c r="AG247" s="504"/>
      <c r="AH247" s="504"/>
      <c r="AI247" s="504"/>
      <c r="AJ247" s="504"/>
      <c r="AK247" s="504"/>
      <c r="AL247" s="504"/>
      <c r="AM247" s="504"/>
      <c r="AN247" s="504"/>
      <c r="AO247" s="504"/>
      <c r="AP247" s="504"/>
      <c r="AQ247" s="504"/>
      <c r="AR247" s="504"/>
      <c r="AS247" s="504"/>
      <c r="AT247" s="504"/>
      <c r="AU247" s="504"/>
      <c r="AV247" s="504"/>
      <c r="AW247" s="504"/>
      <c r="AX247" s="504"/>
      <c r="AY247" s="504"/>
      <c r="AZ247" s="504"/>
      <c r="BA247" s="504"/>
      <c r="BB247" s="504"/>
      <c r="BC247" s="504"/>
      <c r="BD247" s="504"/>
      <c r="BE247" s="504"/>
      <c r="BF247" s="504"/>
      <c r="BG247" s="504"/>
      <c r="BH247" s="504"/>
      <c r="BI247" s="504"/>
      <c r="BJ247" s="504"/>
      <c r="BK247" s="504"/>
      <c r="BL247" s="504"/>
      <c r="BM247" s="504"/>
      <c r="BN247" s="504"/>
      <c r="BO247" s="504"/>
      <c r="BP247" s="504"/>
      <c r="BQ247" s="504"/>
      <c r="BR247" s="504"/>
      <c r="BS247" s="504"/>
      <c r="BT247" s="504"/>
      <c r="BU247" s="504"/>
      <c r="BV247" s="504"/>
      <c r="BW247" s="504"/>
      <c r="BX247" s="504"/>
      <c r="BY247" s="504"/>
      <c r="BZ247" s="504"/>
      <c r="CA247" s="504"/>
      <c r="CB247" s="504"/>
      <c r="CC247" s="504"/>
      <c r="CD247" s="504"/>
      <c r="CE247" s="504"/>
      <c r="CF247" s="504"/>
      <c r="CG247" s="504"/>
      <c r="CH247" s="504"/>
      <c r="CI247" s="504"/>
      <c r="CJ247" s="504"/>
      <c r="CK247" s="504"/>
      <c r="CL247" s="504"/>
      <c r="CM247" s="504"/>
      <c r="CN247" s="504"/>
      <c r="CO247" s="504"/>
      <c r="CP247" s="504"/>
      <c r="CQ247" s="504"/>
      <c r="CR247" s="504"/>
      <c r="CS247" s="504"/>
      <c r="CT247" s="504"/>
      <c r="CU247" s="504"/>
      <c r="CV247" s="504"/>
      <c r="CW247" s="504"/>
      <c r="CX247" s="504"/>
      <c r="CY247" s="504"/>
      <c r="CZ247" s="504"/>
      <c r="DA247" s="504"/>
      <c r="DB247" s="504"/>
      <c r="DC247" s="504"/>
      <c r="DD247" s="504"/>
      <c r="DE247" s="504"/>
      <c r="DF247" s="504"/>
      <c r="DG247" s="504"/>
      <c r="DH247" s="504"/>
      <c r="DI247" s="504"/>
      <c r="DJ247" s="504"/>
      <c r="DK247" s="504"/>
      <c r="DL247" s="504"/>
      <c r="DM247" s="504"/>
      <c r="DN247" s="504"/>
      <c r="DO247" s="504"/>
      <c r="DP247" s="504"/>
      <c r="DQ247" s="504"/>
      <c r="DR247" s="504"/>
      <c r="DS247" s="504"/>
      <c r="DT247" s="504"/>
      <c r="DU247" s="504"/>
      <c r="DV247" s="504"/>
      <c r="DW247" s="504"/>
      <c r="DX247" s="504"/>
      <c r="DY247" s="504"/>
      <c r="DZ247" s="504"/>
      <c r="EA247" s="504"/>
      <c r="EB247" s="504"/>
      <c r="EC247" s="504"/>
      <c r="ED247" s="504"/>
      <c r="EE247" s="504"/>
      <c r="EF247" s="504"/>
      <c r="EG247" s="504"/>
      <c r="EH247" s="504"/>
      <c r="EI247" s="504"/>
      <c r="EJ247" s="504"/>
      <c r="EK247" s="504"/>
      <c r="EL247" s="504"/>
      <c r="EM247" s="504"/>
      <c r="EN247" s="504"/>
      <c r="EO247" s="504"/>
      <c r="EP247" s="504"/>
      <c r="EQ247" s="504"/>
      <c r="ER247" s="504"/>
      <c r="ES247" s="504"/>
      <c r="ET247" s="504"/>
      <c r="EU247" s="504"/>
      <c r="EV247" s="504"/>
      <c r="EW247" s="504"/>
      <c r="EX247" s="504"/>
      <c r="EY247" s="504"/>
      <c r="EZ247" s="504"/>
      <c r="FA247" s="504"/>
      <c r="FB247" s="504"/>
      <c r="FC247" s="504"/>
      <c r="FD247" s="504"/>
      <c r="FE247" s="504"/>
      <c r="FF247" s="504"/>
      <c r="FG247" s="504"/>
      <c r="FH247" s="504"/>
      <c r="FI247" s="504"/>
      <c r="FJ247" s="504"/>
      <c r="FK247" s="504"/>
      <c r="FL247" s="504"/>
      <c r="FM247" s="504"/>
      <c r="FN247" s="504"/>
      <c r="FO247" s="504"/>
      <c r="FP247" s="504"/>
      <c r="FQ247" s="504"/>
      <c r="FR247" s="504"/>
      <c r="FS247" s="504"/>
      <c r="FT247" s="504"/>
      <c r="FU247" s="504"/>
      <c r="FV247" s="504"/>
      <c r="FW247" s="504"/>
      <c r="FX247" s="504"/>
      <c r="FY247" s="504"/>
      <c r="FZ247" s="504"/>
      <c r="GA247" s="504"/>
      <c r="GB247" s="504"/>
      <c r="GC247" s="504"/>
      <c r="GD247" s="504"/>
      <c r="GE247" s="504"/>
      <c r="GF247" s="504"/>
      <c r="GG247" s="504"/>
      <c r="GH247" s="504"/>
      <c r="GI247" s="504"/>
      <c r="GJ247" s="504"/>
      <c r="GK247" s="504"/>
      <c r="GL247" s="504"/>
      <c r="GM247" s="504"/>
      <c r="GN247" s="504"/>
      <c r="GO247" s="504"/>
      <c r="GP247" s="504"/>
      <c r="GQ247" s="504"/>
      <c r="GR247" s="504"/>
      <c r="GS247" s="504"/>
      <c r="GT247" s="504"/>
      <c r="GU247" s="504"/>
      <c r="GV247" s="504"/>
      <c r="GW247" s="504"/>
      <c r="GX247" s="504"/>
      <c r="GY247" s="504"/>
      <c r="GZ247" s="504"/>
      <c r="HA247" s="504"/>
      <c r="HB247" s="504"/>
      <c r="HC247" s="504"/>
      <c r="HD247" s="504"/>
      <c r="HE247" s="504"/>
      <c r="HF247" s="504"/>
      <c r="HG247" s="504"/>
      <c r="HH247" s="504"/>
      <c r="HI247" s="504"/>
      <c r="HJ247" s="504"/>
      <c r="HK247" s="504"/>
      <c r="HL247" s="504"/>
      <c r="HM247" s="504"/>
      <c r="HN247" s="504"/>
      <c r="HO247" s="504"/>
      <c r="HP247" s="504"/>
      <c r="HQ247" s="504"/>
      <c r="HR247" s="504"/>
      <c r="HS247" s="504"/>
      <c r="HT247" s="504"/>
      <c r="HU247" s="504"/>
      <c r="HV247" s="504"/>
      <c r="HW247" s="504"/>
      <c r="HX247" s="504"/>
      <c r="HY247" s="504"/>
      <c r="HZ247" s="504"/>
      <c r="IA247" s="504"/>
      <c r="IB247" s="504"/>
      <c r="IC247" s="504"/>
      <c r="ID247" s="504"/>
      <c r="IE247" s="504"/>
      <c r="IF247" s="504"/>
      <c r="IG247" s="504"/>
      <c r="IH247" s="504"/>
      <c r="II247" s="504"/>
      <c r="IJ247" s="504"/>
      <c r="IK247" s="504"/>
      <c r="IL247" s="504"/>
      <c r="IM247" s="504"/>
      <c r="IN247" s="504"/>
      <c r="IO247" s="504"/>
      <c r="IP247" s="504"/>
      <c r="IQ247" s="504"/>
      <c r="IR247" s="504"/>
      <c r="IS247" s="504"/>
      <c r="IT247" s="504"/>
      <c r="IU247" s="504"/>
      <c r="IV247" s="504"/>
      <c r="IW247" s="504"/>
      <c r="IX247" s="504"/>
      <c r="IY247" s="504"/>
      <c r="IZ247" s="504"/>
      <c r="JA247" s="504"/>
      <c r="JB247" s="504"/>
      <c r="JC247" s="504"/>
      <c r="JD247" s="504"/>
      <c r="JE247" s="504"/>
      <c r="JF247" s="504"/>
      <c r="JG247" s="504"/>
      <c r="JH247" s="504"/>
      <c r="JI247" s="504"/>
      <c r="JJ247" s="504"/>
      <c r="JK247" s="504"/>
      <c r="JL247" s="504"/>
      <c r="JM247" s="504"/>
      <c r="JN247" s="504"/>
      <c r="JO247" s="504"/>
      <c r="JP247" s="504"/>
      <c r="JQ247" s="504"/>
      <c r="JR247" s="504"/>
      <c r="JS247" s="504"/>
      <c r="JT247" s="504"/>
      <c r="JU247" s="504"/>
      <c r="JV247" s="504"/>
      <c r="JW247" s="504"/>
      <c r="JX247" s="504"/>
      <c r="JY247" s="504"/>
      <c r="JZ247" s="504"/>
      <c r="KA247" s="504"/>
      <c r="KB247" s="504"/>
      <c r="KC247" s="504"/>
      <c r="KD247" s="504"/>
      <c r="KE247" s="504"/>
      <c r="KF247" s="504"/>
      <c r="KG247" s="504"/>
      <c r="KH247" s="504"/>
      <c r="KI247" s="504"/>
      <c r="KJ247" s="504"/>
      <c r="KK247" s="504"/>
      <c r="KL247" s="504"/>
      <c r="KM247" s="504"/>
      <c r="KN247" s="504"/>
      <c r="KO247" s="504"/>
      <c r="KP247" s="504"/>
      <c r="KQ247" s="504"/>
      <c r="KR247" s="504"/>
      <c r="KS247" s="504"/>
      <c r="KT247" s="504"/>
      <c r="KU247" s="504"/>
      <c r="KV247" s="504"/>
      <c r="KW247" s="504"/>
      <c r="KX247" s="504"/>
      <c r="KY247" s="504"/>
      <c r="KZ247" s="504"/>
      <c r="LA247" s="504"/>
      <c r="LB247" s="504"/>
      <c r="LC247" s="504"/>
      <c r="LD247" s="504"/>
      <c r="LE247" s="504"/>
      <c r="LF247" s="504"/>
      <c r="LG247" s="504"/>
      <c r="LH247" s="504"/>
      <c r="LI247" s="504"/>
      <c r="LJ247" s="504"/>
      <c r="LK247" s="504"/>
      <c r="LL247" s="504"/>
      <c r="LM247" s="504"/>
      <c r="LN247" s="504"/>
      <c r="LO247" s="504"/>
      <c r="LP247" s="504"/>
      <c r="LQ247" s="504"/>
      <c r="LR247" s="504"/>
      <c r="LS247" s="504"/>
      <c r="LT247" s="504"/>
      <c r="LU247" s="504"/>
      <c r="LV247" s="504"/>
      <c r="LW247" s="504"/>
      <c r="LX247" s="504"/>
      <c r="LY247" s="504"/>
      <c r="LZ247" s="504"/>
      <c r="MA247" s="504"/>
      <c r="MB247" s="504"/>
      <c r="MC247" s="504"/>
      <c r="MD247" s="504"/>
      <c r="ME247" s="504"/>
      <c r="MF247" s="504"/>
      <c r="MG247" s="504"/>
      <c r="MH247" s="504"/>
      <c r="MI247" s="504"/>
      <c r="MJ247" s="504"/>
      <c r="MK247" s="504"/>
      <c r="ML247" s="504"/>
      <c r="MM247" s="504"/>
      <c r="MN247" s="504"/>
      <c r="MO247" s="504"/>
      <c r="MP247" s="504"/>
      <c r="MQ247" s="504"/>
      <c r="MR247" s="504"/>
      <c r="MS247" s="504"/>
      <c r="MT247" s="504"/>
      <c r="MU247" s="504"/>
      <c r="MV247" s="504"/>
      <c r="MW247" s="504"/>
      <c r="MX247" s="504"/>
      <c r="MY247" s="504"/>
      <c r="MZ247" s="504"/>
      <c r="NA247" s="504"/>
      <c r="NB247" s="504"/>
      <c r="NC247" s="504"/>
      <c r="ND247" s="504"/>
      <c r="NE247" s="504"/>
      <c r="NF247" s="504"/>
      <c r="NG247" s="504"/>
      <c r="NH247" s="504"/>
      <c r="NI247" s="504"/>
      <c r="NJ247" s="504"/>
      <c r="NK247" s="504"/>
      <c r="NL247" s="504"/>
      <c r="NM247" s="504"/>
      <c r="NN247" s="504"/>
      <c r="NO247" s="504"/>
      <c r="NP247" s="504"/>
      <c r="NQ247" s="504"/>
      <c r="NR247" s="504"/>
      <c r="NS247" s="504"/>
      <c r="NT247" s="504"/>
      <c r="NU247" s="504"/>
      <c r="NV247" s="504"/>
      <c r="NW247" s="504"/>
      <c r="NX247" s="504"/>
      <c r="NY247" s="504"/>
      <c r="NZ247" s="504"/>
      <c r="OA247" s="504"/>
      <c r="OB247" s="504"/>
      <c r="OC247" s="504"/>
      <c r="OD247" s="504"/>
      <c r="OE247" s="504"/>
      <c r="OF247" s="504"/>
      <c r="OG247" s="504"/>
      <c r="OH247" s="504"/>
      <c r="OI247" s="504"/>
      <c r="OJ247" s="504"/>
      <c r="OK247" s="504"/>
      <c r="OL247" s="504"/>
      <c r="OM247" s="504"/>
      <c r="ON247" s="504"/>
      <c r="OO247" s="504"/>
      <c r="OP247" s="504"/>
      <c r="OQ247" s="504"/>
      <c r="OR247" s="504"/>
      <c r="OS247" s="504"/>
      <c r="OT247" s="504"/>
      <c r="OU247" s="504"/>
      <c r="OV247" s="504"/>
      <c r="OW247" s="504"/>
      <c r="OX247" s="504"/>
      <c r="OY247" s="504"/>
      <c r="OZ247" s="504"/>
      <c r="PA247" s="504"/>
      <c r="PB247" s="504"/>
      <c r="PC247" s="504"/>
      <c r="PD247" s="504"/>
      <c r="PE247" s="504"/>
      <c r="PF247" s="504"/>
      <c r="PG247" s="504"/>
      <c r="PH247" s="504"/>
      <c r="PI247" s="504"/>
      <c r="PJ247" s="504"/>
      <c r="PK247" s="504"/>
      <c r="PL247" s="504"/>
      <c r="PM247" s="504"/>
      <c r="PN247" s="504"/>
      <c r="PO247" s="504"/>
      <c r="PP247" s="504"/>
      <c r="PQ247" s="504"/>
      <c r="PR247" s="504"/>
      <c r="PS247" s="504"/>
      <c r="PT247" s="504"/>
      <c r="PU247" s="504"/>
      <c r="PV247" s="504"/>
      <c r="PW247" s="504"/>
      <c r="PX247" s="504"/>
      <c r="PY247" s="504"/>
      <c r="PZ247" s="504"/>
      <c r="QA247" s="504"/>
      <c r="QB247" s="504"/>
      <c r="QC247" s="504"/>
      <c r="QD247" s="504"/>
      <c r="QE247" s="504"/>
      <c r="QF247" s="504"/>
      <c r="QG247" s="504"/>
      <c r="QH247" s="504"/>
      <c r="QI247" s="504"/>
      <c r="QJ247" s="504"/>
      <c r="QK247" s="504"/>
      <c r="QL247" s="504"/>
      <c r="QM247" s="504"/>
      <c r="QN247" s="504"/>
      <c r="QO247" s="504"/>
      <c r="QP247" s="504"/>
      <c r="QQ247" s="504"/>
      <c r="QR247" s="504"/>
      <c r="QS247" s="504"/>
      <c r="QT247" s="504"/>
      <c r="QU247" s="504"/>
      <c r="QV247" s="504"/>
      <c r="QW247" s="504"/>
      <c r="QX247" s="504"/>
      <c r="QY247" s="504"/>
      <c r="QZ247" s="504"/>
      <c r="RA247" s="504"/>
      <c r="RB247" s="504"/>
      <c r="RC247" s="504"/>
      <c r="RD247" s="504"/>
      <c r="RE247" s="504"/>
      <c r="RF247" s="504"/>
      <c r="RG247" s="504"/>
      <c r="RH247" s="504"/>
      <c r="RI247" s="504"/>
      <c r="RJ247" s="504"/>
      <c r="RK247" s="504"/>
      <c r="RL247" s="504"/>
      <c r="RM247" s="504"/>
      <c r="RN247" s="504"/>
      <c r="RO247" s="504"/>
      <c r="RP247" s="504"/>
      <c r="RQ247" s="504"/>
      <c r="RR247" s="504"/>
      <c r="RS247" s="504"/>
      <c r="RT247" s="504"/>
      <c r="RU247" s="504"/>
      <c r="RV247" s="504"/>
      <c r="RW247" s="504"/>
      <c r="RX247" s="504"/>
      <c r="RY247" s="504"/>
      <c r="RZ247" s="504"/>
      <c r="SA247" s="504"/>
      <c r="SB247" s="504"/>
      <c r="SC247" s="504"/>
      <c r="SD247" s="504"/>
      <c r="SE247" s="504"/>
      <c r="SF247" s="504"/>
      <c r="SG247" s="504"/>
      <c r="SH247" s="504"/>
      <c r="SI247" s="504"/>
      <c r="SJ247" s="504"/>
      <c r="SK247" s="504"/>
      <c r="SL247" s="504"/>
      <c r="SM247" s="504"/>
      <c r="SN247" s="504"/>
      <c r="SO247" s="504"/>
      <c r="SP247" s="504"/>
      <c r="SQ247" s="504"/>
      <c r="SR247" s="504"/>
      <c r="SS247" s="504"/>
      <c r="ST247" s="504"/>
      <c r="SU247" s="504"/>
      <c r="SV247" s="504"/>
      <c r="SW247" s="504"/>
      <c r="SX247" s="504"/>
      <c r="SY247" s="504"/>
      <c r="SZ247" s="504"/>
      <c r="TA247" s="504"/>
      <c r="TB247" s="504"/>
      <c r="TC247" s="504"/>
      <c r="TD247" s="504"/>
      <c r="TE247" s="504"/>
      <c r="TF247" s="504"/>
      <c r="TG247" s="504"/>
      <c r="TH247" s="504"/>
      <c r="TI247" s="504"/>
      <c r="TJ247" s="504"/>
      <c r="TK247" s="504"/>
      <c r="TL247" s="504"/>
      <c r="TM247" s="504"/>
      <c r="TN247" s="504"/>
      <c r="TO247" s="504"/>
      <c r="TP247" s="504"/>
      <c r="TQ247" s="504"/>
      <c r="TR247" s="504"/>
      <c r="TS247" s="504"/>
      <c r="TT247" s="504"/>
      <c r="TU247" s="504"/>
      <c r="TV247" s="504"/>
      <c r="TW247" s="504"/>
      <c r="TX247" s="504"/>
      <c r="TY247" s="504"/>
      <c r="TZ247" s="504"/>
      <c r="UA247" s="504"/>
      <c r="UB247" s="504"/>
      <c r="UC247" s="504"/>
      <c r="UD247" s="504"/>
      <c r="UE247" s="504"/>
      <c r="UF247" s="504"/>
      <c r="UG247" s="504"/>
      <c r="UH247" s="504"/>
      <c r="UI247" s="504"/>
      <c r="UJ247" s="504"/>
      <c r="UK247" s="504"/>
      <c r="UL247" s="504"/>
      <c r="UM247" s="504"/>
      <c r="UN247" s="504"/>
      <c r="UO247" s="504"/>
      <c r="UP247" s="504"/>
      <c r="UQ247" s="504"/>
      <c r="UR247" s="504"/>
      <c r="US247" s="504"/>
      <c r="UT247" s="504"/>
      <c r="UU247" s="504"/>
      <c r="UV247" s="504"/>
      <c r="UW247" s="504"/>
      <c r="UX247" s="504"/>
      <c r="UY247" s="504"/>
      <c r="UZ247" s="504"/>
      <c r="VA247" s="504"/>
      <c r="VB247" s="504"/>
      <c r="VC247" s="504"/>
      <c r="VD247" s="504"/>
      <c r="VE247" s="504"/>
      <c r="VF247" s="504"/>
      <c r="VG247" s="504"/>
      <c r="VH247" s="504"/>
      <c r="VI247" s="504"/>
      <c r="VJ247" s="504"/>
      <c r="VK247" s="504"/>
      <c r="VL247" s="504"/>
      <c r="VM247" s="504"/>
      <c r="VN247" s="504"/>
      <c r="VO247" s="504"/>
      <c r="VP247" s="504"/>
      <c r="VQ247" s="504"/>
      <c r="VR247" s="504"/>
      <c r="VS247" s="504"/>
      <c r="VT247" s="504"/>
      <c r="VU247" s="504"/>
      <c r="VV247" s="504"/>
      <c r="VW247" s="504"/>
      <c r="VX247" s="504"/>
      <c r="VY247" s="504"/>
      <c r="VZ247" s="504"/>
      <c r="WA247" s="504"/>
      <c r="WB247" s="504"/>
      <c r="WC247" s="504"/>
      <c r="WD247" s="504"/>
      <c r="WE247" s="504"/>
      <c r="WF247" s="504"/>
      <c r="WG247" s="504"/>
      <c r="WH247" s="504"/>
      <c r="WI247" s="504"/>
      <c r="WJ247" s="504"/>
      <c r="WK247" s="504"/>
      <c r="WL247" s="504"/>
      <c r="WM247" s="504"/>
      <c r="WN247" s="504"/>
      <c r="WO247" s="504"/>
      <c r="WP247" s="504"/>
      <c r="WQ247" s="504"/>
      <c r="WR247" s="504"/>
      <c r="WS247" s="504"/>
      <c r="WT247" s="504"/>
      <c r="WU247" s="504"/>
      <c r="WV247" s="504"/>
      <c r="WW247" s="504"/>
      <c r="WX247" s="504"/>
      <c r="WY247" s="504"/>
      <c r="WZ247" s="504"/>
      <c r="XA247" s="504"/>
      <c r="XB247" s="504"/>
      <c r="XC247" s="504"/>
      <c r="XD247" s="504"/>
      <c r="XE247" s="504"/>
      <c r="XF247" s="504"/>
      <c r="XG247" s="504"/>
      <c r="XH247" s="504"/>
      <c r="XI247" s="504"/>
      <c r="XJ247" s="504"/>
      <c r="XK247" s="504"/>
      <c r="XL247" s="504"/>
      <c r="XM247" s="504"/>
      <c r="XN247" s="504"/>
      <c r="XO247" s="504"/>
      <c r="XP247" s="504"/>
      <c r="XQ247" s="504"/>
      <c r="XR247" s="504"/>
      <c r="XS247" s="504"/>
      <c r="XT247" s="504"/>
      <c r="XU247" s="504"/>
      <c r="XV247" s="504"/>
      <c r="XW247" s="504"/>
      <c r="XX247" s="504"/>
      <c r="XY247" s="504"/>
      <c r="XZ247" s="504"/>
      <c r="YA247" s="504"/>
      <c r="YB247" s="504"/>
      <c r="YC247" s="504"/>
      <c r="YD247" s="504"/>
      <c r="YE247" s="504"/>
      <c r="YF247" s="504"/>
      <c r="YG247" s="504"/>
      <c r="YH247" s="504"/>
      <c r="YI247" s="504"/>
      <c r="YJ247" s="504"/>
      <c r="YK247" s="504"/>
      <c r="YL247" s="504"/>
      <c r="YM247" s="504"/>
      <c r="YN247" s="504"/>
      <c r="YO247" s="504"/>
      <c r="YP247" s="504"/>
      <c r="YQ247" s="504"/>
      <c r="YR247" s="504"/>
      <c r="YS247" s="504"/>
      <c r="YT247" s="504"/>
      <c r="YU247" s="504"/>
      <c r="YV247" s="504"/>
      <c r="YW247" s="504"/>
      <c r="YX247" s="504"/>
      <c r="YY247" s="504"/>
      <c r="YZ247" s="504"/>
      <c r="ZA247" s="504"/>
      <c r="ZB247" s="504"/>
      <c r="ZC247" s="504"/>
      <c r="ZD247" s="504"/>
      <c r="ZE247" s="504"/>
      <c r="ZF247" s="504"/>
      <c r="ZG247" s="504"/>
      <c r="ZH247" s="504"/>
      <c r="ZI247" s="504"/>
      <c r="ZJ247" s="504"/>
      <c r="ZK247" s="504"/>
      <c r="ZL247" s="504"/>
      <c r="ZM247" s="504"/>
      <c r="ZN247" s="504"/>
      <c r="ZO247" s="504"/>
      <c r="ZP247" s="504"/>
      <c r="ZQ247" s="504"/>
      <c r="ZR247" s="504"/>
      <c r="ZS247" s="504"/>
      <c r="ZT247" s="504"/>
      <c r="ZU247" s="504"/>
      <c r="ZV247" s="504"/>
      <c r="ZW247" s="504"/>
      <c r="ZX247" s="504"/>
      <c r="ZY247" s="504"/>
      <c r="ZZ247" s="504"/>
      <c r="AAA247" s="504"/>
      <c r="AAB247" s="504"/>
      <c r="AAC247" s="504"/>
      <c r="AAD247" s="504"/>
      <c r="AAE247" s="504"/>
      <c r="AAF247" s="504"/>
      <c r="AAG247" s="504"/>
      <c r="AAH247" s="504"/>
      <c r="AAI247" s="504"/>
      <c r="AAJ247" s="504"/>
      <c r="AAK247" s="504"/>
      <c r="AAL247" s="504"/>
      <c r="AAM247" s="504"/>
      <c r="AAN247" s="504"/>
      <c r="AAO247" s="504"/>
      <c r="AAP247" s="504"/>
      <c r="AAQ247" s="504"/>
      <c r="AAR247" s="504"/>
      <c r="AAS247" s="504"/>
      <c r="AAT247" s="504"/>
      <c r="AAU247" s="504"/>
      <c r="AAV247" s="504"/>
      <c r="AAW247" s="504"/>
      <c r="AAX247" s="504"/>
      <c r="AAY247" s="504"/>
      <c r="AAZ247" s="504"/>
      <c r="ABA247" s="504"/>
      <c r="ABB247" s="504"/>
      <c r="ABC247" s="504"/>
      <c r="ABD247" s="504"/>
      <c r="ABE247" s="504"/>
      <c r="ABF247" s="504"/>
      <c r="ABG247" s="504"/>
      <c r="ABH247" s="504"/>
      <c r="ABI247" s="504"/>
      <c r="ABJ247" s="504"/>
      <c r="ABK247" s="504"/>
      <c r="ABL247" s="504"/>
      <c r="ABM247" s="504"/>
      <c r="ABN247" s="504"/>
      <c r="ABO247" s="504"/>
      <c r="ABP247" s="504"/>
      <c r="ABQ247" s="504"/>
      <c r="ABR247" s="504"/>
      <c r="ABS247" s="504"/>
      <c r="ABT247" s="504"/>
      <c r="ABU247" s="504"/>
      <c r="ABV247" s="504"/>
      <c r="ABW247" s="504"/>
      <c r="ABX247" s="504"/>
      <c r="ABY247" s="504"/>
      <c r="ABZ247" s="504"/>
      <c r="ACA247" s="504"/>
      <c r="ACB247" s="504"/>
      <c r="ACC247" s="504"/>
      <c r="ACD247" s="504"/>
      <c r="ACE247" s="504"/>
      <c r="ACF247" s="504"/>
      <c r="ACG247" s="504"/>
      <c r="ACH247" s="504"/>
      <c r="ACI247" s="504"/>
      <c r="ACJ247" s="504"/>
      <c r="ACK247" s="504"/>
      <c r="ACL247" s="504"/>
      <c r="ACM247" s="504"/>
      <c r="ACN247" s="504"/>
      <c r="ACO247" s="504"/>
      <c r="ACP247" s="504"/>
      <c r="ACQ247" s="504"/>
      <c r="ACR247" s="504"/>
      <c r="ACS247" s="504"/>
      <c r="ACT247" s="504"/>
      <c r="ACU247" s="504"/>
      <c r="ACV247" s="504"/>
      <c r="ACW247" s="504"/>
      <c r="ACX247" s="504"/>
      <c r="ACY247" s="504"/>
      <c r="ACZ247" s="504"/>
      <c r="ADA247" s="504"/>
      <c r="ADB247" s="504"/>
      <c r="ADC247" s="504"/>
      <c r="ADD247" s="504"/>
      <c r="ADE247" s="504"/>
      <c r="ADF247" s="504"/>
      <c r="ADG247" s="504"/>
      <c r="ADH247" s="504"/>
      <c r="ADI247" s="504"/>
      <c r="ADJ247" s="504"/>
      <c r="ADK247" s="504"/>
      <c r="ADL247" s="504"/>
      <c r="ADM247" s="504"/>
      <c r="ADN247" s="504"/>
      <c r="ADO247" s="504"/>
      <c r="ADP247" s="504"/>
      <c r="ADQ247" s="504"/>
      <c r="ADR247" s="504"/>
      <c r="ADS247" s="504"/>
      <c r="ADT247" s="504"/>
      <c r="ADU247" s="504"/>
      <c r="ADV247" s="504"/>
      <c r="ADW247" s="504"/>
      <c r="ADX247" s="504"/>
      <c r="ADY247" s="504"/>
      <c r="ADZ247" s="504"/>
      <c r="AEA247" s="504"/>
      <c r="AEB247" s="504"/>
      <c r="AEC247" s="504"/>
      <c r="AED247" s="504"/>
      <c r="AEE247" s="504"/>
      <c r="AEF247" s="504"/>
      <c r="AEG247" s="504"/>
      <c r="AEH247" s="504"/>
      <c r="AEI247" s="504"/>
      <c r="AEJ247" s="504"/>
      <c r="AEK247" s="504"/>
      <c r="AEL247" s="504"/>
      <c r="AEM247" s="504"/>
      <c r="AEN247" s="504"/>
      <c r="AEO247" s="504"/>
      <c r="AEP247" s="504"/>
      <c r="AEQ247" s="504"/>
      <c r="AER247" s="504"/>
      <c r="AES247" s="504"/>
      <c r="AET247" s="504"/>
      <c r="AEU247" s="504"/>
      <c r="AEV247" s="504"/>
      <c r="AEW247" s="504"/>
      <c r="AEX247" s="504"/>
      <c r="AEY247" s="504"/>
      <c r="AEZ247" s="504"/>
      <c r="AFA247" s="504"/>
      <c r="AFB247" s="504"/>
      <c r="AFC247" s="504"/>
      <c r="AFD247" s="504"/>
      <c r="AFE247" s="504"/>
      <c r="AFF247" s="504"/>
      <c r="AFG247" s="504"/>
      <c r="AFH247" s="504"/>
      <c r="AFI247" s="504"/>
      <c r="AFJ247" s="504"/>
      <c r="AFK247" s="504"/>
      <c r="AFL247" s="504"/>
      <c r="AFM247" s="504"/>
      <c r="AFN247" s="504"/>
      <c r="AFO247" s="504"/>
      <c r="AFP247" s="504"/>
      <c r="AFQ247" s="504"/>
      <c r="AFR247" s="504"/>
      <c r="AFS247" s="504"/>
      <c r="AFT247" s="504"/>
      <c r="AFU247" s="504"/>
      <c r="AFV247" s="504"/>
      <c r="AFW247" s="504"/>
      <c r="AFX247" s="504"/>
      <c r="AFY247" s="504"/>
      <c r="AFZ247" s="504"/>
      <c r="AGA247" s="504"/>
      <c r="AGB247" s="504"/>
      <c r="AGC247" s="504"/>
      <c r="AGD247" s="504"/>
      <c r="AGE247" s="504"/>
      <c r="AGF247" s="504"/>
      <c r="AGG247" s="504"/>
      <c r="AGH247" s="504"/>
      <c r="AGI247" s="504"/>
      <c r="AGJ247" s="504"/>
      <c r="AGK247" s="504"/>
      <c r="AGL247" s="504"/>
      <c r="AGM247" s="504"/>
      <c r="AGN247" s="504"/>
      <c r="AGO247" s="504"/>
      <c r="AGP247" s="504"/>
      <c r="AGQ247" s="504"/>
      <c r="AGR247" s="504"/>
      <c r="AGS247" s="504"/>
      <c r="AGT247" s="504"/>
      <c r="AGU247" s="504"/>
      <c r="AGV247" s="504"/>
      <c r="AGW247" s="504"/>
      <c r="AGX247" s="504"/>
      <c r="AGY247" s="504"/>
      <c r="AGZ247" s="504"/>
      <c r="AHA247" s="504"/>
      <c r="AHB247" s="504"/>
      <c r="AHC247" s="504"/>
      <c r="AHD247" s="504"/>
      <c r="AHE247" s="504"/>
      <c r="AHF247" s="504"/>
      <c r="AHG247" s="504"/>
      <c r="AHH247" s="504"/>
      <c r="AHI247" s="504"/>
      <c r="AHJ247" s="504"/>
      <c r="AHK247" s="504"/>
      <c r="AHL247" s="504"/>
      <c r="AHM247" s="504"/>
      <c r="AHN247" s="504"/>
      <c r="AHO247" s="504"/>
      <c r="AHP247" s="504"/>
      <c r="AHQ247" s="504"/>
      <c r="AHR247" s="504"/>
      <c r="AHS247" s="504"/>
      <c r="AHT247" s="504"/>
      <c r="AHU247" s="504"/>
      <c r="AHV247" s="504"/>
      <c r="AHW247" s="504"/>
      <c r="AHX247" s="504"/>
      <c r="AHY247" s="504"/>
      <c r="AHZ247" s="504"/>
      <c r="AIA247" s="504"/>
      <c r="AIB247" s="504"/>
      <c r="AIC247" s="504"/>
      <c r="AID247" s="504"/>
      <c r="AIE247" s="504"/>
      <c r="AIF247" s="504"/>
      <c r="AIG247" s="504"/>
      <c r="AIH247" s="504"/>
      <c r="AII247" s="504"/>
      <c r="AIJ247" s="504"/>
      <c r="AIK247" s="504"/>
      <c r="AIL247" s="504"/>
      <c r="AIM247" s="504"/>
      <c r="AIN247" s="504"/>
      <c r="AIO247" s="504"/>
      <c r="AIP247" s="504"/>
      <c r="AIQ247" s="504"/>
      <c r="AIR247" s="504"/>
      <c r="AIS247" s="504"/>
      <c r="AIT247" s="504"/>
      <c r="AIU247" s="504"/>
      <c r="AIV247" s="504"/>
      <c r="AIW247" s="504"/>
      <c r="AIX247" s="504"/>
      <c r="AIY247" s="504"/>
      <c r="AIZ247" s="504"/>
      <c r="AJA247" s="504"/>
      <c r="AJB247" s="504"/>
      <c r="AJC247" s="504"/>
      <c r="AJD247" s="504"/>
      <c r="AJE247" s="504"/>
      <c r="AJF247" s="504"/>
      <c r="AJG247" s="504"/>
      <c r="AJH247" s="504"/>
      <c r="AJI247" s="504"/>
      <c r="AJJ247" s="504"/>
      <c r="AJK247" s="504"/>
      <c r="AJL247" s="504"/>
      <c r="AJM247" s="504"/>
      <c r="AJN247" s="504"/>
      <c r="AJO247" s="504"/>
      <c r="AJP247" s="504"/>
      <c r="AJQ247" s="504"/>
      <c r="AJR247" s="504"/>
      <c r="AJS247" s="504"/>
      <c r="AJT247" s="504"/>
      <c r="AJU247" s="504"/>
      <c r="AJV247" s="504"/>
      <c r="AJW247" s="504"/>
      <c r="AJX247" s="504"/>
      <c r="AJY247" s="504"/>
      <c r="AJZ247" s="504"/>
      <c r="AKA247" s="504"/>
      <c r="AKB247" s="504"/>
      <c r="AKC247" s="504"/>
      <c r="AKD247" s="504"/>
      <c r="AKE247" s="504"/>
      <c r="AKF247" s="504"/>
      <c r="AKG247" s="504"/>
      <c r="AKH247" s="504"/>
      <c r="AKI247" s="504"/>
      <c r="AKJ247" s="504"/>
      <c r="AKK247" s="504"/>
      <c r="AKL247" s="504"/>
      <c r="AKM247" s="504"/>
      <c r="AKN247" s="504"/>
      <c r="AKO247" s="504"/>
      <c r="AKP247" s="504"/>
      <c r="AKQ247" s="504"/>
      <c r="AKR247" s="504"/>
      <c r="AKS247" s="504"/>
      <c r="AKT247" s="504"/>
      <c r="AKU247" s="504"/>
      <c r="AKV247" s="504"/>
      <c r="AKW247" s="504"/>
      <c r="AKX247" s="504"/>
      <c r="AKY247" s="504"/>
      <c r="AKZ247" s="504"/>
      <c r="ALA247" s="504"/>
      <c r="ALB247" s="504"/>
      <c r="ALC247" s="504"/>
      <c r="ALD247" s="504"/>
      <c r="ALE247" s="504"/>
      <c r="ALF247" s="504"/>
      <c r="ALG247" s="504"/>
      <c r="ALH247" s="504"/>
      <c r="ALI247" s="504"/>
      <c r="ALJ247" s="504"/>
      <c r="ALK247" s="504"/>
      <c r="ALL247" s="504"/>
      <c r="ALM247" s="504"/>
      <c r="ALN247" s="504"/>
      <c r="ALO247" s="504"/>
      <c r="ALP247" s="504"/>
      <c r="ALQ247" s="504"/>
      <c r="ALR247" s="504"/>
      <c r="ALS247" s="504"/>
      <c r="ALT247" s="504"/>
      <c r="ALU247" s="504"/>
      <c r="ALV247" s="504"/>
      <c r="ALW247" s="504"/>
      <c r="ALX247" s="504"/>
      <c r="ALY247" s="504"/>
      <c r="ALZ247" s="504"/>
      <c r="AMA247" s="504"/>
      <c r="AMB247" s="504"/>
      <c r="AMC247" s="504"/>
      <c r="AMD247" s="504"/>
      <c r="AME247" s="504"/>
      <c r="AMF247" s="504"/>
      <c r="AMG247" s="504"/>
      <c r="AMH247" s="504"/>
      <c r="AMI247" s="504"/>
      <c r="AMJ247" s="504"/>
      <c r="AMK247" s="504"/>
      <c r="AML247" s="504"/>
      <c r="AMM247" s="504"/>
      <c r="AMN247" s="504"/>
      <c r="AMO247" s="504"/>
      <c r="AMP247" s="504"/>
      <c r="AMQ247" s="504"/>
      <c r="AMR247" s="504"/>
      <c r="AMS247" s="504"/>
      <c r="AMT247" s="504"/>
      <c r="AMU247" s="504"/>
      <c r="AMV247" s="504"/>
      <c r="AMW247" s="504"/>
      <c r="AMX247" s="504"/>
      <c r="AMY247" s="504"/>
      <c r="AMZ247" s="504"/>
      <c r="ANA247" s="504"/>
      <c r="ANB247" s="504"/>
      <c r="ANC247" s="504"/>
      <c r="AND247" s="504"/>
      <c r="ANE247" s="504"/>
      <c r="ANF247" s="504"/>
      <c r="ANG247" s="504"/>
      <c r="ANH247" s="504"/>
      <c r="ANI247" s="504"/>
      <c r="ANJ247" s="504"/>
      <c r="ANK247" s="504"/>
      <c r="ANL247" s="504"/>
      <c r="ANM247" s="504"/>
      <c r="ANN247" s="504"/>
      <c r="ANO247" s="504"/>
      <c r="ANP247" s="504"/>
      <c r="ANQ247" s="504"/>
      <c r="ANR247" s="504"/>
      <c r="ANS247" s="504"/>
      <c r="ANT247" s="504"/>
      <c r="ANU247" s="504"/>
      <c r="ANV247" s="504"/>
      <c r="ANW247" s="504"/>
      <c r="ANX247" s="504"/>
      <c r="ANY247" s="504"/>
      <c r="ANZ247" s="504"/>
      <c r="AOA247" s="504"/>
      <c r="AOB247" s="504"/>
      <c r="AOC247" s="504"/>
      <c r="AOD247" s="504"/>
      <c r="AOE247" s="504"/>
      <c r="AOF247" s="504"/>
      <c r="AOG247" s="504"/>
      <c r="AOH247" s="504"/>
      <c r="AOI247" s="504"/>
      <c r="AOJ247" s="504"/>
      <c r="AOK247" s="504"/>
      <c r="AOL247" s="504"/>
      <c r="AOM247" s="504"/>
      <c r="AON247" s="504"/>
      <c r="AOO247" s="504"/>
      <c r="AOP247" s="504"/>
      <c r="AOQ247" s="504"/>
      <c r="AOR247" s="504"/>
      <c r="AOS247" s="504"/>
      <c r="AOT247" s="504"/>
      <c r="AOU247" s="504"/>
      <c r="AOV247" s="504"/>
      <c r="AOW247" s="504"/>
      <c r="AOX247" s="504"/>
      <c r="AOY247" s="504"/>
      <c r="AOZ247" s="504"/>
      <c r="APA247" s="504"/>
      <c r="APB247" s="504"/>
      <c r="APC247" s="504"/>
      <c r="APD247" s="504"/>
      <c r="APE247" s="504"/>
      <c r="APF247" s="504"/>
      <c r="APG247" s="504"/>
      <c r="APH247" s="504"/>
      <c r="API247" s="504"/>
      <c r="APJ247" s="504"/>
      <c r="APK247" s="504"/>
      <c r="APL247" s="504"/>
      <c r="APM247" s="504"/>
      <c r="APN247" s="504"/>
      <c r="APO247" s="504"/>
      <c r="APP247" s="504"/>
      <c r="APQ247" s="504"/>
      <c r="APR247" s="504"/>
      <c r="APS247" s="504"/>
      <c r="APT247" s="504"/>
      <c r="APU247" s="504"/>
      <c r="APV247" s="504"/>
      <c r="APW247" s="504"/>
      <c r="APX247" s="504"/>
      <c r="APY247" s="504"/>
      <c r="APZ247" s="504"/>
      <c r="AQA247" s="504"/>
      <c r="AQB247" s="504"/>
      <c r="AQC247" s="504"/>
      <c r="AQD247" s="504"/>
      <c r="AQE247" s="504"/>
      <c r="AQF247" s="504"/>
      <c r="AQG247" s="504"/>
      <c r="AQH247" s="504"/>
      <c r="AQI247" s="504"/>
      <c r="AQJ247" s="504"/>
      <c r="AQK247" s="504"/>
      <c r="AQL247" s="504"/>
      <c r="AQM247" s="504"/>
      <c r="AQN247" s="504"/>
      <c r="AQO247" s="504"/>
      <c r="AQP247" s="504"/>
      <c r="AQQ247" s="504"/>
      <c r="AQR247" s="504"/>
      <c r="AQS247" s="504"/>
      <c r="AQT247" s="504"/>
      <c r="AQU247" s="504"/>
      <c r="AQV247" s="504"/>
      <c r="AQW247" s="504"/>
      <c r="AQX247" s="504"/>
      <c r="AQY247" s="504"/>
      <c r="AQZ247" s="504"/>
      <c r="ARA247" s="504"/>
      <c r="ARB247" s="504"/>
      <c r="ARC247" s="504"/>
      <c r="ARD247" s="504"/>
      <c r="ARE247" s="504"/>
      <c r="ARF247" s="504"/>
      <c r="ARG247" s="504"/>
      <c r="ARH247" s="504"/>
      <c r="ARI247" s="504"/>
      <c r="ARJ247" s="504"/>
      <c r="ARK247" s="504"/>
      <c r="ARL247" s="504"/>
      <c r="ARM247" s="504"/>
      <c r="ARN247" s="504"/>
      <c r="ARO247" s="504"/>
      <c r="ARP247" s="504"/>
      <c r="ARQ247" s="504"/>
      <c r="ARR247" s="504"/>
      <c r="ARS247" s="504"/>
      <c r="ART247" s="504"/>
      <c r="ARU247" s="504"/>
      <c r="ARV247" s="504"/>
      <c r="ARW247" s="504"/>
      <c r="ARX247" s="504"/>
      <c r="ARY247" s="504"/>
      <c r="ARZ247" s="504"/>
      <c r="ASA247" s="504"/>
      <c r="ASB247" s="504"/>
      <c r="ASC247" s="504"/>
      <c r="ASD247" s="504"/>
      <c r="ASE247" s="504"/>
      <c r="ASF247" s="504"/>
      <c r="ASG247" s="504"/>
      <c r="ASH247" s="504"/>
      <c r="ASI247" s="504"/>
      <c r="ASJ247" s="504"/>
      <c r="ASK247" s="504"/>
      <c r="ASL247" s="504"/>
      <c r="ASM247" s="504"/>
      <c r="ASN247" s="504"/>
      <c r="ASO247" s="504"/>
      <c r="ASP247" s="504"/>
      <c r="ASQ247" s="504"/>
      <c r="ASR247" s="504"/>
      <c r="ASS247" s="504"/>
      <c r="AST247" s="504"/>
      <c r="ASU247" s="504"/>
      <c r="ASV247" s="504"/>
      <c r="ASW247" s="504"/>
      <c r="ASX247" s="504"/>
      <c r="ASY247" s="504"/>
      <c r="ASZ247" s="504"/>
      <c r="ATA247" s="504"/>
      <c r="ATB247" s="504"/>
      <c r="ATC247" s="504"/>
      <c r="ATD247" s="504"/>
      <c r="ATE247" s="504"/>
      <c r="ATF247" s="504"/>
      <c r="ATG247" s="504"/>
      <c r="ATH247" s="504"/>
      <c r="ATI247" s="504"/>
      <c r="ATJ247" s="504"/>
      <c r="ATK247" s="504"/>
      <c r="ATL247" s="504"/>
      <c r="ATM247" s="504"/>
      <c r="ATN247" s="504"/>
      <c r="ATO247" s="504"/>
      <c r="ATP247" s="504"/>
      <c r="ATQ247" s="504"/>
      <c r="ATR247" s="504"/>
      <c r="ATS247" s="504"/>
      <c r="ATT247" s="504"/>
      <c r="ATU247" s="504"/>
      <c r="ATV247" s="504"/>
      <c r="ATW247" s="504"/>
      <c r="ATX247" s="504"/>
      <c r="ATY247" s="504"/>
      <c r="ATZ247" s="504"/>
      <c r="AUA247" s="504"/>
      <c r="AUB247" s="504"/>
      <c r="AUC247" s="504"/>
      <c r="AUD247" s="504"/>
      <c r="AUE247" s="504"/>
      <c r="AUF247" s="504"/>
      <c r="AUG247" s="504"/>
      <c r="AUH247" s="504"/>
      <c r="AUI247" s="504"/>
      <c r="AUJ247" s="504"/>
      <c r="AUK247" s="504"/>
      <c r="AUL247" s="504"/>
      <c r="AUM247" s="504"/>
      <c r="AUN247" s="504"/>
      <c r="AUO247" s="504"/>
      <c r="AUP247" s="504"/>
      <c r="AUQ247" s="504"/>
      <c r="AUR247" s="504"/>
      <c r="AUS247" s="504"/>
      <c r="AUT247" s="504"/>
      <c r="AUU247" s="504"/>
      <c r="AUV247" s="504"/>
      <c r="AUW247" s="504"/>
      <c r="AUX247" s="504"/>
      <c r="AUY247" s="504"/>
      <c r="AUZ247" s="504"/>
      <c r="AVA247" s="504"/>
      <c r="AVB247" s="504"/>
      <c r="AVC247" s="504"/>
      <c r="AVD247" s="504"/>
      <c r="AVE247" s="504"/>
      <c r="AVF247" s="504"/>
      <c r="AVG247" s="504"/>
      <c r="AVH247" s="504"/>
      <c r="AVI247" s="504"/>
      <c r="AVJ247" s="504"/>
      <c r="AVK247" s="504"/>
      <c r="AVL247" s="504"/>
      <c r="AVM247" s="504"/>
      <c r="AVN247" s="504"/>
      <c r="AVO247" s="504"/>
      <c r="AVP247" s="504"/>
      <c r="AVQ247" s="504"/>
      <c r="AVR247" s="504"/>
      <c r="AVS247" s="504"/>
      <c r="AVT247" s="504"/>
      <c r="AVU247" s="504"/>
      <c r="AVV247" s="504"/>
      <c r="AVW247" s="504"/>
      <c r="AVX247" s="504"/>
      <c r="AVY247" s="504"/>
      <c r="AVZ247" s="504"/>
      <c r="AWA247" s="504"/>
      <c r="AWB247" s="504"/>
      <c r="AWC247" s="504"/>
      <c r="AWD247" s="504"/>
      <c r="AWE247" s="504"/>
      <c r="AWF247" s="504"/>
      <c r="AWG247" s="504"/>
      <c r="AWH247" s="504"/>
      <c r="AWI247" s="504"/>
      <c r="AWJ247" s="504"/>
      <c r="AWK247" s="504"/>
      <c r="AWL247" s="504"/>
      <c r="AWM247" s="504"/>
      <c r="AWN247" s="504"/>
      <c r="AWO247" s="504"/>
      <c r="AWP247" s="504"/>
      <c r="AWQ247" s="504"/>
      <c r="AWR247" s="504"/>
      <c r="AWS247" s="504"/>
      <c r="AWT247" s="504"/>
      <c r="AWU247" s="504"/>
      <c r="AWV247" s="504"/>
      <c r="AWW247" s="504"/>
      <c r="AWX247" s="504"/>
      <c r="AWY247" s="504"/>
      <c r="AWZ247" s="504"/>
      <c r="AXA247" s="504"/>
      <c r="AXB247" s="504"/>
      <c r="AXC247" s="504"/>
      <c r="AXD247" s="504"/>
      <c r="AXE247" s="504"/>
      <c r="AXF247" s="504"/>
      <c r="AXG247" s="504"/>
      <c r="AXH247" s="504"/>
      <c r="AXI247" s="504"/>
      <c r="AXJ247" s="504"/>
      <c r="AXK247" s="504"/>
      <c r="AXL247" s="504"/>
      <c r="AXM247" s="504"/>
      <c r="AXN247" s="504"/>
      <c r="AXO247" s="504"/>
      <c r="AXP247" s="504"/>
      <c r="AXQ247" s="504"/>
      <c r="AXR247" s="504"/>
      <c r="AXS247" s="504"/>
      <c r="AXT247" s="504"/>
      <c r="AXU247" s="504"/>
      <c r="AXV247" s="504"/>
      <c r="AXW247" s="504"/>
      <c r="AXX247" s="504"/>
      <c r="AXY247" s="504"/>
      <c r="AXZ247" s="504"/>
      <c r="AYA247" s="504"/>
      <c r="AYB247" s="504"/>
      <c r="AYC247" s="504"/>
      <c r="AYD247" s="504"/>
      <c r="AYE247" s="504"/>
      <c r="AYF247" s="504"/>
      <c r="AYG247" s="504"/>
      <c r="AYH247" s="504"/>
      <c r="AYI247" s="504"/>
      <c r="AYJ247" s="504"/>
      <c r="AYK247" s="504"/>
      <c r="AYL247" s="504"/>
      <c r="AYM247" s="504"/>
      <c r="AYN247" s="504"/>
      <c r="AYO247" s="504"/>
      <c r="AYP247" s="504"/>
      <c r="AYQ247" s="504"/>
      <c r="AYR247" s="504"/>
      <c r="AYS247" s="504"/>
      <c r="AYT247" s="504"/>
      <c r="AYU247" s="504"/>
      <c r="AYV247" s="504"/>
      <c r="AYW247" s="504"/>
      <c r="AYX247" s="504"/>
      <c r="AYY247" s="504"/>
      <c r="AYZ247" s="504"/>
      <c r="AZA247" s="504"/>
      <c r="AZB247" s="504"/>
      <c r="AZC247" s="504"/>
      <c r="AZD247" s="504"/>
      <c r="AZE247" s="504"/>
      <c r="AZF247" s="504"/>
      <c r="AZG247" s="504"/>
      <c r="AZH247" s="504"/>
      <c r="AZI247" s="504"/>
      <c r="AZJ247" s="504"/>
      <c r="AZK247" s="504"/>
      <c r="AZL247" s="504"/>
      <c r="AZM247" s="504"/>
      <c r="AZN247" s="504"/>
      <c r="AZO247" s="504"/>
      <c r="AZP247" s="504"/>
      <c r="AZQ247" s="504"/>
      <c r="AZR247" s="504"/>
      <c r="AZS247" s="504"/>
      <c r="AZT247" s="504"/>
      <c r="AZU247" s="504"/>
      <c r="AZV247" s="504"/>
      <c r="AZW247" s="504"/>
      <c r="AZX247" s="504"/>
      <c r="AZY247" s="504"/>
      <c r="AZZ247" s="504"/>
      <c r="BAA247" s="504"/>
      <c r="BAB247" s="504"/>
      <c r="BAC247" s="504"/>
      <c r="BAD247" s="504"/>
      <c r="BAE247" s="504"/>
      <c r="BAF247" s="504"/>
      <c r="BAG247" s="504"/>
      <c r="BAH247" s="504"/>
      <c r="BAI247" s="504"/>
      <c r="BAJ247" s="504"/>
      <c r="BAK247" s="504"/>
      <c r="BAL247" s="504"/>
      <c r="BAM247" s="504"/>
      <c r="BAN247" s="504"/>
      <c r="BAO247" s="504"/>
      <c r="BAP247" s="504"/>
      <c r="BAQ247" s="504"/>
      <c r="BAR247" s="504"/>
      <c r="BAS247" s="504"/>
      <c r="BAT247" s="504"/>
      <c r="BAU247" s="504"/>
      <c r="BAV247" s="504"/>
      <c r="BAW247" s="504"/>
      <c r="BAX247" s="504"/>
      <c r="BAY247" s="504"/>
      <c r="BAZ247" s="504"/>
      <c r="BBA247" s="504"/>
      <c r="BBB247" s="504"/>
      <c r="BBC247" s="504"/>
      <c r="BBD247" s="504"/>
      <c r="BBE247" s="504"/>
      <c r="BBF247" s="504"/>
      <c r="BBG247" s="504"/>
      <c r="BBH247" s="504"/>
      <c r="BBI247" s="504"/>
      <c r="BBJ247" s="504"/>
      <c r="BBK247" s="504"/>
      <c r="BBL247" s="504"/>
      <c r="BBM247" s="504"/>
      <c r="BBN247" s="504"/>
      <c r="BBO247" s="504"/>
      <c r="BBP247" s="504"/>
      <c r="BBQ247" s="504"/>
      <c r="BBR247" s="504"/>
      <c r="BBS247" s="504"/>
      <c r="BBT247" s="504"/>
      <c r="BBU247" s="504"/>
      <c r="BBV247" s="504"/>
      <c r="BBW247" s="504"/>
      <c r="BBX247" s="504"/>
      <c r="BBY247" s="504"/>
      <c r="BBZ247" s="504"/>
      <c r="BCA247" s="504"/>
      <c r="BCB247" s="504"/>
      <c r="BCC247" s="504"/>
      <c r="BCD247" s="504"/>
      <c r="BCE247" s="504"/>
      <c r="BCF247" s="504"/>
      <c r="BCG247" s="504"/>
      <c r="BCH247" s="504"/>
      <c r="BCI247" s="504"/>
      <c r="BCJ247" s="504"/>
      <c r="BCK247" s="504"/>
      <c r="BCL247" s="504"/>
      <c r="BCM247" s="504"/>
      <c r="BCN247" s="504"/>
      <c r="BCO247" s="504"/>
      <c r="BCP247" s="504"/>
      <c r="BCQ247" s="504"/>
      <c r="BCR247" s="504"/>
      <c r="BCS247" s="504"/>
      <c r="BCT247" s="504"/>
      <c r="BCU247" s="504"/>
      <c r="BCV247" s="504"/>
      <c r="BCW247" s="504"/>
      <c r="BCX247" s="504"/>
      <c r="BCY247" s="504"/>
      <c r="BCZ247" s="504"/>
      <c r="BDA247" s="504"/>
      <c r="BDB247" s="504"/>
      <c r="BDC247" s="504"/>
      <c r="BDD247" s="504"/>
      <c r="BDE247" s="504"/>
      <c r="BDF247" s="504"/>
      <c r="BDG247" s="504"/>
      <c r="BDH247" s="504"/>
      <c r="BDI247" s="504"/>
      <c r="BDJ247" s="504"/>
      <c r="BDK247" s="504"/>
      <c r="BDL247" s="504"/>
      <c r="BDM247" s="504"/>
      <c r="BDN247" s="504"/>
      <c r="BDO247" s="504"/>
      <c r="BDP247" s="504"/>
      <c r="BDQ247" s="504"/>
      <c r="BDR247" s="504"/>
      <c r="BDS247" s="504"/>
      <c r="BDT247" s="504"/>
      <c r="BDU247" s="504"/>
      <c r="BDV247" s="504"/>
      <c r="BDW247" s="504"/>
      <c r="BDX247" s="504"/>
      <c r="BDY247" s="504"/>
      <c r="BDZ247" s="504"/>
      <c r="BEA247" s="504"/>
      <c r="BEB247" s="504"/>
      <c r="BEC247" s="504"/>
      <c r="BED247" s="504"/>
      <c r="BEE247" s="504"/>
      <c r="BEF247" s="504"/>
      <c r="BEG247" s="504"/>
      <c r="BEH247" s="504"/>
      <c r="BEI247" s="504"/>
      <c r="BEJ247" s="504"/>
      <c r="BEK247" s="504"/>
      <c r="BEL247" s="504"/>
      <c r="BEM247" s="504"/>
      <c r="BEN247" s="504"/>
      <c r="BEO247" s="504"/>
      <c r="BEP247" s="504"/>
      <c r="BEQ247" s="504"/>
      <c r="BER247" s="504"/>
      <c r="BES247" s="504"/>
      <c r="BET247" s="504"/>
      <c r="BEU247" s="504"/>
      <c r="BEV247" s="504"/>
      <c r="BEW247" s="504"/>
      <c r="BEX247" s="504"/>
      <c r="BEY247" s="504"/>
      <c r="BEZ247" s="504"/>
      <c r="BFA247" s="504"/>
      <c r="BFB247" s="504"/>
      <c r="BFC247" s="504"/>
      <c r="BFD247" s="504"/>
      <c r="BFE247" s="504"/>
      <c r="BFF247" s="504"/>
      <c r="BFG247" s="504"/>
      <c r="BFH247" s="504"/>
      <c r="BFI247" s="504"/>
      <c r="BFJ247" s="504"/>
      <c r="BFK247" s="504"/>
      <c r="BFL247" s="504"/>
      <c r="BFM247" s="504"/>
      <c r="BFN247" s="504"/>
      <c r="BFO247" s="504"/>
      <c r="BFP247" s="504"/>
      <c r="BFQ247" s="504"/>
      <c r="BFR247" s="504"/>
      <c r="BFS247" s="504"/>
      <c r="BFT247" s="504"/>
      <c r="BFU247" s="504"/>
      <c r="BFV247" s="504"/>
      <c r="BFW247" s="504"/>
      <c r="BFX247" s="504"/>
      <c r="BFY247" s="504"/>
      <c r="BFZ247" s="504"/>
      <c r="BGA247" s="504"/>
      <c r="BGB247" s="504"/>
      <c r="BGC247" s="504"/>
      <c r="BGD247" s="504"/>
      <c r="BGE247" s="504"/>
      <c r="BGF247" s="504"/>
      <c r="BGG247" s="504"/>
      <c r="BGH247" s="504"/>
      <c r="BGI247" s="504"/>
      <c r="BGJ247" s="504"/>
      <c r="BGK247" s="504"/>
      <c r="BGL247" s="504"/>
      <c r="BGM247" s="504"/>
      <c r="BGN247" s="504"/>
      <c r="BGO247" s="504"/>
      <c r="BGP247" s="504"/>
      <c r="BGQ247" s="504"/>
      <c r="BGR247" s="504"/>
      <c r="BGS247" s="504"/>
      <c r="BGT247" s="504"/>
      <c r="BGU247" s="504"/>
      <c r="BGV247" s="504"/>
      <c r="BGW247" s="504"/>
      <c r="BGX247" s="504"/>
      <c r="BGY247" s="504"/>
      <c r="BGZ247" s="504"/>
      <c r="BHA247" s="504"/>
      <c r="BHB247" s="504"/>
      <c r="BHC247" s="504"/>
      <c r="BHD247" s="504"/>
      <c r="BHE247" s="504"/>
      <c r="BHF247" s="504"/>
      <c r="BHG247" s="504"/>
      <c r="BHH247" s="504"/>
      <c r="BHI247" s="504"/>
      <c r="BHJ247" s="504"/>
      <c r="BHK247" s="504"/>
      <c r="BHL247" s="504"/>
      <c r="BHM247" s="504"/>
      <c r="BHN247" s="504"/>
      <c r="BHO247" s="504"/>
      <c r="BHP247" s="504"/>
      <c r="BHQ247" s="504"/>
      <c r="BHR247" s="504"/>
      <c r="BHS247" s="504"/>
      <c r="BHT247" s="504"/>
      <c r="BHU247" s="504"/>
      <c r="BHV247" s="504"/>
      <c r="BHW247" s="504"/>
      <c r="BHX247" s="504"/>
      <c r="BHY247" s="504"/>
      <c r="BHZ247" s="504"/>
      <c r="BIA247" s="504"/>
      <c r="BIB247" s="504"/>
      <c r="BIC247" s="504"/>
      <c r="BID247" s="504"/>
      <c r="BIE247" s="504"/>
      <c r="BIF247" s="504"/>
      <c r="BIG247" s="504"/>
      <c r="BIH247" s="504"/>
      <c r="BII247" s="504"/>
      <c r="BIJ247" s="504"/>
      <c r="BIK247" s="504"/>
      <c r="BIL247" s="504"/>
      <c r="BIM247" s="504"/>
      <c r="BIN247" s="504"/>
      <c r="BIO247" s="504"/>
      <c r="BIP247" s="504"/>
      <c r="BIQ247" s="504"/>
      <c r="BIR247" s="504"/>
      <c r="BIS247" s="504"/>
      <c r="BIT247" s="504"/>
      <c r="BIU247" s="504"/>
      <c r="BIV247" s="504"/>
      <c r="BIW247" s="504"/>
      <c r="BIX247" s="504"/>
      <c r="BIY247" s="504"/>
      <c r="BIZ247" s="504"/>
      <c r="BJA247" s="504"/>
      <c r="BJB247" s="504"/>
      <c r="BJC247" s="504"/>
      <c r="BJD247" s="504"/>
      <c r="BJE247" s="504"/>
      <c r="BJF247" s="504"/>
      <c r="BJG247" s="504"/>
      <c r="BJH247" s="504"/>
      <c r="BJI247" s="504"/>
      <c r="BJJ247" s="504"/>
      <c r="BJK247" s="504"/>
      <c r="BJL247" s="504"/>
      <c r="BJM247" s="504"/>
      <c r="BJN247" s="504"/>
      <c r="BJO247" s="504"/>
      <c r="BJP247" s="504"/>
      <c r="BJQ247" s="504"/>
      <c r="BJR247" s="504"/>
      <c r="BJS247" s="504"/>
      <c r="BJT247" s="504"/>
      <c r="BJU247" s="504"/>
      <c r="BJV247" s="504"/>
      <c r="BJW247" s="504"/>
      <c r="BJX247" s="504"/>
      <c r="BJY247" s="504"/>
      <c r="BJZ247" s="504"/>
      <c r="BKA247" s="504"/>
      <c r="BKB247" s="504"/>
      <c r="BKC247" s="504"/>
      <c r="BKD247" s="504"/>
      <c r="BKE247" s="504"/>
      <c r="BKF247" s="504"/>
      <c r="BKG247" s="504"/>
      <c r="BKH247" s="504"/>
      <c r="BKI247" s="504"/>
      <c r="BKJ247" s="504"/>
      <c r="BKK247" s="504"/>
      <c r="BKL247" s="504"/>
      <c r="BKM247" s="504"/>
      <c r="BKN247" s="504"/>
      <c r="BKO247" s="504"/>
      <c r="BKP247" s="504"/>
      <c r="BKQ247" s="504"/>
      <c r="BKR247" s="504"/>
      <c r="BKS247" s="504"/>
      <c r="BKT247" s="504"/>
      <c r="BKU247" s="504"/>
      <c r="BKV247" s="504"/>
      <c r="BKW247" s="504"/>
      <c r="BKX247" s="504"/>
      <c r="BKY247" s="504"/>
      <c r="BKZ247" s="504"/>
      <c r="BLA247" s="504"/>
      <c r="BLB247" s="504"/>
      <c r="BLC247" s="504"/>
      <c r="BLD247" s="504"/>
      <c r="BLE247" s="504"/>
      <c r="BLF247" s="504"/>
      <c r="BLG247" s="504"/>
      <c r="BLH247" s="504"/>
      <c r="BLI247" s="504"/>
      <c r="BLJ247" s="504"/>
      <c r="BLK247" s="504"/>
      <c r="BLL247" s="504"/>
      <c r="BLM247" s="504"/>
      <c r="BLN247" s="504"/>
      <c r="BLO247" s="504"/>
      <c r="BLP247" s="504"/>
      <c r="BLQ247" s="504"/>
      <c r="BLR247" s="504"/>
      <c r="BLS247" s="504"/>
      <c r="BLT247" s="504"/>
      <c r="BLU247" s="504"/>
      <c r="BLV247" s="504"/>
      <c r="BLW247" s="504"/>
      <c r="BLX247" s="504"/>
      <c r="BLY247" s="504"/>
      <c r="BLZ247" s="504"/>
      <c r="BMA247" s="504"/>
      <c r="BMB247" s="504"/>
      <c r="BMC247" s="504"/>
      <c r="BMD247" s="504"/>
      <c r="BME247" s="504"/>
      <c r="BMF247" s="504"/>
      <c r="BMG247" s="504"/>
      <c r="BMH247" s="504"/>
      <c r="BMI247" s="504"/>
      <c r="BMJ247" s="504"/>
      <c r="BMK247" s="504"/>
      <c r="BML247" s="504"/>
      <c r="BMM247" s="504"/>
      <c r="BMN247" s="504"/>
      <c r="BMO247" s="504"/>
      <c r="BMP247" s="504"/>
      <c r="BMQ247" s="504"/>
      <c r="BMR247" s="504"/>
      <c r="BMS247" s="504"/>
      <c r="BMT247" s="504"/>
      <c r="BMU247" s="504"/>
      <c r="BMV247" s="504"/>
      <c r="BMW247" s="504"/>
      <c r="BMX247" s="504"/>
      <c r="BMY247" s="504"/>
      <c r="BMZ247" s="504"/>
      <c r="BNA247" s="504"/>
      <c r="BNB247" s="504"/>
      <c r="BNC247" s="504"/>
      <c r="BND247" s="504"/>
      <c r="BNE247" s="504"/>
      <c r="BNF247" s="504"/>
      <c r="BNG247" s="504"/>
      <c r="BNH247" s="504"/>
      <c r="BNI247" s="504"/>
      <c r="BNJ247" s="504"/>
      <c r="BNK247" s="504"/>
      <c r="BNL247" s="504"/>
      <c r="BNM247" s="504"/>
      <c r="BNN247" s="504"/>
      <c r="BNO247" s="504"/>
      <c r="BNP247" s="504"/>
      <c r="BNQ247" s="504"/>
      <c r="BNR247" s="504"/>
      <c r="BNS247" s="504"/>
      <c r="BNT247" s="504"/>
      <c r="BNU247" s="504"/>
      <c r="BNV247" s="504"/>
      <c r="BNW247" s="504"/>
      <c r="BNX247" s="504"/>
      <c r="BNY247" s="504"/>
      <c r="BNZ247" s="504"/>
      <c r="BOA247" s="504"/>
      <c r="BOB247" s="504"/>
      <c r="BOC247" s="504"/>
      <c r="BOD247" s="504"/>
      <c r="BOE247" s="504"/>
      <c r="BOF247" s="504"/>
      <c r="BOG247" s="504"/>
      <c r="BOH247" s="504"/>
      <c r="BOI247" s="504"/>
      <c r="BOJ247" s="504"/>
      <c r="BOK247" s="504"/>
      <c r="BOL247" s="504"/>
      <c r="BOM247" s="504"/>
      <c r="BON247" s="504"/>
      <c r="BOO247" s="504"/>
      <c r="BOP247" s="504"/>
      <c r="BOQ247" s="504"/>
      <c r="BOR247" s="504"/>
      <c r="BOS247" s="504"/>
      <c r="BOT247" s="504"/>
      <c r="BOU247" s="504"/>
      <c r="BOV247" s="504"/>
      <c r="BOW247" s="504"/>
      <c r="BOX247" s="504"/>
      <c r="BOY247" s="504"/>
      <c r="BOZ247" s="504"/>
      <c r="BPA247" s="504"/>
      <c r="BPB247" s="504"/>
      <c r="BPC247" s="504"/>
      <c r="BPD247" s="504"/>
      <c r="BPE247" s="504"/>
      <c r="BPF247" s="504"/>
      <c r="BPG247" s="504"/>
      <c r="BPH247" s="504"/>
      <c r="BPI247" s="504"/>
      <c r="BPJ247" s="504"/>
      <c r="BPK247" s="504"/>
      <c r="BPL247" s="504"/>
      <c r="BPM247" s="504"/>
      <c r="BPN247" s="504"/>
      <c r="BPO247" s="504"/>
      <c r="BPP247" s="504"/>
      <c r="BPQ247" s="504"/>
      <c r="BPR247" s="504"/>
      <c r="BPS247" s="504"/>
      <c r="BPT247" s="504"/>
      <c r="BPU247" s="504"/>
      <c r="BPV247" s="504"/>
      <c r="BPW247" s="504"/>
      <c r="BPX247" s="504"/>
      <c r="BPY247" s="504"/>
      <c r="BPZ247" s="504"/>
      <c r="BQA247" s="504"/>
      <c r="BQB247" s="504"/>
      <c r="BQC247" s="504"/>
      <c r="BQD247" s="504"/>
      <c r="BQE247" s="504"/>
      <c r="BQF247" s="504"/>
      <c r="BQG247" s="504"/>
      <c r="BQH247" s="504"/>
      <c r="BQI247" s="504"/>
      <c r="BQJ247" s="504"/>
      <c r="BQK247" s="504"/>
      <c r="BQL247" s="504"/>
      <c r="BQM247" s="504"/>
      <c r="BQN247" s="504"/>
      <c r="BQO247" s="504"/>
      <c r="BQP247" s="504"/>
      <c r="BQQ247" s="504"/>
      <c r="BQR247" s="504"/>
      <c r="BQS247" s="504"/>
      <c r="BQT247" s="504"/>
      <c r="BQU247" s="504"/>
      <c r="BQV247" s="504"/>
      <c r="BQW247" s="504"/>
      <c r="BQX247" s="504"/>
      <c r="BQY247" s="504"/>
      <c r="BQZ247" s="504"/>
      <c r="BRA247" s="504"/>
      <c r="BRB247" s="504"/>
      <c r="BRC247" s="504"/>
      <c r="BRD247" s="504"/>
      <c r="BRE247" s="504"/>
      <c r="BRF247" s="504"/>
      <c r="BRG247" s="504"/>
      <c r="BRH247" s="504"/>
      <c r="BRI247" s="504"/>
      <c r="BRJ247" s="504"/>
      <c r="BRK247" s="504"/>
      <c r="BRL247" s="504"/>
      <c r="BRM247" s="504"/>
      <c r="BRN247" s="504"/>
      <c r="BRO247" s="504"/>
      <c r="BRP247" s="504"/>
      <c r="BRQ247" s="504"/>
      <c r="BRR247" s="504"/>
      <c r="BRS247" s="504"/>
      <c r="BRT247" s="504"/>
      <c r="BRU247" s="504"/>
      <c r="BRV247" s="504"/>
      <c r="BRW247" s="504"/>
      <c r="BRX247" s="504"/>
      <c r="BRY247" s="504"/>
      <c r="BRZ247" s="504"/>
      <c r="BSA247" s="504"/>
      <c r="BSB247" s="504"/>
      <c r="BSC247" s="504"/>
      <c r="BSD247" s="504"/>
      <c r="BSE247" s="504"/>
      <c r="BSF247" s="504"/>
      <c r="BSG247" s="504"/>
      <c r="BSH247" s="504"/>
      <c r="BSI247" s="504"/>
      <c r="BSJ247" s="504"/>
      <c r="BSK247" s="504"/>
      <c r="BSL247" s="504"/>
      <c r="BSM247" s="504"/>
      <c r="BSN247" s="504"/>
      <c r="BSO247" s="504"/>
      <c r="BSP247" s="504"/>
      <c r="BSQ247" s="504"/>
      <c r="BSR247" s="504"/>
      <c r="BSS247" s="504"/>
      <c r="BST247" s="504"/>
      <c r="BSU247" s="504"/>
      <c r="BSV247" s="504"/>
      <c r="BSW247" s="504"/>
      <c r="BSX247" s="504"/>
      <c r="BSY247" s="504"/>
      <c r="BSZ247" s="504"/>
      <c r="BTA247" s="504"/>
      <c r="BTB247" s="504"/>
      <c r="BTC247" s="504"/>
      <c r="BTD247" s="504"/>
      <c r="BTE247" s="504"/>
      <c r="BTF247" s="504"/>
      <c r="BTG247" s="504"/>
      <c r="BTH247" s="504"/>
      <c r="BTI247" s="504"/>
    </row>
    <row r="248" spans="1:1881" s="503" customFormat="1" ht="60" customHeight="1" x14ac:dyDescent="0.25">
      <c r="A248" s="473">
        <v>950</v>
      </c>
      <c r="B248" s="469"/>
      <c r="C248" s="470"/>
      <c r="D248" s="897" t="s">
        <v>958</v>
      </c>
      <c r="E248" s="472" t="s">
        <v>956</v>
      </c>
      <c r="F248" s="947"/>
      <c r="G248" s="583" t="str">
        <f t="shared" si="3"/>
        <v>Please do not leave blank</v>
      </c>
      <c r="H248" s="505"/>
      <c r="I248"/>
      <c r="J248"/>
      <c r="K248"/>
      <c r="L248"/>
      <c r="M248"/>
      <c r="N248"/>
      <c r="O248"/>
      <c r="P248" s="504"/>
      <c r="Q248" s="504"/>
      <c r="R248" s="504"/>
      <c r="S248" s="504"/>
      <c r="T248" s="504"/>
      <c r="U248" s="504"/>
      <c r="V248" s="504"/>
      <c r="W248" s="504"/>
      <c r="X248" s="504"/>
      <c r="Y248" s="504"/>
      <c r="Z248" s="504"/>
      <c r="AA248" s="504"/>
      <c r="AB248" s="504"/>
      <c r="AC248" s="504"/>
      <c r="AD248" s="504"/>
      <c r="AE248" s="504"/>
      <c r="AF248" s="504"/>
      <c r="AG248" s="504"/>
      <c r="AH248" s="504"/>
      <c r="AI248" s="504"/>
      <c r="AJ248" s="504"/>
      <c r="AK248" s="504"/>
      <c r="AL248" s="504"/>
      <c r="AM248" s="504"/>
      <c r="AN248" s="504"/>
      <c r="AO248" s="504"/>
      <c r="AP248" s="504"/>
      <c r="AQ248" s="504"/>
      <c r="AR248" s="504"/>
      <c r="AS248" s="504"/>
      <c r="AT248" s="504"/>
      <c r="AU248" s="504"/>
      <c r="AV248" s="504"/>
      <c r="AW248" s="504"/>
      <c r="AX248" s="504"/>
      <c r="AY248" s="504"/>
      <c r="AZ248" s="504"/>
      <c r="BA248" s="504"/>
      <c r="BB248" s="504"/>
      <c r="BC248" s="504"/>
      <c r="BD248" s="504"/>
      <c r="BE248" s="504"/>
      <c r="BF248" s="504"/>
      <c r="BG248" s="504"/>
      <c r="BH248" s="504"/>
      <c r="BI248" s="504"/>
      <c r="BJ248" s="504"/>
      <c r="BK248" s="504"/>
      <c r="BL248" s="504"/>
      <c r="BM248" s="504"/>
      <c r="BN248" s="504"/>
      <c r="BO248" s="504"/>
      <c r="BP248" s="504"/>
      <c r="BQ248" s="504"/>
      <c r="BR248" s="504"/>
      <c r="BS248" s="504"/>
      <c r="BT248" s="504"/>
      <c r="BU248" s="504"/>
      <c r="BV248" s="504"/>
      <c r="BW248" s="504"/>
      <c r="BX248" s="504"/>
      <c r="BY248" s="504"/>
      <c r="BZ248" s="504"/>
      <c r="CA248" s="504"/>
      <c r="CB248" s="504"/>
      <c r="CC248" s="504"/>
      <c r="CD248" s="504"/>
      <c r="CE248" s="504"/>
      <c r="CF248" s="504"/>
      <c r="CG248" s="504"/>
      <c r="CH248" s="504"/>
      <c r="CI248" s="504"/>
      <c r="CJ248" s="504"/>
      <c r="CK248" s="504"/>
      <c r="CL248" s="504"/>
      <c r="CM248" s="504"/>
      <c r="CN248" s="504"/>
      <c r="CO248" s="504"/>
      <c r="CP248" s="504"/>
      <c r="CQ248" s="504"/>
      <c r="CR248" s="504"/>
      <c r="CS248" s="504"/>
      <c r="CT248" s="504"/>
      <c r="CU248" s="504"/>
      <c r="CV248" s="504"/>
      <c r="CW248" s="504"/>
      <c r="CX248" s="504"/>
      <c r="CY248" s="504"/>
      <c r="CZ248" s="504"/>
      <c r="DA248" s="504"/>
      <c r="DB248" s="504"/>
      <c r="DC248" s="504"/>
      <c r="DD248" s="504"/>
      <c r="DE248" s="504"/>
      <c r="DF248" s="504"/>
      <c r="DG248" s="504"/>
      <c r="DH248" s="504"/>
      <c r="DI248" s="504"/>
      <c r="DJ248" s="504"/>
      <c r="DK248" s="504"/>
      <c r="DL248" s="504"/>
      <c r="DM248" s="504"/>
      <c r="DN248" s="504"/>
      <c r="DO248" s="504"/>
      <c r="DP248" s="504"/>
      <c r="DQ248" s="504"/>
      <c r="DR248" s="504"/>
      <c r="DS248" s="504"/>
      <c r="DT248" s="504"/>
      <c r="DU248" s="504"/>
      <c r="DV248" s="504"/>
      <c r="DW248" s="504"/>
      <c r="DX248" s="504"/>
      <c r="DY248" s="504"/>
      <c r="DZ248" s="504"/>
      <c r="EA248" s="504"/>
      <c r="EB248" s="504"/>
      <c r="EC248" s="504"/>
      <c r="ED248" s="504"/>
      <c r="EE248" s="504"/>
      <c r="EF248" s="504"/>
      <c r="EG248" s="504"/>
      <c r="EH248" s="504"/>
      <c r="EI248" s="504"/>
      <c r="EJ248" s="504"/>
      <c r="EK248" s="504"/>
      <c r="EL248" s="504"/>
      <c r="EM248" s="504"/>
      <c r="EN248" s="504"/>
      <c r="EO248" s="504"/>
      <c r="EP248" s="504"/>
      <c r="EQ248" s="504"/>
      <c r="ER248" s="504"/>
      <c r="ES248" s="504"/>
      <c r="ET248" s="504"/>
      <c r="EU248" s="504"/>
      <c r="EV248" s="504"/>
      <c r="EW248" s="504"/>
      <c r="EX248" s="504"/>
      <c r="EY248" s="504"/>
      <c r="EZ248" s="504"/>
      <c r="FA248" s="504"/>
      <c r="FB248" s="504"/>
      <c r="FC248" s="504"/>
      <c r="FD248" s="504"/>
      <c r="FE248" s="504"/>
      <c r="FF248" s="504"/>
      <c r="FG248" s="504"/>
      <c r="FH248" s="504"/>
      <c r="FI248" s="504"/>
      <c r="FJ248" s="504"/>
      <c r="FK248" s="504"/>
      <c r="FL248" s="504"/>
      <c r="FM248" s="504"/>
      <c r="FN248" s="504"/>
      <c r="FO248" s="504"/>
      <c r="FP248" s="504"/>
      <c r="FQ248" s="504"/>
      <c r="FR248" s="504"/>
      <c r="FS248" s="504"/>
      <c r="FT248" s="504"/>
      <c r="FU248" s="504"/>
      <c r="FV248" s="504"/>
      <c r="FW248" s="504"/>
      <c r="FX248" s="504"/>
      <c r="FY248" s="504"/>
      <c r="FZ248" s="504"/>
      <c r="GA248" s="504"/>
      <c r="GB248" s="504"/>
      <c r="GC248" s="504"/>
      <c r="GD248" s="504"/>
      <c r="GE248" s="504"/>
      <c r="GF248" s="504"/>
      <c r="GG248" s="504"/>
      <c r="GH248" s="504"/>
      <c r="GI248" s="504"/>
      <c r="GJ248" s="504"/>
      <c r="GK248" s="504"/>
      <c r="GL248" s="504"/>
      <c r="GM248" s="504"/>
      <c r="GN248" s="504"/>
      <c r="GO248" s="504"/>
      <c r="GP248" s="504"/>
      <c r="GQ248" s="504"/>
      <c r="GR248" s="504"/>
      <c r="GS248" s="504"/>
      <c r="GT248" s="504"/>
      <c r="GU248" s="504"/>
      <c r="GV248" s="504"/>
      <c r="GW248" s="504"/>
      <c r="GX248" s="504"/>
      <c r="GY248" s="504"/>
      <c r="GZ248" s="504"/>
      <c r="HA248" s="504"/>
      <c r="HB248" s="504"/>
      <c r="HC248" s="504"/>
      <c r="HD248" s="504"/>
      <c r="HE248" s="504"/>
      <c r="HF248" s="504"/>
      <c r="HG248" s="504"/>
      <c r="HH248" s="504"/>
      <c r="HI248" s="504"/>
      <c r="HJ248" s="504"/>
      <c r="HK248" s="504"/>
      <c r="HL248" s="504"/>
      <c r="HM248" s="504"/>
      <c r="HN248" s="504"/>
      <c r="HO248" s="504"/>
      <c r="HP248" s="504"/>
      <c r="HQ248" s="504"/>
      <c r="HR248" s="504"/>
      <c r="HS248" s="504"/>
      <c r="HT248" s="504"/>
      <c r="HU248" s="504"/>
      <c r="HV248" s="504"/>
      <c r="HW248" s="504"/>
      <c r="HX248" s="504"/>
      <c r="HY248" s="504"/>
      <c r="HZ248" s="504"/>
      <c r="IA248" s="504"/>
      <c r="IB248" s="504"/>
      <c r="IC248" s="504"/>
      <c r="ID248" s="504"/>
      <c r="IE248" s="504"/>
      <c r="IF248" s="504"/>
      <c r="IG248" s="504"/>
      <c r="IH248" s="504"/>
      <c r="II248" s="504"/>
      <c r="IJ248" s="504"/>
      <c r="IK248" s="504"/>
      <c r="IL248" s="504"/>
      <c r="IM248" s="504"/>
      <c r="IN248" s="504"/>
      <c r="IO248" s="504"/>
      <c r="IP248" s="504"/>
      <c r="IQ248" s="504"/>
      <c r="IR248" s="504"/>
      <c r="IS248" s="504"/>
      <c r="IT248" s="504"/>
      <c r="IU248" s="504"/>
      <c r="IV248" s="504"/>
      <c r="IW248" s="504"/>
      <c r="IX248" s="504"/>
      <c r="IY248" s="504"/>
      <c r="IZ248" s="504"/>
      <c r="JA248" s="504"/>
      <c r="JB248" s="504"/>
      <c r="JC248" s="504"/>
      <c r="JD248" s="504"/>
      <c r="JE248" s="504"/>
      <c r="JF248" s="504"/>
      <c r="JG248" s="504"/>
      <c r="JH248" s="504"/>
      <c r="JI248" s="504"/>
      <c r="JJ248" s="504"/>
      <c r="JK248" s="504"/>
      <c r="JL248" s="504"/>
      <c r="JM248" s="504"/>
      <c r="JN248" s="504"/>
      <c r="JO248" s="504"/>
      <c r="JP248" s="504"/>
      <c r="JQ248" s="504"/>
      <c r="JR248" s="504"/>
      <c r="JS248" s="504"/>
      <c r="JT248" s="504"/>
      <c r="JU248" s="504"/>
      <c r="JV248" s="504"/>
      <c r="JW248" s="504"/>
      <c r="JX248" s="504"/>
      <c r="JY248" s="504"/>
      <c r="JZ248" s="504"/>
      <c r="KA248" s="504"/>
      <c r="KB248" s="504"/>
      <c r="KC248" s="504"/>
      <c r="KD248" s="504"/>
      <c r="KE248" s="504"/>
      <c r="KF248" s="504"/>
      <c r="KG248" s="504"/>
      <c r="KH248" s="504"/>
      <c r="KI248" s="504"/>
      <c r="KJ248" s="504"/>
      <c r="KK248" s="504"/>
      <c r="KL248" s="504"/>
      <c r="KM248" s="504"/>
      <c r="KN248" s="504"/>
      <c r="KO248" s="504"/>
      <c r="KP248" s="504"/>
      <c r="KQ248" s="504"/>
      <c r="KR248" s="504"/>
      <c r="KS248" s="504"/>
      <c r="KT248" s="504"/>
      <c r="KU248" s="504"/>
      <c r="KV248" s="504"/>
      <c r="KW248" s="504"/>
      <c r="KX248" s="504"/>
      <c r="KY248" s="504"/>
      <c r="KZ248" s="504"/>
      <c r="LA248" s="504"/>
      <c r="LB248" s="504"/>
      <c r="LC248" s="504"/>
      <c r="LD248" s="504"/>
      <c r="LE248" s="504"/>
      <c r="LF248" s="504"/>
      <c r="LG248" s="504"/>
      <c r="LH248" s="504"/>
      <c r="LI248" s="504"/>
      <c r="LJ248" s="504"/>
      <c r="LK248" s="504"/>
      <c r="LL248" s="504"/>
      <c r="LM248" s="504"/>
      <c r="LN248" s="504"/>
      <c r="LO248" s="504"/>
      <c r="LP248" s="504"/>
      <c r="LQ248" s="504"/>
      <c r="LR248" s="504"/>
      <c r="LS248" s="504"/>
      <c r="LT248" s="504"/>
      <c r="LU248" s="504"/>
      <c r="LV248" s="504"/>
      <c r="LW248" s="504"/>
      <c r="LX248" s="504"/>
      <c r="LY248" s="504"/>
      <c r="LZ248" s="504"/>
      <c r="MA248" s="504"/>
      <c r="MB248" s="504"/>
      <c r="MC248" s="504"/>
      <c r="MD248" s="504"/>
      <c r="ME248" s="504"/>
      <c r="MF248" s="504"/>
      <c r="MG248" s="504"/>
      <c r="MH248" s="504"/>
      <c r="MI248" s="504"/>
      <c r="MJ248" s="504"/>
      <c r="MK248" s="504"/>
      <c r="ML248" s="504"/>
      <c r="MM248" s="504"/>
      <c r="MN248" s="504"/>
      <c r="MO248" s="504"/>
      <c r="MP248" s="504"/>
      <c r="MQ248" s="504"/>
      <c r="MR248" s="504"/>
      <c r="MS248" s="504"/>
      <c r="MT248" s="504"/>
      <c r="MU248" s="504"/>
      <c r="MV248" s="504"/>
      <c r="MW248" s="504"/>
      <c r="MX248" s="504"/>
      <c r="MY248" s="504"/>
      <c r="MZ248" s="504"/>
      <c r="NA248" s="504"/>
      <c r="NB248" s="504"/>
      <c r="NC248" s="504"/>
      <c r="ND248" s="504"/>
      <c r="NE248" s="504"/>
      <c r="NF248" s="504"/>
      <c r="NG248" s="504"/>
      <c r="NH248" s="504"/>
      <c r="NI248" s="504"/>
      <c r="NJ248" s="504"/>
      <c r="NK248" s="504"/>
      <c r="NL248" s="504"/>
      <c r="NM248" s="504"/>
      <c r="NN248" s="504"/>
      <c r="NO248" s="504"/>
      <c r="NP248" s="504"/>
      <c r="NQ248" s="504"/>
      <c r="NR248" s="504"/>
      <c r="NS248" s="504"/>
      <c r="NT248" s="504"/>
      <c r="NU248" s="504"/>
      <c r="NV248" s="504"/>
      <c r="NW248" s="504"/>
      <c r="NX248" s="504"/>
      <c r="NY248" s="504"/>
      <c r="NZ248" s="504"/>
      <c r="OA248" s="504"/>
      <c r="OB248" s="504"/>
      <c r="OC248" s="504"/>
      <c r="OD248" s="504"/>
      <c r="OE248" s="504"/>
      <c r="OF248" s="504"/>
      <c r="OG248" s="504"/>
      <c r="OH248" s="504"/>
      <c r="OI248" s="504"/>
      <c r="OJ248" s="504"/>
      <c r="OK248" s="504"/>
      <c r="OL248" s="504"/>
      <c r="OM248" s="504"/>
      <c r="ON248" s="504"/>
      <c r="OO248" s="504"/>
      <c r="OP248" s="504"/>
      <c r="OQ248" s="504"/>
      <c r="OR248" s="504"/>
      <c r="OS248" s="504"/>
      <c r="OT248" s="504"/>
      <c r="OU248" s="504"/>
      <c r="OV248" s="504"/>
      <c r="OW248" s="504"/>
      <c r="OX248" s="504"/>
      <c r="OY248" s="504"/>
      <c r="OZ248" s="504"/>
      <c r="PA248" s="504"/>
      <c r="PB248" s="504"/>
      <c r="PC248" s="504"/>
      <c r="PD248" s="504"/>
      <c r="PE248" s="504"/>
      <c r="PF248" s="504"/>
      <c r="PG248" s="504"/>
      <c r="PH248" s="504"/>
      <c r="PI248" s="504"/>
      <c r="PJ248" s="504"/>
      <c r="PK248" s="504"/>
      <c r="PL248" s="504"/>
      <c r="PM248" s="504"/>
      <c r="PN248" s="504"/>
      <c r="PO248" s="504"/>
      <c r="PP248" s="504"/>
      <c r="PQ248" s="504"/>
      <c r="PR248" s="504"/>
      <c r="PS248" s="504"/>
      <c r="PT248" s="504"/>
      <c r="PU248" s="504"/>
      <c r="PV248" s="504"/>
      <c r="PW248" s="504"/>
      <c r="PX248" s="504"/>
      <c r="PY248" s="504"/>
      <c r="PZ248" s="504"/>
      <c r="QA248" s="504"/>
      <c r="QB248" s="504"/>
      <c r="QC248" s="504"/>
      <c r="QD248" s="504"/>
      <c r="QE248" s="504"/>
      <c r="QF248" s="504"/>
      <c r="QG248" s="504"/>
      <c r="QH248" s="504"/>
      <c r="QI248" s="504"/>
      <c r="QJ248" s="504"/>
      <c r="QK248" s="504"/>
      <c r="QL248" s="504"/>
      <c r="QM248" s="504"/>
      <c r="QN248" s="504"/>
      <c r="QO248" s="504"/>
      <c r="QP248" s="504"/>
      <c r="QQ248" s="504"/>
      <c r="QR248" s="504"/>
      <c r="QS248" s="504"/>
      <c r="QT248" s="504"/>
      <c r="QU248" s="504"/>
      <c r="QV248" s="504"/>
      <c r="QW248" s="504"/>
      <c r="QX248" s="504"/>
      <c r="QY248" s="504"/>
      <c r="QZ248" s="504"/>
      <c r="RA248" s="504"/>
      <c r="RB248" s="504"/>
      <c r="RC248" s="504"/>
      <c r="RD248" s="504"/>
      <c r="RE248" s="504"/>
      <c r="RF248" s="504"/>
      <c r="RG248" s="504"/>
      <c r="RH248" s="504"/>
      <c r="RI248" s="504"/>
      <c r="RJ248" s="504"/>
      <c r="RK248" s="504"/>
      <c r="RL248" s="504"/>
      <c r="RM248" s="504"/>
      <c r="RN248" s="504"/>
      <c r="RO248" s="504"/>
      <c r="RP248" s="504"/>
      <c r="RQ248" s="504"/>
      <c r="RR248" s="504"/>
      <c r="RS248" s="504"/>
      <c r="RT248" s="504"/>
      <c r="RU248" s="504"/>
      <c r="RV248" s="504"/>
      <c r="RW248" s="504"/>
      <c r="RX248" s="504"/>
      <c r="RY248" s="504"/>
      <c r="RZ248" s="504"/>
      <c r="SA248" s="504"/>
      <c r="SB248" s="504"/>
      <c r="SC248" s="504"/>
      <c r="SD248" s="504"/>
      <c r="SE248" s="504"/>
      <c r="SF248" s="504"/>
      <c r="SG248" s="504"/>
      <c r="SH248" s="504"/>
      <c r="SI248" s="504"/>
      <c r="SJ248" s="504"/>
      <c r="SK248" s="504"/>
      <c r="SL248" s="504"/>
      <c r="SM248" s="504"/>
      <c r="SN248" s="504"/>
      <c r="SO248" s="504"/>
      <c r="SP248" s="504"/>
      <c r="SQ248" s="504"/>
      <c r="SR248" s="504"/>
      <c r="SS248" s="504"/>
      <c r="ST248" s="504"/>
      <c r="SU248" s="504"/>
      <c r="SV248" s="504"/>
      <c r="SW248" s="504"/>
      <c r="SX248" s="504"/>
      <c r="SY248" s="504"/>
      <c r="SZ248" s="504"/>
      <c r="TA248" s="504"/>
      <c r="TB248" s="504"/>
      <c r="TC248" s="504"/>
      <c r="TD248" s="504"/>
      <c r="TE248" s="504"/>
      <c r="TF248" s="504"/>
      <c r="TG248" s="504"/>
      <c r="TH248" s="504"/>
      <c r="TI248" s="504"/>
      <c r="TJ248" s="504"/>
      <c r="TK248" s="504"/>
      <c r="TL248" s="504"/>
      <c r="TM248" s="504"/>
      <c r="TN248" s="504"/>
      <c r="TO248" s="504"/>
      <c r="TP248" s="504"/>
      <c r="TQ248" s="504"/>
      <c r="TR248" s="504"/>
      <c r="TS248" s="504"/>
      <c r="TT248" s="504"/>
      <c r="TU248" s="504"/>
      <c r="TV248" s="504"/>
      <c r="TW248" s="504"/>
      <c r="TX248" s="504"/>
      <c r="TY248" s="504"/>
      <c r="TZ248" s="504"/>
      <c r="UA248" s="504"/>
      <c r="UB248" s="504"/>
      <c r="UC248" s="504"/>
      <c r="UD248" s="504"/>
      <c r="UE248" s="504"/>
      <c r="UF248" s="504"/>
      <c r="UG248" s="504"/>
      <c r="UH248" s="504"/>
      <c r="UI248" s="504"/>
      <c r="UJ248" s="504"/>
      <c r="UK248" s="504"/>
      <c r="UL248" s="504"/>
      <c r="UM248" s="504"/>
      <c r="UN248" s="504"/>
      <c r="UO248" s="504"/>
      <c r="UP248" s="504"/>
      <c r="UQ248" s="504"/>
      <c r="UR248" s="504"/>
      <c r="US248" s="504"/>
      <c r="UT248" s="504"/>
      <c r="UU248" s="504"/>
      <c r="UV248" s="504"/>
      <c r="UW248" s="504"/>
      <c r="UX248" s="504"/>
      <c r="UY248" s="504"/>
      <c r="UZ248" s="504"/>
      <c r="VA248" s="504"/>
      <c r="VB248" s="504"/>
      <c r="VC248" s="504"/>
      <c r="VD248" s="504"/>
      <c r="VE248" s="504"/>
      <c r="VF248" s="504"/>
      <c r="VG248" s="504"/>
      <c r="VH248" s="504"/>
      <c r="VI248" s="504"/>
      <c r="VJ248" s="504"/>
      <c r="VK248" s="504"/>
      <c r="VL248" s="504"/>
      <c r="VM248" s="504"/>
      <c r="VN248" s="504"/>
      <c r="VO248" s="504"/>
      <c r="VP248" s="504"/>
      <c r="VQ248" s="504"/>
      <c r="VR248" s="504"/>
      <c r="VS248" s="504"/>
      <c r="VT248" s="504"/>
      <c r="VU248" s="504"/>
      <c r="VV248" s="504"/>
      <c r="VW248" s="504"/>
      <c r="VX248" s="504"/>
      <c r="VY248" s="504"/>
      <c r="VZ248" s="504"/>
      <c r="WA248" s="504"/>
      <c r="WB248" s="504"/>
      <c r="WC248" s="504"/>
      <c r="WD248" s="504"/>
      <c r="WE248" s="504"/>
      <c r="WF248" s="504"/>
      <c r="WG248" s="504"/>
      <c r="WH248" s="504"/>
      <c r="WI248" s="504"/>
      <c r="WJ248" s="504"/>
      <c r="WK248" s="504"/>
      <c r="WL248" s="504"/>
      <c r="WM248" s="504"/>
      <c r="WN248" s="504"/>
      <c r="WO248" s="504"/>
      <c r="WP248" s="504"/>
      <c r="WQ248" s="504"/>
      <c r="WR248" s="504"/>
      <c r="WS248" s="504"/>
      <c r="WT248" s="504"/>
      <c r="WU248" s="504"/>
      <c r="WV248" s="504"/>
      <c r="WW248" s="504"/>
      <c r="WX248" s="504"/>
      <c r="WY248" s="504"/>
      <c r="WZ248" s="504"/>
      <c r="XA248" s="504"/>
      <c r="XB248" s="504"/>
      <c r="XC248" s="504"/>
      <c r="XD248" s="504"/>
      <c r="XE248" s="504"/>
      <c r="XF248" s="504"/>
      <c r="XG248" s="504"/>
      <c r="XH248" s="504"/>
      <c r="XI248" s="504"/>
      <c r="XJ248" s="504"/>
      <c r="XK248" s="504"/>
      <c r="XL248" s="504"/>
      <c r="XM248" s="504"/>
      <c r="XN248" s="504"/>
      <c r="XO248" s="504"/>
      <c r="XP248" s="504"/>
      <c r="XQ248" s="504"/>
      <c r="XR248" s="504"/>
      <c r="XS248" s="504"/>
      <c r="XT248" s="504"/>
      <c r="XU248" s="504"/>
      <c r="XV248" s="504"/>
      <c r="XW248" s="504"/>
      <c r="XX248" s="504"/>
      <c r="XY248" s="504"/>
      <c r="XZ248" s="504"/>
      <c r="YA248" s="504"/>
      <c r="YB248" s="504"/>
      <c r="YC248" s="504"/>
      <c r="YD248" s="504"/>
      <c r="YE248" s="504"/>
      <c r="YF248" s="504"/>
      <c r="YG248" s="504"/>
      <c r="YH248" s="504"/>
      <c r="YI248" s="504"/>
      <c r="YJ248" s="504"/>
      <c r="YK248" s="504"/>
      <c r="YL248" s="504"/>
      <c r="YM248" s="504"/>
      <c r="YN248" s="504"/>
      <c r="YO248" s="504"/>
      <c r="YP248" s="504"/>
      <c r="YQ248" s="504"/>
      <c r="YR248" s="504"/>
      <c r="YS248" s="504"/>
      <c r="YT248" s="504"/>
      <c r="YU248" s="504"/>
      <c r="YV248" s="504"/>
      <c r="YW248" s="504"/>
      <c r="YX248" s="504"/>
      <c r="YY248" s="504"/>
      <c r="YZ248" s="504"/>
      <c r="ZA248" s="504"/>
      <c r="ZB248" s="504"/>
      <c r="ZC248" s="504"/>
      <c r="ZD248" s="504"/>
      <c r="ZE248" s="504"/>
      <c r="ZF248" s="504"/>
      <c r="ZG248" s="504"/>
      <c r="ZH248" s="504"/>
      <c r="ZI248" s="504"/>
      <c r="ZJ248" s="504"/>
      <c r="ZK248" s="504"/>
      <c r="ZL248" s="504"/>
      <c r="ZM248" s="504"/>
      <c r="ZN248" s="504"/>
      <c r="ZO248" s="504"/>
      <c r="ZP248" s="504"/>
      <c r="ZQ248" s="504"/>
      <c r="ZR248" s="504"/>
      <c r="ZS248" s="504"/>
      <c r="ZT248" s="504"/>
      <c r="ZU248" s="504"/>
      <c r="ZV248" s="504"/>
      <c r="ZW248" s="504"/>
      <c r="ZX248" s="504"/>
      <c r="ZY248" s="504"/>
      <c r="ZZ248" s="504"/>
      <c r="AAA248" s="504"/>
      <c r="AAB248" s="504"/>
      <c r="AAC248" s="504"/>
      <c r="AAD248" s="504"/>
      <c r="AAE248" s="504"/>
      <c r="AAF248" s="504"/>
      <c r="AAG248" s="504"/>
      <c r="AAH248" s="504"/>
      <c r="AAI248" s="504"/>
      <c r="AAJ248" s="504"/>
      <c r="AAK248" s="504"/>
      <c r="AAL248" s="504"/>
      <c r="AAM248" s="504"/>
      <c r="AAN248" s="504"/>
      <c r="AAO248" s="504"/>
      <c r="AAP248" s="504"/>
      <c r="AAQ248" s="504"/>
      <c r="AAR248" s="504"/>
      <c r="AAS248" s="504"/>
      <c r="AAT248" s="504"/>
      <c r="AAU248" s="504"/>
      <c r="AAV248" s="504"/>
      <c r="AAW248" s="504"/>
      <c r="AAX248" s="504"/>
      <c r="AAY248" s="504"/>
      <c r="AAZ248" s="504"/>
      <c r="ABA248" s="504"/>
      <c r="ABB248" s="504"/>
      <c r="ABC248" s="504"/>
      <c r="ABD248" s="504"/>
      <c r="ABE248" s="504"/>
      <c r="ABF248" s="504"/>
      <c r="ABG248" s="504"/>
      <c r="ABH248" s="504"/>
      <c r="ABI248" s="504"/>
      <c r="ABJ248" s="504"/>
      <c r="ABK248" s="504"/>
      <c r="ABL248" s="504"/>
      <c r="ABM248" s="504"/>
      <c r="ABN248" s="504"/>
      <c r="ABO248" s="504"/>
      <c r="ABP248" s="504"/>
      <c r="ABQ248" s="504"/>
      <c r="ABR248" s="504"/>
      <c r="ABS248" s="504"/>
      <c r="ABT248" s="504"/>
      <c r="ABU248" s="504"/>
      <c r="ABV248" s="504"/>
      <c r="ABW248" s="504"/>
      <c r="ABX248" s="504"/>
      <c r="ABY248" s="504"/>
      <c r="ABZ248" s="504"/>
      <c r="ACA248" s="504"/>
      <c r="ACB248" s="504"/>
      <c r="ACC248" s="504"/>
      <c r="ACD248" s="504"/>
      <c r="ACE248" s="504"/>
      <c r="ACF248" s="504"/>
      <c r="ACG248" s="504"/>
      <c r="ACH248" s="504"/>
      <c r="ACI248" s="504"/>
      <c r="ACJ248" s="504"/>
      <c r="ACK248" s="504"/>
      <c r="ACL248" s="504"/>
      <c r="ACM248" s="504"/>
      <c r="ACN248" s="504"/>
      <c r="ACO248" s="504"/>
      <c r="ACP248" s="504"/>
      <c r="ACQ248" s="504"/>
      <c r="ACR248" s="504"/>
      <c r="ACS248" s="504"/>
      <c r="ACT248" s="504"/>
      <c r="ACU248" s="504"/>
      <c r="ACV248" s="504"/>
      <c r="ACW248" s="504"/>
      <c r="ACX248" s="504"/>
      <c r="ACY248" s="504"/>
      <c r="ACZ248" s="504"/>
      <c r="ADA248" s="504"/>
      <c r="ADB248" s="504"/>
      <c r="ADC248" s="504"/>
      <c r="ADD248" s="504"/>
      <c r="ADE248" s="504"/>
      <c r="ADF248" s="504"/>
      <c r="ADG248" s="504"/>
      <c r="ADH248" s="504"/>
      <c r="ADI248" s="504"/>
      <c r="ADJ248" s="504"/>
      <c r="ADK248" s="504"/>
      <c r="ADL248" s="504"/>
      <c r="ADM248" s="504"/>
      <c r="ADN248" s="504"/>
      <c r="ADO248" s="504"/>
      <c r="ADP248" s="504"/>
      <c r="ADQ248" s="504"/>
      <c r="ADR248" s="504"/>
      <c r="ADS248" s="504"/>
      <c r="ADT248" s="504"/>
      <c r="ADU248" s="504"/>
      <c r="ADV248" s="504"/>
      <c r="ADW248" s="504"/>
      <c r="ADX248" s="504"/>
      <c r="ADY248" s="504"/>
      <c r="ADZ248" s="504"/>
      <c r="AEA248" s="504"/>
      <c r="AEB248" s="504"/>
      <c r="AEC248" s="504"/>
      <c r="AED248" s="504"/>
      <c r="AEE248" s="504"/>
      <c r="AEF248" s="504"/>
      <c r="AEG248" s="504"/>
      <c r="AEH248" s="504"/>
      <c r="AEI248" s="504"/>
      <c r="AEJ248" s="504"/>
      <c r="AEK248" s="504"/>
      <c r="AEL248" s="504"/>
      <c r="AEM248" s="504"/>
      <c r="AEN248" s="504"/>
      <c r="AEO248" s="504"/>
      <c r="AEP248" s="504"/>
      <c r="AEQ248" s="504"/>
      <c r="AER248" s="504"/>
      <c r="AES248" s="504"/>
      <c r="AET248" s="504"/>
      <c r="AEU248" s="504"/>
      <c r="AEV248" s="504"/>
      <c r="AEW248" s="504"/>
      <c r="AEX248" s="504"/>
      <c r="AEY248" s="504"/>
      <c r="AEZ248" s="504"/>
      <c r="AFA248" s="504"/>
      <c r="AFB248" s="504"/>
      <c r="AFC248" s="504"/>
      <c r="AFD248" s="504"/>
      <c r="AFE248" s="504"/>
      <c r="AFF248" s="504"/>
      <c r="AFG248" s="504"/>
      <c r="AFH248" s="504"/>
      <c r="AFI248" s="504"/>
      <c r="AFJ248" s="504"/>
      <c r="AFK248" s="504"/>
      <c r="AFL248" s="504"/>
      <c r="AFM248" s="504"/>
      <c r="AFN248" s="504"/>
      <c r="AFO248" s="504"/>
      <c r="AFP248" s="504"/>
      <c r="AFQ248" s="504"/>
      <c r="AFR248" s="504"/>
      <c r="AFS248" s="504"/>
      <c r="AFT248" s="504"/>
      <c r="AFU248" s="504"/>
      <c r="AFV248" s="504"/>
      <c r="AFW248" s="504"/>
      <c r="AFX248" s="504"/>
      <c r="AFY248" s="504"/>
      <c r="AFZ248" s="504"/>
      <c r="AGA248" s="504"/>
      <c r="AGB248" s="504"/>
      <c r="AGC248" s="504"/>
      <c r="AGD248" s="504"/>
      <c r="AGE248" s="504"/>
      <c r="AGF248" s="504"/>
      <c r="AGG248" s="504"/>
      <c r="AGH248" s="504"/>
      <c r="AGI248" s="504"/>
      <c r="AGJ248" s="504"/>
      <c r="AGK248" s="504"/>
      <c r="AGL248" s="504"/>
      <c r="AGM248" s="504"/>
      <c r="AGN248" s="504"/>
      <c r="AGO248" s="504"/>
      <c r="AGP248" s="504"/>
      <c r="AGQ248" s="504"/>
      <c r="AGR248" s="504"/>
      <c r="AGS248" s="504"/>
      <c r="AGT248" s="504"/>
      <c r="AGU248" s="504"/>
      <c r="AGV248" s="504"/>
      <c r="AGW248" s="504"/>
      <c r="AGX248" s="504"/>
      <c r="AGY248" s="504"/>
      <c r="AGZ248" s="504"/>
      <c r="AHA248" s="504"/>
      <c r="AHB248" s="504"/>
      <c r="AHC248" s="504"/>
      <c r="AHD248" s="504"/>
      <c r="AHE248" s="504"/>
      <c r="AHF248" s="504"/>
      <c r="AHG248" s="504"/>
      <c r="AHH248" s="504"/>
      <c r="AHI248" s="504"/>
      <c r="AHJ248" s="504"/>
      <c r="AHK248" s="504"/>
      <c r="AHL248" s="504"/>
      <c r="AHM248" s="504"/>
      <c r="AHN248" s="504"/>
      <c r="AHO248" s="504"/>
      <c r="AHP248" s="504"/>
      <c r="AHQ248" s="504"/>
      <c r="AHR248" s="504"/>
      <c r="AHS248" s="504"/>
      <c r="AHT248" s="504"/>
      <c r="AHU248" s="504"/>
      <c r="AHV248" s="504"/>
      <c r="AHW248" s="504"/>
      <c r="AHX248" s="504"/>
      <c r="AHY248" s="504"/>
      <c r="AHZ248" s="504"/>
      <c r="AIA248" s="504"/>
      <c r="AIB248" s="504"/>
      <c r="AIC248" s="504"/>
      <c r="AID248" s="504"/>
      <c r="AIE248" s="504"/>
      <c r="AIF248" s="504"/>
      <c r="AIG248" s="504"/>
      <c r="AIH248" s="504"/>
      <c r="AII248" s="504"/>
      <c r="AIJ248" s="504"/>
      <c r="AIK248" s="504"/>
      <c r="AIL248" s="504"/>
      <c r="AIM248" s="504"/>
      <c r="AIN248" s="504"/>
      <c r="AIO248" s="504"/>
      <c r="AIP248" s="504"/>
      <c r="AIQ248" s="504"/>
      <c r="AIR248" s="504"/>
      <c r="AIS248" s="504"/>
      <c r="AIT248" s="504"/>
      <c r="AIU248" s="504"/>
      <c r="AIV248" s="504"/>
      <c r="AIW248" s="504"/>
      <c r="AIX248" s="504"/>
      <c r="AIY248" s="504"/>
      <c r="AIZ248" s="504"/>
      <c r="AJA248" s="504"/>
      <c r="AJB248" s="504"/>
      <c r="AJC248" s="504"/>
      <c r="AJD248" s="504"/>
      <c r="AJE248" s="504"/>
      <c r="AJF248" s="504"/>
      <c r="AJG248" s="504"/>
      <c r="AJH248" s="504"/>
      <c r="AJI248" s="504"/>
      <c r="AJJ248" s="504"/>
      <c r="AJK248" s="504"/>
      <c r="AJL248" s="504"/>
      <c r="AJM248" s="504"/>
      <c r="AJN248" s="504"/>
      <c r="AJO248" s="504"/>
      <c r="AJP248" s="504"/>
      <c r="AJQ248" s="504"/>
      <c r="AJR248" s="504"/>
      <c r="AJS248" s="504"/>
      <c r="AJT248" s="504"/>
      <c r="AJU248" s="504"/>
      <c r="AJV248" s="504"/>
      <c r="AJW248" s="504"/>
      <c r="AJX248" s="504"/>
      <c r="AJY248" s="504"/>
      <c r="AJZ248" s="504"/>
      <c r="AKA248" s="504"/>
      <c r="AKB248" s="504"/>
      <c r="AKC248" s="504"/>
      <c r="AKD248" s="504"/>
      <c r="AKE248" s="504"/>
      <c r="AKF248" s="504"/>
      <c r="AKG248" s="504"/>
      <c r="AKH248" s="504"/>
      <c r="AKI248" s="504"/>
      <c r="AKJ248" s="504"/>
      <c r="AKK248" s="504"/>
      <c r="AKL248" s="504"/>
      <c r="AKM248" s="504"/>
      <c r="AKN248" s="504"/>
      <c r="AKO248" s="504"/>
      <c r="AKP248" s="504"/>
      <c r="AKQ248" s="504"/>
      <c r="AKR248" s="504"/>
      <c r="AKS248" s="504"/>
      <c r="AKT248" s="504"/>
      <c r="AKU248" s="504"/>
      <c r="AKV248" s="504"/>
      <c r="AKW248" s="504"/>
      <c r="AKX248" s="504"/>
      <c r="AKY248" s="504"/>
      <c r="AKZ248" s="504"/>
      <c r="ALA248" s="504"/>
      <c r="ALB248" s="504"/>
      <c r="ALC248" s="504"/>
      <c r="ALD248" s="504"/>
      <c r="ALE248" s="504"/>
      <c r="ALF248" s="504"/>
      <c r="ALG248" s="504"/>
      <c r="ALH248" s="504"/>
      <c r="ALI248" s="504"/>
      <c r="ALJ248" s="504"/>
      <c r="ALK248" s="504"/>
      <c r="ALL248" s="504"/>
      <c r="ALM248" s="504"/>
      <c r="ALN248" s="504"/>
      <c r="ALO248" s="504"/>
      <c r="ALP248" s="504"/>
      <c r="ALQ248" s="504"/>
      <c r="ALR248" s="504"/>
      <c r="ALS248" s="504"/>
      <c r="ALT248" s="504"/>
      <c r="ALU248" s="504"/>
      <c r="ALV248" s="504"/>
      <c r="ALW248" s="504"/>
      <c r="ALX248" s="504"/>
      <c r="ALY248" s="504"/>
      <c r="ALZ248" s="504"/>
      <c r="AMA248" s="504"/>
      <c r="AMB248" s="504"/>
      <c r="AMC248" s="504"/>
      <c r="AMD248" s="504"/>
      <c r="AME248" s="504"/>
      <c r="AMF248" s="504"/>
      <c r="AMG248" s="504"/>
      <c r="AMH248" s="504"/>
      <c r="AMI248" s="504"/>
      <c r="AMJ248" s="504"/>
      <c r="AMK248" s="504"/>
      <c r="AML248" s="504"/>
      <c r="AMM248" s="504"/>
      <c r="AMN248" s="504"/>
      <c r="AMO248" s="504"/>
      <c r="AMP248" s="504"/>
      <c r="AMQ248" s="504"/>
      <c r="AMR248" s="504"/>
      <c r="AMS248" s="504"/>
      <c r="AMT248" s="504"/>
      <c r="AMU248" s="504"/>
      <c r="AMV248" s="504"/>
      <c r="AMW248" s="504"/>
      <c r="AMX248" s="504"/>
      <c r="AMY248" s="504"/>
      <c r="AMZ248" s="504"/>
      <c r="ANA248" s="504"/>
      <c r="ANB248" s="504"/>
      <c r="ANC248" s="504"/>
      <c r="AND248" s="504"/>
      <c r="ANE248" s="504"/>
      <c r="ANF248" s="504"/>
      <c r="ANG248" s="504"/>
      <c r="ANH248" s="504"/>
      <c r="ANI248" s="504"/>
      <c r="ANJ248" s="504"/>
      <c r="ANK248" s="504"/>
      <c r="ANL248" s="504"/>
      <c r="ANM248" s="504"/>
      <c r="ANN248" s="504"/>
      <c r="ANO248" s="504"/>
      <c r="ANP248" s="504"/>
      <c r="ANQ248" s="504"/>
      <c r="ANR248" s="504"/>
      <c r="ANS248" s="504"/>
      <c r="ANT248" s="504"/>
      <c r="ANU248" s="504"/>
      <c r="ANV248" s="504"/>
      <c r="ANW248" s="504"/>
      <c r="ANX248" s="504"/>
      <c r="ANY248" s="504"/>
      <c r="ANZ248" s="504"/>
      <c r="AOA248" s="504"/>
      <c r="AOB248" s="504"/>
      <c r="AOC248" s="504"/>
      <c r="AOD248" s="504"/>
      <c r="AOE248" s="504"/>
      <c r="AOF248" s="504"/>
      <c r="AOG248" s="504"/>
      <c r="AOH248" s="504"/>
      <c r="AOI248" s="504"/>
      <c r="AOJ248" s="504"/>
      <c r="AOK248" s="504"/>
      <c r="AOL248" s="504"/>
      <c r="AOM248" s="504"/>
      <c r="AON248" s="504"/>
      <c r="AOO248" s="504"/>
      <c r="AOP248" s="504"/>
      <c r="AOQ248" s="504"/>
      <c r="AOR248" s="504"/>
      <c r="AOS248" s="504"/>
      <c r="AOT248" s="504"/>
      <c r="AOU248" s="504"/>
      <c r="AOV248" s="504"/>
      <c r="AOW248" s="504"/>
      <c r="AOX248" s="504"/>
      <c r="AOY248" s="504"/>
      <c r="AOZ248" s="504"/>
      <c r="APA248" s="504"/>
      <c r="APB248" s="504"/>
      <c r="APC248" s="504"/>
      <c r="APD248" s="504"/>
      <c r="APE248" s="504"/>
      <c r="APF248" s="504"/>
      <c r="APG248" s="504"/>
      <c r="APH248" s="504"/>
      <c r="API248" s="504"/>
      <c r="APJ248" s="504"/>
      <c r="APK248" s="504"/>
      <c r="APL248" s="504"/>
      <c r="APM248" s="504"/>
      <c r="APN248" s="504"/>
      <c r="APO248" s="504"/>
      <c r="APP248" s="504"/>
      <c r="APQ248" s="504"/>
      <c r="APR248" s="504"/>
      <c r="APS248" s="504"/>
      <c r="APT248" s="504"/>
      <c r="APU248" s="504"/>
      <c r="APV248" s="504"/>
      <c r="APW248" s="504"/>
      <c r="APX248" s="504"/>
      <c r="APY248" s="504"/>
      <c r="APZ248" s="504"/>
      <c r="AQA248" s="504"/>
      <c r="AQB248" s="504"/>
      <c r="AQC248" s="504"/>
      <c r="AQD248" s="504"/>
      <c r="AQE248" s="504"/>
      <c r="AQF248" s="504"/>
      <c r="AQG248" s="504"/>
      <c r="AQH248" s="504"/>
      <c r="AQI248" s="504"/>
      <c r="AQJ248" s="504"/>
      <c r="AQK248" s="504"/>
      <c r="AQL248" s="504"/>
      <c r="AQM248" s="504"/>
      <c r="AQN248" s="504"/>
      <c r="AQO248" s="504"/>
      <c r="AQP248" s="504"/>
      <c r="AQQ248" s="504"/>
      <c r="AQR248" s="504"/>
      <c r="AQS248" s="504"/>
      <c r="AQT248" s="504"/>
      <c r="AQU248" s="504"/>
      <c r="AQV248" s="504"/>
      <c r="AQW248" s="504"/>
      <c r="AQX248" s="504"/>
      <c r="AQY248" s="504"/>
      <c r="AQZ248" s="504"/>
      <c r="ARA248" s="504"/>
      <c r="ARB248" s="504"/>
      <c r="ARC248" s="504"/>
      <c r="ARD248" s="504"/>
      <c r="ARE248" s="504"/>
      <c r="ARF248" s="504"/>
      <c r="ARG248" s="504"/>
      <c r="ARH248" s="504"/>
      <c r="ARI248" s="504"/>
      <c r="ARJ248" s="504"/>
      <c r="ARK248" s="504"/>
      <c r="ARL248" s="504"/>
      <c r="ARM248" s="504"/>
      <c r="ARN248" s="504"/>
      <c r="ARO248" s="504"/>
      <c r="ARP248" s="504"/>
      <c r="ARQ248" s="504"/>
      <c r="ARR248" s="504"/>
      <c r="ARS248" s="504"/>
      <c r="ART248" s="504"/>
      <c r="ARU248" s="504"/>
      <c r="ARV248" s="504"/>
      <c r="ARW248" s="504"/>
      <c r="ARX248" s="504"/>
      <c r="ARY248" s="504"/>
      <c r="ARZ248" s="504"/>
      <c r="ASA248" s="504"/>
      <c r="ASB248" s="504"/>
      <c r="ASC248" s="504"/>
      <c r="ASD248" s="504"/>
      <c r="ASE248" s="504"/>
      <c r="ASF248" s="504"/>
      <c r="ASG248" s="504"/>
      <c r="ASH248" s="504"/>
      <c r="ASI248" s="504"/>
      <c r="ASJ248" s="504"/>
      <c r="ASK248" s="504"/>
      <c r="ASL248" s="504"/>
      <c r="ASM248" s="504"/>
      <c r="ASN248" s="504"/>
      <c r="ASO248" s="504"/>
      <c r="ASP248" s="504"/>
      <c r="ASQ248" s="504"/>
      <c r="ASR248" s="504"/>
      <c r="ASS248" s="504"/>
      <c r="AST248" s="504"/>
      <c r="ASU248" s="504"/>
      <c r="ASV248" s="504"/>
      <c r="ASW248" s="504"/>
      <c r="ASX248" s="504"/>
      <c r="ASY248" s="504"/>
      <c r="ASZ248" s="504"/>
      <c r="ATA248" s="504"/>
      <c r="ATB248" s="504"/>
      <c r="ATC248" s="504"/>
      <c r="ATD248" s="504"/>
      <c r="ATE248" s="504"/>
      <c r="ATF248" s="504"/>
      <c r="ATG248" s="504"/>
      <c r="ATH248" s="504"/>
      <c r="ATI248" s="504"/>
      <c r="ATJ248" s="504"/>
      <c r="ATK248" s="504"/>
      <c r="ATL248" s="504"/>
      <c r="ATM248" s="504"/>
      <c r="ATN248" s="504"/>
      <c r="ATO248" s="504"/>
      <c r="ATP248" s="504"/>
      <c r="ATQ248" s="504"/>
      <c r="ATR248" s="504"/>
      <c r="ATS248" s="504"/>
      <c r="ATT248" s="504"/>
      <c r="ATU248" s="504"/>
      <c r="ATV248" s="504"/>
      <c r="ATW248" s="504"/>
      <c r="ATX248" s="504"/>
      <c r="ATY248" s="504"/>
      <c r="ATZ248" s="504"/>
      <c r="AUA248" s="504"/>
      <c r="AUB248" s="504"/>
      <c r="AUC248" s="504"/>
      <c r="AUD248" s="504"/>
      <c r="AUE248" s="504"/>
      <c r="AUF248" s="504"/>
      <c r="AUG248" s="504"/>
      <c r="AUH248" s="504"/>
      <c r="AUI248" s="504"/>
      <c r="AUJ248" s="504"/>
      <c r="AUK248" s="504"/>
      <c r="AUL248" s="504"/>
      <c r="AUM248" s="504"/>
      <c r="AUN248" s="504"/>
      <c r="AUO248" s="504"/>
      <c r="AUP248" s="504"/>
      <c r="AUQ248" s="504"/>
      <c r="AUR248" s="504"/>
      <c r="AUS248" s="504"/>
      <c r="AUT248" s="504"/>
      <c r="AUU248" s="504"/>
      <c r="AUV248" s="504"/>
      <c r="AUW248" s="504"/>
      <c r="AUX248" s="504"/>
      <c r="AUY248" s="504"/>
      <c r="AUZ248" s="504"/>
      <c r="AVA248" s="504"/>
      <c r="AVB248" s="504"/>
      <c r="AVC248" s="504"/>
      <c r="AVD248" s="504"/>
      <c r="AVE248" s="504"/>
      <c r="AVF248" s="504"/>
      <c r="AVG248" s="504"/>
      <c r="AVH248" s="504"/>
      <c r="AVI248" s="504"/>
      <c r="AVJ248" s="504"/>
      <c r="AVK248" s="504"/>
      <c r="AVL248" s="504"/>
      <c r="AVM248" s="504"/>
      <c r="AVN248" s="504"/>
      <c r="AVO248" s="504"/>
      <c r="AVP248" s="504"/>
      <c r="AVQ248" s="504"/>
      <c r="AVR248" s="504"/>
      <c r="AVS248" s="504"/>
      <c r="AVT248" s="504"/>
      <c r="AVU248" s="504"/>
      <c r="AVV248" s="504"/>
      <c r="AVW248" s="504"/>
      <c r="AVX248" s="504"/>
      <c r="AVY248" s="504"/>
      <c r="AVZ248" s="504"/>
      <c r="AWA248" s="504"/>
      <c r="AWB248" s="504"/>
      <c r="AWC248" s="504"/>
      <c r="AWD248" s="504"/>
      <c r="AWE248" s="504"/>
      <c r="AWF248" s="504"/>
      <c r="AWG248" s="504"/>
      <c r="AWH248" s="504"/>
      <c r="AWI248" s="504"/>
      <c r="AWJ248" s="504"/>
      <c r="AWK248" s="504"/>
      <c r="AWL248" s="504"/>
      <c r="AWM248" s="504"/>
      <c r="AWN248" s="504"/>
      <c r="AWO248" s="504"/>
      <c r="AWP248" s="504"/>
      <c r="AWQ248" s="504"/>
      <c r="AWR248" s="504"/>
      <c r="AWS248" s="504"/>
      <c r="AWT248" s="504"/>
      <c r="AWU248" s="504"/>
      <c r="AWV248" s="504"/>
      <c r="AWW248" s="504"/>
      <c r="AWX248" s="504"/>
      <c r="AWY248" s="504"/>
      <c r="AWZ248" s="504"/>
      <c r="AXA248" s="504"/>
      <c r="AXB248" s="504"/>
      <c r="AXC248" s="504"/>
      <c r="AXD248" s="504"/>
      <c r="AXE248" s="504"/>
      <c r="AXF248" s="504"/>
      <c r="AXG248" s="504"/>
      <c r="AXH248" s="504"/>
      <c r="AXI248" s="504"/>
      <c r="AXJ248" s="504"/>
      <c r="AXK248" s="504"/>
      <c r="AXL248" s="504"/>
      <c r="AXM248" s="504"/>
      <c r="AXN248" s="504"/>
      <c r="AXO248" s="504"/>
      <c r="AXP248" s="504"/>
      <c r="AXQ248" s="504"/>
      <c r="AXR248" s="504"/>
      <c r="AXS248" s="504"/>
      <c r="AXT248" s="504"/>
      <c r="AXU248" s="504"/>
      <c r="AXV248" s="504"/>
      <c r="AXW248" s="504"/>
      <c r="AXX248" s="504"/>
      <c r="AXY248" s="504"/>
      <c r="AXZ248" s="504"/>
      <c r="AYA248" s="504"/>
      <c r="AYB248" s="504"/>
      <c r="AYC248" s="504"/>
      <c r="AYD248" s="504"/>
      <c r="AYE248" s="504"/>
      <c r="AYF248" s="504"/>
      <c r="AYG248" s="504"/>
      <c r="AYH248" s="504"/>
      <c r="AYI248" s="504"/>
      <c r="AYJ248" s="504"/>
      <c r="AYK248" s="504"/>
      <c r="AYL248" s="504"/>
      <c r="AYM248" s="504"/>
      <c r="AYN248" s="504"/>
      <c r="AYO248" s="504"/>
      <c r="AYP248" s="504"/>
      <c r="AYQ248" s="504"/>
      <c r="AYR248" s="504"/>
      <c r="AYS248" s="504"/>
      <c r="AYT248" s="504"/>
      <c r="AYU248" s="504"/>
      <c r="AYV248" s="504"/>
      <c r="AYW248" s="504"/>
      <c r="AYX248" s="504"/>
      <c r="AYY248" s="504"/>
      <c r="AYZ248" s="504"/>
      <c r="AZA248" s="504"/>
      <c r="AZB248" s="504"/>
      <c r="AZC248" s="504"/>
      <c r="AZD248" s="504"/>
      <c r="AZE248" s="504"/>
      <c r="AZF248" s="504"/>
      <c r="AZG248" s="504"/>
      <c r="AZH248" s="504"/>
      <c r="AZI248" s="504"/>
      <c r="AZJ248" s="504"/>
      <c r="AZK248" s="504"/>
      <c r="AZL248" s="504"/>
      <c r="AZM248" s="504"/>
      <c r="AZN248" s="504"/>
      <c r="AZO248" s="504"/>
      <c r="AZP248" s="504"/>
      <c r="AZQ248" s="504"/>
      <c r="AZR248" s="504"/>
      <c r="AZS248" s="504"/>
      <c r="AZT248" s="504"/>
      <c r="AZU248" s="504"/>
      <c r="AZV248" s="504"/>
      <c r="AZW248" s="504"/>
      <c r="AZX248" s="504"/>
      <c r="AZY248" s="504"/>
      <c r="AZZ248" s="504"/>
      <c r="BAA248" s="504"/>
      <c r="BAB248" s="504"/>
      <c r="BAC248" s="504"/>
      <c r="BAD248" s="504"/>
      <c r="BAE248" s="504"/>
      <c r="BAF248" s="504"/>
      <c r="BAG248" s="504"/>
      <c r="BAH248" s="504"/>
      <c r="BAI248" s="504"/>
      <c r="BAJ248" s="504"/>
      <c r="BAK248" s="504"/>
      <c r="BAL248" s="504"/>
      <c r="BAM248" s="504"/>
      <c r="BAN248" s="504"/>
      <c r="BAO248" s="504"/>
      <c r="BAP248" s="504"/>
      <c r="BAQ248" s="504"/>
      <c r="BAR248" s="504"/>
      <c r="BAS248" s="504"/>
      <c r="BAT248" s="504"/>
      <c r="BAU248" s="504"/>
      <c r="BAV248" s="504"/>
      <c r="BAW248" s="504"/>
      <c r="BAX248" s="504"/>
      <c r="BAY248" s="504"/>
      <c r="BAZ248" s="504"/>
      <c r="BBA248" s="504"/>
      <c r="BBB248" s="504"/>
      <c r="BBC248" s="504"/>
      <c r="BBD248" s="504"/>
      <c r="BBE248" s="504"/>
      <c r="BBF248" s="504"/>
      <c r="BBG248" s="504"/>
      <c r="BBH248" s="504"/>
      <c r="BBI248" s="504"/>
      <c r="BBJ248" s="504"/>
      <c r="BBK248" s="504"/>
      <c r="BBL248" s="504"/>
      <c r="BBM248" s="504"/>
      <c r="BBN248" s="504"/>
      <c r="BBO248" s="504"/>
      <c r="BBP248" s="504"/>
      <c r="BBQ248" s="504"/>
      <c r="BBR248" s="504"/>
      <c r="BBS248" s="504"/>
      <c r="BBT248" s="504"/>
      <c r="BBU248" s="504"/>
      <c r="BBV248" s="504"/>
      <c r="BBW248" s="504"/>
      <c r="BBX248" s="504"/>
      <c r="BBY248" s="504"/>
      <c r="BBZ248" s="504"/>
      <c r="BCA248" s="504"/>
      <c r="BCB248" s="504"/>
      <c r="BCC248" s="504"/>
      <c r="BCD248" s="504"/>
      <c r="BCE248" s="504"/>
      <c r="BCF248" s="504"/>
      <c r="BCG248" s="504"/>
      <c r="BCH248" s="504"/>
      <c r="BCI248" s="504"/>
      <c r="BCJ248" s="504"/>
      <c r="BCK248" s="504"/>
      <c r="BCL248" s="504"/>
      <c r="BCM248" s="504"/>
      <c r="BCN248" s="504"/>
      <c r="BCO248" s="504"/>
      <c r="BCP248" s="504"/>
      <c r="BCQ248" s="504"/>
      <c r="BCR248" s="504"/>
      <c r="BCS248" s="504"/>
      <c r="BCT248" s="504"/>
      <c r="BCU248" s="504"/>
      <c r="BCV248" s="504"/>
      <c r="BCW248" s="504"/>
      <c r="BCX248" s="504"/>
      <c r="BCY248" s="504"/>
      <c r="BCZ248" s="504"/>
      <c r="BDA248" s="504"/>
      <c r="BDB248" s="504"/>
      <c r="BDC248" s="504"/>
      <c r="BDD248" s="504"/>
      <c r="BDE248" s="504"/>
      <c r="BDF248" s="504"/>
      <c r="BDG248" s="504"/>
      <c r="BDH248" s="504"/>
      <c r="BDI248" s="504"/>
      <c r="BDJ248" s="504"/>
      <c r="BDK248" s="504"/>
      <c r="BDL248" s="504"/>
      <c r="BDM248" s="504"/>
      <c r="BDN248" s="504"/>
      <c r="BDO248" s="504"/>
      <c r="BDP248" s="504"/>
      <c r="BDQ248" s="504"/>
      <c r="BDR248" s="504"/>
      <c r="BDS248" s="504"/>
      <c r="BDT248" s="504"/>
      <c r="BDU248" s="504"/>
      <c r="BDV248" s="504"/>
      <c r="BDW248" s="504"/>
      <c r="BDX248" s="504"/>
      <c r="BDY248" s="504"/>
      <c r="BDZ248" s="504"/>
      <c r="BEA248" s="504"/>
      <c r="BEB248" s="504"/>
      <c r="BEC248" s="504"/>
      <c r="BED248" s="504"/>
      <c r="BEE248" s="504"/>
      <c r="BEF248" s="504"/>
      <c r="BEG248" s="504"/>
      <c r="BEH248" s="504"/>
      <c r="BEI248" s="504"/>
      <c r="BEJ248" s="504"/>
      <c r="BEK248" s="504"/>
      <c r="BEL248" s="504"/>
      <c r="BEM248" s="504"/>
      <c r="BEN248" s="504"/>
      <c r="BEO248" s="504"/>
      <c r="BEP248" s="504"/>
      <c r="BEQ248" s="504"/>
      <c r="BER248" s="504"/>
      <c r="BES248" s="504"/>
      <c r="BET248" s="504"/>
      <c r="BEU248" s="504"/>
      <c r="BEV248" s="504"/>
      <c r="BEW248" s="504"/>
      <c r="BEX248" s="504"/>
      <c r="BEY248" s="504"/>
      <c r="BEZ248" s="504"/>
      <c r="BFA248" s="504"/>
      <c r="BFB248" s="504"/>
      <c r="BFC248" s="504"/>
      <c r="BFD248" s="504"/>
      <c r="BFE248" s="504"/>
      <c r="BFF248" s="504"/>
      <c r="BFG248" s="504"/>
      <c r="BFH248" s="504"/>
      <c r="BFI248" s="504"/>
      <c r="BFJ248" s="504"/>
      <c r="BFK248" s="504"/>
      <c r="BFL248" s="504"/>
      <c r="BFM248" s="504"/>
      <c r="BFN248" s="504"/>
      <c r="BFO248" s="504"/>
      <c r="BFP248" s="504"/>
      <c r="BFQ248" s="504"/>
      <c r="BFR248" s="504"/>
      <c r="BFS248" s="504"/>
      <c r="BFT248" s="504"/>
      <c r="BFU248" s="504"/>
      <c r="BFV248" s="504"/>
      <c r="BFW248" s="504"/>
      <c r="BFX248" s="504"/>
      <c r="BFY248" s="504"/>
      <c r="BFZ248" s="504"/>
      <c r="BGA248" s="504"/>
      <c r="BGB248" s="504"/>
      <c r="BGC248" s="504"/>
      <c r="BGD248" s="504"/>
      <c r="BGE248" s="504"/>
      <c r="BGF248" s="504"/>
      <c r="BGG248" s="504"/>
      <c r="BGH248" s="504"/>
      <c r="BGI248" s="504"/>
      <c r="BGJ248" s="504"/>
      <c r="BGK248" s="504"/>
      <c r="BGL248" s="504"/>
      <c r="BGM248" s="504"/>
      <c r="BGN248" s="504"/>
      <c r="BGO248" s="504"/>
      <c r="BGP248" s="504"/>
      <c r="BGQ248" s="504"/>
      <c r="BGR248" s="504"/>
      <c r="BGS248" s="504"/>
      <c r="BGT248" s="504"/>
      <c r="BGU248" s="504"/>
      <c r="BGV248" s="504"/>
      <c r="BGW248" s="504"/>
      <c r="BGX248" s="504"/>
      <c r="BGY248" s="504"/>
      <c r="BGZ248" s="504"/>
      <c r="BHA248" s="504"/>
      <c r="BHB248" s="504"/>
      <c r="BHC248" s="504"/>
      <c r="BHD248" s="504"/>
      <c r="BHE248" s="504"/>
      <c r="BHF248" s="504"/>
      <c r="BHG248" s="504"/>
      <c r="BHH248" s="504"/>
      <c r="BHI248" s="504"/>
      <c r="BHJ248" s="504"/>
      <c r="BHK248" s="504"/>
      <c r="BHL248" s="504"/>
      <c r="BHM248" s="504"/>
      <c r="BHN248" s="504"/>
      <c r="BHO248" s="504"/>
      <c r="BHP248" s="504"/>
      <c r="BHQ248" s="504"/>
      <c r="BHR248" s="504"/>
      <c r="BHS248" s="504"/>
      <c r="BHT248" s="504"/>
      <c r="BHU248" s="504"/>
      <c r="BHV248" s="504"/>
      <c r="BHW248" s="504"/>
      <c r="BHX248" s="504"/>
      <c r="BHY248" s="504"/>
      <c r="BHZ248" s="504"/>
      <c r="BIA248" s="504"/>
      <c r="BIB248" s="504"/>
      <c r="BIC248" s="504"/>
      <c r="BID248" s="504"/>
      <c r="BIE248" s="504"/>
      <c r="BIF248" s="504"/>
      <c r="BIG248" s="504"/>
      <c r="BIH248" s="504"/>
      <c r="BII248" s="504"/>
      <c r="BIJ248" s="504"/>
      <c r="BIK248" s="504"/>
      <c r="BIL248" s="504"/>
      <c r="BIM248" s="504"/>
      <c r="BIN248" s="504"/>
      <c r="BIO248" s="504"/>
      <c r="BIP248" s="504"/>
      <c r="BIQ248" s="504"/>
      <c r="BIR248" s="504"/>
      <c r="BIS248" s="504"/>
      <c r="BIT248" s="504"/>
      <c r="BIU248" s="504"/>
      <c r="BIV248" s="504"/>
      <c r="BIW248" s="504"/>
      <c r="BIX248" s="504"/>
      <c r="BIY248" s="504"/>
      <c r="BIZ248" s="504"/>
      <c r="BJA248" s="504"/>
      <c r="BJB248" s="504"/>
      <c r="BJC248" s="504"/>
      <c r="BJD248" s="504"/>
      <c r="BJE248" s="504"/>
      <c r="BJF248" s="504"/>
      <c r="BJG248" s="504"/>
      <c r="BJH248" s="504"/>
      <c r="BJI248" s="504"/>
      <c r="BJJ248" s="504"/>
      <c r="BJK248" s="504"/>
      <c r="BJL248" s="504"/>
      <c r="BJM248" s="504"/>
      <c r="BJN248" s="504"/>
      <c r="BJO248" s="504"/>
      <c r="BJP248" s="504"/>
      <c r="BJQ248" s="504"/>
      <c r="BJR248" s="504"/>
      <c r="BJS248" s="504"/>
      <c r="BJT248" s="504"/>
      <c r="BJU248" s="504"/>
      <c r="BJV248" s="504"/>
      <c r="BJW248" s="504"/>
      <c r="BJX248" s="504"/>
      <c r="BJY248" s="504"/>
      <c r="BJZ248" s="504"/>
      <c r="BKA248" s="504"/>
      <c r="BKB248" s="504"/>
      <c r="BKC248" s="504"/>
      <c r="BKD248" s="504"/>
      <c r="BKE248" s="504"/>
      <c r="BKF248" s="504"/>
      <c r="BKG248" s="504"/>
      <c r="BKH248" s="504"/>
      <c r="BKI248" s="504"/>
      <c r="BKJ248" s="504"/>
      <c r="BKK248" s="504"/>
      <c r="BKL248" s="504"/>
      <c r="BKM248" s="504"/>
      <c r="BKN248" s="504"/>
      <c r="BKO248" s="504"/>
      <c r="BKP248" s="504"/>
      <c r="BKQ248" s="504"/>
      <c r="BKR248" s="504"/>
      <c r="BKS248" s="504"/>
      <c r="BKT248" s="504"/>
      <c r="BKU248" s="504"/>
      <c r="BKV248" s="504"/>
      <c r="BKW248" s="504"/>
      <c r="BKX248" s="504"/>
      <c r="BKY248" s="504"/>
      <c r="BKZ248" s="504"/>
      <c r="BLA248" s="504"/>
      <c r="BLB248" s="504"/>
      <c r="BLC248" s="504"/>
      <c r="BLD248" s="504"/>
      <c r="BLE248" s="504"/>
      <c r="BLF248" s="504"/>
      <c r="BLG248" s="504"/>
      <c r="BLH248" s="504"/>
      <c r="BLI248" s="504"/>
      <c r="BLJ248" s="504"/>
      <c r="BLK248" s="504"/>
      <c r="BLL248" s="504"/>
      <c r="BLM248" s="504"/>
      <c r="BLN248" s="504"/>
      <c r="BLO248" s="504"/>
      <c r="BLP248" s="504"/>
      <c r="BLQ248" s="504"/>
      <c r="BLR248" s="504"/>
      <c r="BLS248" s="504"/>
      <c r="BLT248" s="504"/>
      <c r="BLU248" s="504"/>
      <c r="BLV248" s="504"/>
      <c r="BLW248" s="504"/>
      <c r="BLX248" s="504"/>
      <c r="BLY248" s="504"/>
      <c r="BLZ248" s="504"/>
      <c r="BMA248" s="504"/>
      <c r="BMB248" s="504"/>
      <c r="BMC248" s="504"/>
      <c r="BMD248" s="504"/>
      <c r="BME248" s="504"/>
      <c r="BMF248" s="504"/>
      <c r="BMG248" s="504"/>
      <c r="BMH248" s="504"/>
      <c r="BMI248" s="504"/>
      <c r="BMJ248" s="504"/>
      <c r="BMK248" s="504"/>
      <c r="BML248" s="504"/>
      <c r="BMM248" s="504"/>
      <c r="BMN248" s="504"/>
      <c r="BMO248" s="504"/>
      <c r="BMP248" s="504"/>
      <c r="BMQ248" s="504"/>
      <c r="BMR248" s="504"/>
      <c r="BMS248" s="504"/>
      <c r="BMT248" s="504"/>
      <c r="BMU248" s="504"/>
      <c r="BMV248" s="504"/>
      <c r="BMW248" s="504"/>
      <c r="BMX248" s="504"/>
      <c r="BMY248" s="504"/>
      <c r="BMZ248" s="504"/>
      <c r="BNA248" s="504"/>
      <c r="BNB248" s="504"/>
      <c r="BNC248" s="504"/>
      <c r="BND248" s="504"/>
      <c r="BNE248" s="504"/>
      <c r="BNF248" s="504"/>
      <c r="BNG248" s="504"/>
      <c r="BNH248" s="504"/>
      <c r="BNI248" s="504"/>
      <c r="BNJ248" s="504"/>
      <c r="BNK248" s="504"/>
      <c r="BNL248" s="504"/>
      <c r="BNM248" s="504"/>
      <c r="BNN248" s="504"/>
      <c r="BNO248" s="504"/>
      <c r="BNP248" s="504"/>
      <c r="BNQ248" s="504"/>
      <c r="BNR248" s="504"/>
      <c r="BNS248" s="504"/>
      <c r="BNT248" s="504"/>
      <c r="BNU248" s="504"/>
      <c r="BNV248" s="504"/>
      <c r="BNW248" s="504"/>
      <c r="BNX248" s="504"/>
      <c r="BNY248" s="504"/>
      <c r="BNZ248" s="504"/>
      <c r="BOA248" s="504"/>
      <c r="BOB248" s="504"/>
      <c r="BOC248" s="504"/>
      <c r="BOD248" s="504"/>
      <c r="BOE248" s="504"/>
      <c r="BOF248" s="504"/>
      <c r="BOG248" s="504"/>
      <c r="BOH248" s="504"/>
      <c r="BOI248" s="504"/>
      <c r="BOJ248" s="504"/>
      <c r="BOK248" s="504"/>
      <c r="BOL248" s="504"/>
      <c r="BOM248" s="504"/>
      <c r="BON248" s="504"/>
      <c r="BOO248" s="504"/>
      <c r="BOP248" s="504"/>
      <c r="BOQ248" s="504"/>
      <c r="BOR248" s="504"/>
      <c r="BOS248" s="504"/>
      <c r="BOT248" s="504"/>
      <c r="BOU248" s="504"/>
      <c r="BOV248" s="504"/>
      <c r="BOW248" s="504"/>
      <c r="BOX248" s="504"/>
      <c r="BOY248" s="504"/>
      <c r="BOZ248" s="504"/>
      <c r="BPA248" s="504"/>
      <c r="BPB248" s="504"/>
      <c r="BPC248" s="504"/>
      <c r="BPD248" s="504"/>
      <c r="BPE248" s="504"/>
      <c r="BPF248" s="504"/>
      <c r="BPG248" s="504"/>
      <c r="BPH248" s="504"/>
      <c r="BPI248" s="504"/>
      <c r="BPJ248" s="504"/>
      <c r="BPK248" s="504"/>
      <c r="BPL248" s="504"/>
      <c r="BPM248" s="504"/>
      <c r="BPN248" s="504"/>
      <c r="BPO248" s="504"/>
      <c r="BPP248" s="504"/>
      <c r="BPQ248" s="504"/>
      <c r="BPR248" s="504"/>
      <c r="BPS248" s="504"/>
      <c r="BPT248" s="504"/>
      <c r="BPU248" s="504"/>
      <c r="BPV248" s="504"/>
      <c r="BPW248" s="504"/>
      <c r="BPX248" s="504"/>
      <c r="BPY248" s="504"/>
      <c r="BPZ248" s="504"/>
      <c r="BQA248" s="504"/>
      <c r="BQB248" s="504"/>
      <c r="BQC248" s="504"/>
      <c r="BQD248" s="504"/>
      <c r="BQE248" s="504"/>
      <c r="BQF248" s="504"/>
      <c r="BQG248" s="504"/>
      <c r="BQH248" s="504"/>
      <c r="BQI248" s="504"/>
      <c r="BQJ248" s="504"/>
      <c r="BQK248" s="504"/>
      <c r="BQL248" s="504"/>
      <c r="BQM248" s="504"/>
      <c r="BQN248" s="504"/>
      <c r="BQO248" s="504"/>
      <c r="BQP248" s="504"/>
      <c r="BQQ248" s="504"/>
      <c r="BQR248" s="504"/>
      <c r="BQS248" s="504"/>
      <c r="BQT248" s="504"/>
      <c r="BQU248" s="504"/>
      <c r="BQV248" s="504"/>
      <c r="BQW248" s="504"/>
      <c r="BQX248" s="504"/>
      <c r="BQY248" s="504"/>
      <c r="BQZ248" s="504"/>
      <c r="BRA248" s="504"/>
      <c r="BRB248" s="504"/>
      <c r="BRC248" s="504"/>
      <c r="BRD248" s="504"/>
      <c r="BRE248" s="504"/>
      <c r="BRF248" s="504"/>
      <c r="BRG248" s="504"/>
      <c r="BRH248" s="504"/>
      <c r="BRI248" s="504"/>
      <c r="BRJ248" s="504"/>
      <c r="BRK248" s="504"/>
      <c r="BRL248" s="504"/>
      <c r="BRM248" s="504"/>
      <c r="BRN248" s="504"/>
      <c r="BRO248" s="504"/>
      <c r="BRP248" s="504"/>
      <c r="BRQ248" s="504"/>
      <c r="BRR248" s="504"/>
      <c r="BRS248" s="504"/>
      <c r="BRT248" s="504"/>
      <c r="BRU248" s="504"/>
      <c r="BRV248" s="504"/>
      <c r="BRW248" s="504"/>
      <c r="BRX248" s="504"/>
      <c r="BRY248" s="504"/>
      <c r="BRZ248" s="504"/>
      <c r="BSA248" s="504"/>
      <c r="BSB248" s="504"/>
      <c r="BSC248" s="504"/>
      <c r="BSD248" s="504"/>
      <c r="BSE248" s="504"/>
      <c r="BSF248" s="504"/>
      <c r="BSG248" s="504"/>
      <c r="BSH248" s="504"/>
      <c r="BSI248" s="504"/>
      <c r="BSJ248" s="504"/>
      <c r="BSK248" s="504"/>
      <c r="BSL248" s="504"/>
      <c r="BSM248" s="504"/>
      <c r="BSN248" s="504"/>
      <c r="BSO248" s="504"/>
      <c r="BSP248" s="504"/>
      <c r="BSQ248" s="504"/>
      <c r="BSR248" s="504"/>
      <c r="BSS248" s="504"/>
      <c r="BST248" s="504"/>
      <c r="BSU248" s="504"/>
      <c r="BSV248" s="504"/>
      <c r="BSW248" s="504"/>
      <c r="BSX248" s="504"/>
      <c r="BSY248" s="504"/>
      <c r="BSZ248" s="504"/>
      <c r="BTA248" s="504"/>
      <c r="BTB248" s="504"/>
      <c r="BTC248" s="504"/>
      <c r="BTD248" s="504"/>
      <c r="BTE248" s="504"/>
      <c r="BTF248" s="504"/>
      <c r="BTG248" s="504"/>
      <c r="BTH248" s="504"/>
      <c r="BTI248" s="504"/>
    </row>
    <row r="249" spans="1:1881" s="503" customFormat="1" ht="90" x14ac:dyDescent="0.25">
      <c r="A249" s="473">
        <v>952</v>
      </c>
      <c r="B249" s="469"/>
      <c r="C249" s="470"/>
      <c r="D249" s="476" t="s">
        <v>1214</v>
      </c>
      <c r="E249" s="472" t="s">
        <v>956</v>
      </c>
      <c r="F249" s="768"/>
      <c r="G249" s="583" t="str">
        <f t="shared" si="3"/>
        <v>Please do not leave blank</v>
      </c>
      <c r="H249" s="505"/>
      <c r="I249"/>
      <c r="J249"/>
      <c r="K249"/>
      <c r="L249"/>
      <c r="M249"/>
      <c r="N249"/>
      <c r="O249"/>
      <c r="P249" s="504"/>
      <c r="Q249" s="504"/>
      <c r="R249" s="504"/>
      <c r="S249" s="504"/>
      <c r="T249" s="504"/>
      <c r="U249" s="504"/>
      <c r="V249" s="504"/>
      <c r="W249" s="504"/>
      <c r="X249" s="504"/>
      <c r="Y249" s="504"/>
      <c r="Z249" s="504"/>
      <c r="AA249" s="504"/>
      <c r="AB249" s="504"/>
      <c r="AC249" s="504"/>
      <c r="AD249" s="504"/>
      <c r="AE249" s="504"/>
      <c r="AF249" s="504"/>
      <c r="AG249" s="504"/>
      <c r="AH249" s="504"/>
      <c r="AI249" s="504"/>
      <c r="AJ249" s="504"/>
      <c r="AK249" s="504"/>
      <c r="AL249" s="504"/>
      <c r="AM249" s="504"/>
      <c r="AN249" s="504"/>
      <c r="AO249" s="504"/>
      <c r="AP249" s="504"/>
      <c r="AQ249" s="504"/>
      <c r="AR249" s="504"/>
      <c r="AS249" s="504"/>
      <c r="AT249" s="504"/>
      <c r="AU249" s="504"/>
      <c r="AV249" s="504"/>
      <c r="AW249" s="504"/>
      <c r="AX249" s="504"/>
      <c r="AY249" s="504"/>
      <c r="AZ249" s="504"/>
      <c r="BA249" s="504"/>
      <c r="BB249" s="504"/>
      <c r="BC249" s="504"/>
      <c r="BD249" s="504"/>
      <c r="BE249" s="504"/>
      <c r="BF249" s="504"/>
      <c r="BG249" s="504"/>
      <c r="BH249" s="504"/>
      <c r="BI249" s="504"/>
      <c r="BJ249" s="504"/>
      <c r="BK249" s="504"/>
      <c r="BL249" s="504"/>
      <c r="BM249" s="504"/>
      <c r="BN249" s="504"/>
      <c r="BO249" s="504"/>
      <c r="BP249" s="504"/>
      <c r="BQ249" s="504"/>
      <c r="BR249" s="504"/>
      <c r="BS249" s="504"/>
      <c r="BT249" s="504"/>
      <c r="BU249" s="504"/>
      <c r="BV249" s="504"/>
      <c r="BW249" s="504"/>
      <c r="BX249" s="504"/>
      <c r="BY249" s="504"/>
      <c r="BZ249" s="504"/>
      <c r="CA249" s="504"/>
      <c r="CB249" s="504"/>
      <c r="CC249" s="504"/>
      <c r="CD249" s="504"/>
      <c r="CE249" s="504"/>
      <c r="CF249" s="504"/>
      <c r="CG249" s="504"/>
      <c r="CH249" s="504"/>
      <c r="CI249" s="504"/>
      <c r="CJ249" s="504"/>
      <c r="CK249" s="504"/>
      <c r="CL249" s="504"/>
      <c r="CM249" s="504"/>
      <c r="CN249" s="504"/>
      <c r="CO249" s="504"/>
      <c r="CP249" s="504"/>
      <c r="CQ249" s="504"/>
      <c r="CR249" s="504"/>
      <c r="CS249" s="504"/>
      <c r="CT249" s="504"/>
      <c r="CU249" s="504"/>
      <c r="CV249" s="504"/>
      <c r="CW249" s="504"/>
      <c r="CX249" s="504"/>
      <c r="CY249" s="504"/>
      <c r="CZ249" s="504"/>
      <c r="DA249" s="504"/>
      <c r="DB249" s="504"/>
      <c r="DC249" s="504"/>
      <c r="DD249" s="504"/>
      <c r="DE249" s="504"/>
      <c r="DF249" s="504"/>
      <c r="DG249" s="504"/>
      <c r="DH249" s="504"/>
      <c r="DI249" s="504"/>
      <c r="DJ249" s="504"/>
      <c r="DK249" s="504"/>
      <c r="DL249" s="504"/>
      <c r="DM249" s="504"/>
      <c r="DN249" s="504"/>
      <c r="DO249" s="504"/>
      <c r="DP249" s="504"/>
      <c r="DQ249" s="504"/>
      <c r="DR249" s="504"/>
      <c r="DS249" s="504"/>
      <c r="DT249" s="504"/>
      <c r="DU249" s="504"/>
      <c r="DV249" s="504"/>
      <c r="DW249" s="504"/>
      <c r="DX249" s="504"/>
      <c r="DY249" s="504"/>
      <c r="DZ249" s="504"/>
      <c r="EA249" s="504"/>
      <c r="EB249" s="504"/>
      <c r="EC249" s="504"/>
      <c r="ED249" s="504"/>
      <c r="EE249" s="504"/>
      <c r="EF249" s="504"/>
      <c r="EG249" s="504"/>
      <c r="EH249" s="504"/>
      <c r="EI249" s="504"/>
      <c r="EJ249" s="504"/>
      <c r="EK249" s="504"/>
      <c r="EL249" s="504"/>
      <c r="EM249" s="504"/>
      <c r="EN249" s="504"/>
      <c r="EO249" s="504"/>
      <c r="EP249" s="504"/>
      <c r="EQ249" s="504"/>
      <c r="ER249" s="504"/>
      <c r="ES249" s="504"/>
      <c r="ET249" s="504"/>
      <c r="EU249" s="504"/>
      <c r="EV249" s="504"/>
      <c r="EW249" s="504"/>
      <c r="EX249" s="504"/>
      <c r="EY249" s="504"/>
      <c r="EZ249" s="504"/>
      <c r="FA249" s="504"/>
      <c r="FB249" s="504"/>
      <c r="FC249" s="504"/>
      <c r="FD249" s="504"/>
      <c r="FE249" s="504"/>
      <c r="FF249" s="504"/>
      <c r="FG249" s="504"/>
      <c r="FH249" s="504"/>
      <c r="FI249" s="504"/>
      <c r="FJ249" s="504"/>
      <c r="FK249" s="504"/>
      <c r="FL249" s="504"/>
      <c r="FM249" s="504"/>
      <c r="FN249" s="504"/>
      <c r="FO249" s="504"/>
      <c r="FP249" s="504"/>
      <c r="FQ249" s="504"/>
      <c r="FR249" s="504"/>
      <c r="FS249" s="504"/>
      <c r="FT249" s="504"/>
      <c r="FU249" s="504"/>
      <c r="FV249" s="504"/>
      <c r="FW249" s="504"/>
      <c r="FX249" s="504"/>
      <c r="FY249" s="504"/>
      <c r="FZ249" s="504"/>
      <c r="GA249" s="504"/>
      <c r="GB249" s="504"/>
      <c r="GC249" s="504"/>
      <c r="GD249" s="504"/>
      <c r="GE249" s="504"/>
      <c r="GF249" s="504"/>
      <c r="GG249" s="504"/>
      <c r="GH249" s="504"/>
      <c r="GI249" s="504"/>
      <c r="GJ249" s="504"/>
      <c r="GK249" s="504"/>
      <c r="GL249" s="504"/>
      <c r="GM249" s="504"/>
      <c r="GN249" s="504"/>
      <c r="GO249" s="504"/>
      <c r="GP249" s="504"/>
      <c r="GQ249" s="504"/>
      <c r="GR249" s="504"/>
      <c r="GS249" s="504"/>
      <c r="GT249" s="504"/>
      <c r="GU249" s="504"/>
      <c r="GV249" s="504"/>
      <c r="GW249" s="504"/>
      <c r="GX249" s="504"/>
      <c r="GY249" s="504"/>
      <c r="GZ249" s="504"/>
      <c r="HA249" s="504"/>
      <c r="HB249" s="504"/>
      <c r="HC249" s="504"/>
      <c r="HD249" s="504"/>
      <c r="HE249" s="504"/>
      <c r="HF249" s="504"/>
      <c r="HG249" s="504"/>
      <c r="HH249" s="504"/>
      <c r="HI249" s="504"/>
      <c r="HJ249" s="504"/>
      <c r="HK249" s="504"/>
      <c r="HL249" s="504"/>
      <c r="HM249" s="504"/>
      <c r="HN249" s="504"/>
      <c r="HO249" s="504"/>
      <c r="HP249" s="504"/>
      <c r="HQ249" s="504"/>
      <c r="HR249" s="504"/>
      <c r="HS249" s="504"/>
      <c r="HT249" s="504"/>
      <c r="HU249" s="504"/>
      <c r="HV249" s="504"/>
      <c r="HW249" s="504"/>
      <c r="HX249" s="504"/>
      <c r="HY249" s="504"/>
      <c r="HZ249" s="504"/>
      <c r="IA249" s="504"/>
      <c r="IB249" s="504"/>
      <c r="IC249" s="504"/>
      <c r="ID249" s="504"/>
      <c r="IE249" s="504"/>
      <c r="IF249" s="504"/>
      <c r="IG249" s="504"/>
      <c r="IH249" s="504"/>
      <c r="II249" s="504"/>
      <c r="IJ249" s="504"/>
      <c r="IK249" s="504"/>
      <c r="IL249" s="504"/>
      <c r="IM249" s="504"/>
      <c r="IN249" s="504"/>
      <c r="IO249" s="504"/>
      <c r="IP249" s="504"/>
      <c r="IQ249" s="504"/>
      <c r="IR249" s="504"/>
      <c r="IS249" s="504"/>
      <c r="IT249" s="504"/>
      <c r="IU249" s="504"/>
      <c r="IV249" s="504"/>
      <c r="IW249" s="504"/>
      <c r="IX249" s="504"/>
      <c r="IY249" s="504"/>
      <c r="IZ249" s="504"/>
      <c r="JA249" s="504"/>
      <c r="JB249" s="504"/>
      <c r="JC249" s="504"/>
      <c r="JD249" s="504"/>
      <c r="JE249" s="504"/>
      <c r="JF249" s="504"/>
      <c r="JG249" s="504"/>
      <c r="JH249" s="504"/>
      <c r="JI249" s="504"/>
      <c r="JJ249" s="504"/>
      <c r="JK249" s="504"/>
      <c r="JL249" s="504"/>
      <c r="JM249" s="504"/>
      <c r="JN249" s="504"/>
      <c r="JO249" s="504"/>
      <c r="JP249" s="504"/>
      <c r="JQ249" s="504"/>
      <c r="JR249" s="504"/>
      <c r="JS249" s="504"/>
      <c r="JT249" s="504"/>
      <c r="JU249" s="504"/>
      <c r="JV249" s="504"/>
      <c r="JW249" s="504"/>
      <c r="JX249" s="504"/>
      <c r="JY249" s="504"/>
      <c r="JZ249" s="504"/>
      <c r="KA249" s="504"/>
      <c r="KB249" s="504"/>
      <c r="KC249" s="504"/>
      <c r="KD249" s="504"/>
      <c r="KE249" s="504"/>
      <c r="KF249" s="504"/>
      <c r="KG249" s="504"/>
      <c r="KH249" s="504"/>
      <c r="KI249" s="504"/>
      <c r="KJ249" s="504"/>
      <c r="KK249" s="504"/>
      <c r="KL249" s="504"/>
      <c r="KM249" s="504"/>
      <c r="KN249" s="504"/>
      <c r="KO249" s="504"/>
      <c r="KP249" s="504"/>
      <c r="KQ249" s="504"/>
      <c r="KR249" s="504"/>
      <c r="KS249" s="504"/>
      <c r="KT249" s="504"/>
      <c r="KU249" s="504"/>
      <c r="KV249" s="504"/>
      <c r="KW249" s="504"/>
      <c r="KX249" s="504"/>
      <c r="KY249" s="504"/>
      <c r="KZ249" s="504"/>
      <c r="LA249" s="504"/>
      <c r="LB249" s="504"/>
      <c r="LC249" s="504"/>
      <c r="LD249" s="504"/>
      <c r="LE249" s="504"/>
      <c r="LF249" s="504"/>
      <c r="LG249" s="504"/>
      <c r="LH249" s="504"/>
      <c r="LI249" s="504"/>
      <c r="LJ249" s="504"/>
      <c r="LK249" s="504"/>
      <c r="LL249" s="504"/>
      <c r="LM249" s="504"/>
      <c r="LN249" s="504"/>
      <c r="LO249" s="504"/>
      <c r="LP249" s="504"/>
      <c r="LQ249" s="504"/>
      <c r="LR249" s="504"/>
      <c r="LS249" s="504"/>
      <c r="LT249" s="504"/>
      <c r="LU249" s="504"/>
      <c r="LV249" s="504"/>
      <c r="LW249" s="504"/>
      <c r="LX249" s="504"/>
      <c r="LY249" s="504"/>
      <c r="LZ249" s="504"/>
      <c r="MA249" s="504"/>
      <c r="MB249" s="504"/>
      <c r="MC249" s="504"/>
      <c r="MD249" s="504"/>
      <c r="ME249" s="504"/>
      <c r="MF249" s="504"/>
      <c r="MG249" s="504"/>
      <c r="MH249" s="504"/>
      <c r="MI249" s="504"/>
      <c r="MJ249" s="504"/>
      <c r="MK249" s="504"/>
      <c r="ML249" s="504"/>
      <c r="MM249" s="504"/>
      <c r="MN249" s="504"/>
      <c r="MO249" s="504"/>
      <c r="MP249" s="504"/>
      <c r="MQ249" s="504"/>
      <c r="MR249" s="504"/>
      <c r="MS249" s="504"/>
      <c r="MT249" s="504"/>
      <c r="MU249" s="504"/>
      <c r="MV249" s="504"/>
      <c r="MW249" s="504"/>
      <c r="MX249" s="504"/>
      <c r="MY249" s="504"/>
      <c r="MZ249" s="504"/>
      <c r="NA249" s="504"/>
      <c r="NB249" s="504"/>
      <c r="NC249" s="504"/>
      <c r="ND249" s="504"/>
      <c r="NE249" s="504"/>
      <c r="NF249" s="504"/>
      <c r="NG249" s="504"/>
      <c r="NH249" s="504"/>
      <c r="NI249" s="504"/>
      <c r="NJ249" s="504"/>
      <c r="NK249" s="504"/>
      <c r="NL249" s="504"/>
      <c r="NM249" s="504"/>
      <c r="NN249" s="504"/>
      <c r="NO249" s="504"/>
      <c r="NP249" s="504"/>
      <c r="NQ249" s="504"/>
      <c r="NR249" s="504"/>
      <c r="NS249" s="504"/>
      <c r="NT249" s="504"/>
      <c r="NU249" s="504"/>
      <c r="NV249" s="504"/>
      <c r="NW249" s="504"/>
      <c r="NX249" s="504"/>
      <c r="NY249" s="504"/>
      <c r="NZ249" s="504"/>
      <c r="OA249" s="504"/>
      <c r="OB249" s="504"/>
      <c r="OC249" s="504"/>
      <c r="OD249" s="504"/>
      <c r="OE249" s="504"/>
      <c r="OF249" s="504"/>
      <c r="OG249" s="504"/>
      <c r="OH249" s="504"/>
      <c r="OI249" s="504"/>
      <c r="OJ249" s="504"/>
      <c r="OK249" s="504"/>
      <c r="OL249" s="504"/>
      <c r="OM249" s="504"/>
      <c r="ON249" s="504"/>
      <c r="OO249" s="504"/>
      <c r="OP249" s="504"/>
      <c r="OQ249" s="504"/>
      <c r="OR249" s="504"/>
      <c r="OS249" s="504"/>
      <c r="OT249" s="504"/>
      <c r="OU249" s="504"/>
      <c r="OV249" s="504"/>
      <c r="OW249" s="504"/>
      <c r="OX249" s="504"/>
      <c r="OY249" s="504"/>
      <c r="OZ249" s="504"/>
      <c r="PA249" s="504"/>
      <c r="PB249" s="504"/>
      <c r="PC249" s="504"/>
      <c r="PD249" s="504"/>
      <c r="PE249" s="504"/>
      <c r="PF249" s="504"/>
      <c r="PG249" s="504"/>
      <c r="PH249" s="504"/>
      <c r="PI249" s="504"/>
      <c r="PJ249" s="504"/>
      <c r="PK249" s="504"/>
      <c r="PL249" s="504"/>
      <c r="PM249" s="504"/>
      <c r="PN249" s="504"/>
      <c r="PO249" s="504"/>
      <c r="PP249" s="504"/>
      <c r="PQ249" s="504"/>
      <c r="PR249" s="504"/>
      <c r="PS249" s="504"/>
      <c r="PT249" s="504"/>
      <c r="PU249" s="504"/>
      <c r="PV249" s="504"/>
      <c r="PW249" s="504"/>
      <c r="PX249" s="504"/>
      <c r="PY249" s="504"/>
      <c r="PZ249" s="504"/>
      <c r="QA249" s="504"/>
      <c r="QB249" s="504"/>
      <c r="QC249" s="504"/>
      <c r="QD249" s="504"/>
      <c r="QE249" s="504"/>
      <c r="QF249" s="504"/>
      <c r="QG249" s="504"/>
      <c r="QH249" s="504"/>
      <c r="QI249" s="504"/>
      <c r="QJ249" s="504"/>
      <c r="QK249" s="504"/>
      <c r="QL249" s="504"/>
      <c r="QM249" s="504"/>
      <c r="QN249" s="504"/>
      <c r="QO249" s="504"/>
      <c r="QP249" s="504"/>
      <c r="QQ249" s="504"/>
      <c r="QR249" s="504"/>
      <c r="QS249" s="504"/>
      <c r="QT249" s="504"/>
      <c r="QU249" s="504"/>
      <c r="QV249" s="504"/>
      <c r="QW249" s="504"/>
      <c r="QX249" s="504"/>
      <c r="QY249" s="504"/>
      <c r="QZ249" s="504"/>
      <c r="RA249" s="504"/>
      <c r="RB249" s="504"/>
      <c r="RC249" s="504"/>
      <c r="RD249" s="504"/>
      <c r="RE249" s="504"/>
      <c r="RF249" s="504"/>
      <c r="RG249" s="504"/>
      <c r="RH249" s="504"/>
      <c r="RI249" s="504"/>
      <c r="RJ249" s="504"/>
      <c r="RK249" s="504"/>
      <c r="RL249" s="504"/>
      <c r="RM249" s="504"/>
      <c r="RN249" s="504"/>
      <c r="RO249" s="504"/>
      <c r="RP249" s="504"/>
      <c r="RQ249" s="504"/>
      <c r="RR249" s="504"/>
      <c r="RS249" s="504"/>
      <c r="RT249" s="504"/>
      <c r="RU249" s="504"/>
      <c r="RV249" s="504"/>
      <c r="RW249" s="504"/>
      <c r="RX249" s="504"/>
      <c r="RY249" s="504"/>
      <c r="RZ249" s="504"/>
      <c r="SA249" s="504"/>
      <c r="SB249" s="504"/>
      <c r="SC249" s="504"/>
      <c r="SD249" s="504"/>
      <c r="SE249" s="504"/>
      <c r="SF249" s="504"/>
      <c r="SG249" s="504"/>
      <c r="SH249" s="504"/>
      <c r="SI249" s="504"/>
      <c r="SJ249" s="504"/>
      <c r="SK249" s="504"/>
      <c r="SL249" s="504"/>
      <c r="SM249" s="504"/>
      <c r="SN249" s="504"/>
      <c r="SO249" s="504"/>
      <c r="SP249" s="504"/>
      <c r="SQ249" s="504"/>
      <c r="SR249" s="504"/>
      <c r="SS249" s="504"/>
      <c r="ST249" s="504"/>
      <c r="SU249" s="504"/>
      <c r="SV249" s="504"/>
      <c r="SW249" s="504"/>
      <c r="SX249" s="504"/>
      <c r="SY249" s="504"/>
      <c r="SZ249" s="504"/>
      <c r="TA249" s="504"/>
      <c r="TB249" s="504"/>
      <c r="TC249" s="504"/>
      <c r="TD249" s="504"/>
      <c r="TE249" s="504"/>
      <c r="TF249" s="504"/>
      <c r="TG249" s="504"/>
      <c r="TH249" s="504"/>
      <c r="TI249" s="504"/>
      <c r="TJ249" s="504"/>
      <c r="TK249" s="504"/>
      <c r="TL249" s="504"/>
      <c r="TM249" s="504"/>
      <c r="TN249" s="504"/>
      <c r="TO249" s="504"/>
      <c r="TP249" s="504"/>
      <c r="TQ249" s="504"/>
      <c r="TR249" s="504"/>
      <c r="TS249" s="504"/>
      <c r="TT249" s="504"/>
      <c r="TU249" s="504"/>
      <c r="TV249" s="504"/>
      <c r="TW249" s="504"/>
      <c r="TX249" s="504"/>
      <c r="TY249" s="504"/>
      <c r="TZ249" s="504"/>
      <c r="UA249" s="504"/>
      <c r="UB249" s="504"/>
      <c r="UC249" s="504"/>
      <c r="UD249" s="504"/>
      <c r="UE249" s="504"/>
      <c r="UF249" s="504"/>
      <c r="UG249" s="504"/>
      <c r="UH249" s="504"/>
      <c r="UI249" s="504"/>
      <c r="UJ249" s="504"/>
      <c r="UK249" s="504"/>
      <c r="UL249" s="504"/>
      <c r="UM249" s="504"/>
      <c r="UN249" s="504"/>
      <c r="UO249" s="504"/>
      <c r="UP249" s="504"/>
      <c r="UQ249" s="504"/>
      <c r="UR249" s="504"/>
      <c r="US249" s="504"/>
      <c r="UT249" s="504"/>
      <c r="UU249" s="504"/>
      <c r="UV249" s="504"/>
      <c r="UW249" s="504"/>
      <c r="UX249" s="504"/>
      <c r="UY249" s="504"/>
      <c r="UZ249" s="504"/>
      <c r="VA249" s="504"/>
      <c r="VB249" s="504"/>
      <c r="VC249" s="504"/>
      <c r="VD249" s="504"/>
      <c r="VE249" s="504"/>
      <c r="VF249" s="504"/>
      <c r="VG249" s="504"/>
      <c r="VH249" s="504"/>
      <c r="VI249" s="504"/>
      <c r="VJ249" s="504"/>
      <c r="VK249" s="504"/>
      <c r="VL249" s="504"/>
      <c r="VM249" s="504"/>
      <c r="VN249" s="504"/>
      <c r="VO249" s="504"/>
      <c r="VP249" s="504"/>
      <c r="VQ249" s="504"/>
      <c r="VR249" s="504"/>
      <c r="VS249" s="504"/>
      <c r="VT249" s="504"/>
      <c r="VU249" s="504"/>
      <c r="VV249" s="504"/>
      <c r="VW249" s="504"/>
      <c r="VX249" s="504"/>
      <c r="VY249" s="504"/>
      <c r="VZ249" s="504"/>
      <c r="WA249" s="504"/>
      <c r="WB249" s="504"/>
      <c r="WC249" s="504"/>
      <c r="WD249" s="504"/>
      <c r="WE249" s="504"/>
      <c r="WF249" s="504"/>
      <c r="WG249" s="504"/>
      <c r="WH249" s="504"/>
      <c r="WI249" s="504"/>
      <c r="WJ249" s="504"/>
      <c r="WK249" s="504"/>
      <c r="WL249" s="504"/>
      <c r="WM249" s="504"/>
      <c r="WN249" s="504"/>
      <c r="WO249" s="504"/>
      <c r="WP249" s="504"/>
      <c r="WQ249" s="504"/>
      <c r="WR249" s="504"/>
      <c r="WS249" s="504"/>
      <c r="WT249" s="504"/>
      <c r="WU249" s="504"/>
      <c r="WV249" s="504"/>
      <c r="WW249" s="504"/>
      <c r="WX249" s="504"/>
      <c r="WY249" s="504"/>
      <c r="WZ249" s="504"/>
      <c r="XA249" s="504"/>
      <c r="XB249" s="504"/>
      <c r="XC249" s="504"/>
      <c r="XD249" s="504"/>
      <c r="XE249" s="504"/>
      <c r="XF249" s="504"/>
      <c r="XG249" s="504"/>
      <c r="XH249" s="504"/>
      <c r="XI249" s="504"/>
      <c r="XJ249" s="504"/>
      <c r="XK249" s="504"/>
      <c r="XL249" s="504"/>
      <c r="XM249" s="504"/>
      <c r="XN249" s="504"/>
      <c r="XO249" s="504"/>
      <c r="XP249" s="504"/>
      <c r="XQ249" s="504"/>
      <c r="XR249" s="504"/>
      <c r="XS249" s="504"/>
      <c r="XT249" s="504"/>
      <c r="XU249" s="504"/>
      <c r="XV249" s="504"/>
      <c r="XW249" s="504"/>
      <c r="XX249" s="504"/>
      <c r="XY249" s="504"/>
      <c r="XZ249" s="504"/>
      <c r="YA249" s="504"/>
      <c r="YB249" s="504"/>
      <c r="YC249" s="504"/>
      <c r="YD249" s="504"/>
      <c r="YE249" s="504"/>
      <c r="YF249" s="504"/>
      <c r="YG249" s="504"/>
      <c r="YH249" s="504"/>
      <c r="YI249" s="504"/>
      <c r="YJ249" s="504"/>
      <c r="YK249" s="504"/>
      <c r="YL249" s="504"/>
      <c r="YM249" s="504"/>
      <c r="YN249" s="504"/>
      <c r="YO249" s="504"/>
      <c r="YP249" s="504"/>
      <c r="YQ249" s="504"/>
      <c r="YR249" s="504"/>
      <c r="YS249" s="504"/>
      <c r="YT249" s="504"/>
      <c r="YU249" s="504"/>
      <c r="YV249" s="504"/>
      <c r="YW249" s="504"/>
      <c r="YX249" s="504"/>
      <c r="YY249" s="504"/>
      <c r="YZ249" s="504"/>
      <c r="ZA249" s="504"/>
      <c r="ZB249" s="504"/>
      <c r="ZC249" s="504"/>
      <c r="ZD249" s="504"/>
      <c r="ZE249" s="504"/>
      <c r="ZF249" s="504"/>
      <c r="ZG249" s="504"/>
      <c r="ZH249" s="504"/>
      <c r="ZI249" s="504"/>
      <c r="ZJ249" s="504"/>
      <c r="ZK249" s="504"/>
      <c r="ZL249" s="504"/>
      <c r="ZM249" s="504"/>
      <c r="ZN249" s="504"/>
      <c r="ZO249" s="504"/>
      <c r="ZP249" s="504"/>
      <c r="ZQ249" s="504"/>
      <c r="ZR249" s="504"/>
      <c r="ZS249" s="504"/>
      <c r="ZT249" s="504"/>
      <c r="ZU249" s="504"/>
      <c r="ZV249" s="504"/>
      <c r="ZW249" s="504"/>
      <c r="ZX249" s="504"/>
      <c r="ZY249" s="504"/>
      <c r="ZZ249" s="504"/>
      <c r="AAA249" s="504"/>
      <c r="AAB249" s="504"/>
      <c r="AAC249" s="504"/>
      <c r="AAD249" s="504"/>
      <c r="AAE249" s="504"/>
      <c r="AAF249" s="504"/>
      <c r="AAG249" s="504"/>
      <c r="AAH249" s="504"/>
      <c r="AAI249" s="504"/>
      <c r="AAJ249" s="504"/>
      <c r="AAK249" s="504"/>
      <c r="AAL249" s="504"/>
      <c r="AAM249" s="504"/>
      <c r="AAN249" s="504"/>
      <c r="AAO249" s="504"/>
      <c r="AAP249" s="504"/>
      <c r="AAQ249" s="504"/>
      <c r="AAR249" s="504"/>
      <c r="AAS249" s="504"/>
      <c r="AAT249" s="504"/>
      <c r="AAU249" s="504"/>
      <c r="AAV249" s="504"/>
      <c r="AAW249" s="504"/>
      <c r="AAX249" s="504"/>
      <c r="AAY249" s="504"/>
      <c r="AAZ249" s="504"/>
      <c r="ABA249" s="504"/>
      <c r="ABB249" s="504"/>
      <c r="ABC249" s="504"/>
      <c r="ABD249" s="504"/>
      <c r="ABE249" s="504"/>
      <c r="ABF249" s="504"/>
      <c r="ABG249" s="504"/>
      <c r="ABH249" s="504"/>
      <c r="ABI249" s="504"/>
      <c r="ABJ249" s="504"/>
      <c r="ABK249" s="504"/>
      <c r="ABL249" s="504"/>
      <c r="ABM249" s="504"/>
      <c r="ABN249" s="504"/>
      <c r="ABO249" s="504"/>
      <c r="ABP249" s="504"/>
      <c r="ABQ249" s="504"/>
      <c r="ABR249" s="504"/>
      <c r="ABS249" s="504"/>
      <c r="ABT249" s="504"/>
      <c r="ABU249" s="504"/>
      <c r="ABV249" s="504"/>
      <c r="ABW249" s="504"/>
      <c r="ABX249" s="504"/>
      <c r="ABY249" s="504"/>
      <c r="ABZ249" s="504"/>
      <c r="ACA249" s="504"/>
      <c r="ACB249" s="504"/>
      <c r="ACC249" s="504"/>
      <c r="ACD249" s="504"/>
      <c r="ACE249" s="504"/>
      <c r="ACF249" s="504"/>
      <c r="ACG249" s="504"/>
      <c r="ACH249" s="504"/>
      <c r="ACI249" s="504"/>
      <c r="ACJ249" s="504"/>
      <c r="ACK249" s="504"/>
      <c r="ACL249" s="504"/>
      <c r="ACM249" s="504"/>
      <c r="ACN249" s="504"/>
      <c r="ACO249" s="504"/>
      <c r="ACP249" s="504"/>
      <c r="ACQ249" s="504"/>
      <c r="ACR249" s="504"/>
      <c r="ACS249" s="504"/>
      <c r="ACT249" s="504"/>
      <c r="ACU249" s="504"/>
      <c r="ACV249" s="504"/>
      <c r="ACW249" s="504"/>
      <c r="ACX249" s="504"/>
      <c r="ACY249" s="504"/>
      <c r="ACZ249" s="504"/>
      <c r="ADA249" s="504"/>
      <c r="ADB249" s="504"/>
      <c r="ADC249" s="504"/>
      <c r="ADD249" s="504"/>
      <c r="ADE249" s="504"/>
      <c r="ADF249" s="504"/>
      <c r="ADG249" s="504"/>
      <c r="ADH249" s="504"/>
      <c r="ADI249" s="504"/>
      <c r="ADJ249" s="504"/>
      <c r="ADK249" s="504"/>
      <c r="ADL249" s="504"/>
      <c r="ADM249" s="504"/>
      <c r="ADN249" s="504"/>
      <c r="ADO249" s="504"/>
      <c r="ADP249" s="504"/>
      <c r="ADQ249" s="504"/>
      <c r="ADR249" s="504"/>
      <c r="ADS249" s="504"/>
      <c r="ADT249" s="504"/>
      <c r="ADU249" s="504"/>
      <c r="ADV249" s="504"/>
      <c r="ADW249" s="504"/>
      <c r="ADX249" s="504"/>
      <c r="ADY249" s="504"/>
      <c r="ADZ249" s="504"/>
      <c r="AEA249" s="504"/>
      <c r="AEB249" s="504"/>
      <c r="AEC249" s="504"/>
      <c r="AED249" s="504"/>
      <c r="AEE249" s="504"/>
      <c r="AEF249" s="504"/>
      <c r="AEG249" s="504"/>
      <c r="AEH249" s="504"/>
      <c r="AEI249" s="504"/>
      <c r="AEJ249" s="504"/>
      <c r="AEK249" s="504"/>
      <c r="AEL249" s="504"/>
      <c r="AEM249" s="504"/>
      <c r="AEN249" s="504"/>
      <c r="AEO249" s="504"/>
      <c r="AEP249" s="504"/>
      <c r="AEQ249" s="504"/>
      <c r="AER249" s="504"/>
      <c r="AES249" s="504"/>
      <c r="AET249" s="504"/>
      <c r="AEU249" s="504"/>
      <c r="AEV249" s="504"/>
      <c r="AEW249" s="504"/>
      <c r="AEX249" s="504"/>
      <c r="AEY249" s="504"/>
      <c r="AEZ249" s="504"/>
      <c r="AFA249" s="504"/>
      <c r="AFB249" s="504"/>
      <c r="AFC249" s="504"/>
      <c r="AFD249" s="504"/>
      <c r="AFE249" s="504"/>
      <c r="AFF249" s="504"/>
      <c r="AFG249" s="504"/>
      <c r="AFH249" s="504"/>
      <c r="AFI249" s="504"/>
      <c r="AFJ249" s="504"/>
      <c r="AFK249" s="504"/>
      <c r="AFL249" s="504"/>
      <c r="AFM249" s="504"/>
      <c r="AFN249" s="504"/>
      <c r="AFO249" s="504"/>
      <c r="AFP249" s="504"/>
      <c r="AFQ249" s="504"/>
      <c r="AFR249" s="504"/>
      <c r="AFS249" s="504"/>
      <c r="AFT249" s="504"/>
      <c r="AFU249" s="504"/>
      <c r="AFV249" s="504"/>
      <c r="AFW249" s="504"/>
      <c r="AFX249" s="504"/>
      <c r="AFY249" s="504"/>
      <c r="AFZ249" s="504"/>
      <c r="AGA249" s="504"/>
      <c r="AGB249" s="504"/>
      <c r="AGC249" s="504"/>
      <c r="AGD249" s="504"/>
      <c r="AGE249" s="504"/>
      <c r="AGF249" s="504"/>
      <c r="AGG249" s="504"/>
      <c r="AGH249" s="504"/>
      <c r="AGI249" s="504"/>
      <c r="AGJ249" s="504"/>
      <c r="AGK249" s="504"/>
      <c r="AGL249" s="504"/>
      <c r="AGM249" s="504"/>
      <c r="AGN249" s="504"/>
      <c r="AGO249" s="504"/>
      <c r="AGP249" s="504"/>
      <c r="AGQ249" s="504"/>
      <c r="AGR249" s="504"/>
      <c r="AGS249" s="504"/>
      <c r="AGT249" s="504"/>
      <c r="AGU249" s="504"/>
      <c r="AGV249" s="504"/>
      <c r="AGW249" s="504"/>
      <c r="AGX249" s="504"/>
      <c r="AGY249" s="504"/>
      <c r="AGZ249" s="504"/>
      <c r="AHA249" s="504"/>
      <c r="AHB249" s="504"/>
      <c r="AHC249" s="504"/>
      <c r="AHD249" s="504"/>
      <c r="AHE249" s="504"/>
      <c r="AHF249" s="504"/>
      <c r="AHG249" s="504"/>
      <c r="AHH249" s="504"/>
      <c r="AHI249" s="504"/>
      <c r="AHJ249" s="504"/>
      <c r="AHK249" s="504"/>
      <c r="AHL249" s="504"/>
      <c r="AHM249" s="504"/>
      <c r="AHN249" s="504"/>
      <c r="AHO249" s="504"/>
      <c r="AHP249" s="504"/>
      <c r="AHQ249" s="504"/>
      <c r="AHR249" s="504"/>
      <c r="AHS249" s="504"/>
      <c r="AHT249" s="504"/>
      <c r="AHU249" s="504"/>
      <c r="AHV249" s="504"/>
      <c r="AHW249" s="504"/>
      <c r="AHX249" s="504"/>
      <c r="AHY249" s="504"/>
      <c r="AHZ249" s="504"/>
      <c r="AIA249" s="504"/>
      <c r="AIB249" s="504"/>
      <c r="AIC249" s="504"/>
      <c r="AID249" s="504"/>
      <c r="AIE249" s="504"/>
      <c r="AIF249" s="504"/>
      <c r="AIG249" s="504"/>
      <c r="AIH249" s="504"/>
      <c r="AII249" s="504"/>
      <c r="AIJ249" s="504"/>
      <c r="AIK249" s="504"/>
      <c r="AIL249" s="504"/>
      <c r="AIM249" s="504"/>
      <c r="AIN249" s="504"/>
      <c r="AIO249" s="504"/>
      <c r="AIP249" s="504"/>
      <c r="AIQ249" s="504"/>
      <c r="AIR249" s="504"/>
      <c r="AIS249" s="504"/>
      <c r="AIT249" s="504"/>
      <c r="AIU249" s="504"/>
      <c r="AIV249" s="504"/>
      <c r="AIW249" s="504"/>
      <c r="AIX249" s="504"/>
      <c r="AIY249" s="504"/>
      <c r="AIZ249" s="504"/>
      <c r="AJA249" s="504"/>
      <c r="AJB249" s="504"/>
      <c r="AJC249" s="504"/>
      <c r="AJD249" s="504"/>
      <c r="AJE249" s="504"/>
      <c r="AJF249" s="504"/>
      <c r="AJG249" s="504"/>
      <c r="AJH249" s="504"/>
      <c r="AJI249" s="504"/>
      <c r="AJJ249" s="504"/>
      <c r="AJK249" s="504"/>
      <c r="AJL249" s="504"/>
      <c r="AJM249" s="504"/>
      <c r="AJN249" s="504"/>
      <c r="AJO249" s="504"/>
      <c r="AJP249" s="504"/>
      <c r="AJQ249" s="504"/>
      <c r="AJR249" s="504"/>
      <c r="AJS249" s="504"/>
      <c r="AJT249" s="504"/>
      <c r="AJU249" s="504"/>
      <c r="AJV249" s="504"/>
      <c r="AJW249" s="504"/>
      <c r="AJX249" s="504"/>
      <c r="AJY249" s="504"/>
      <c r="AJZ249" s="504"/>
      <c r="AKA249" s="504"/>
      <c r="AKB249" s="504"/>
      <c r="AKC249" s="504"/>
      <c r="AKD249" s="504"/>
      <c r="AKE249" s="504"/>
      <c r="AKF249" s="504"/>
      <c r="AKG249" s="504"/>
      <c r="AKH249" s="504"/>
      <c r="AKI249" s="504"/>
      <c r="AKJ249" s="504"/>
      <c r="AKK249" s="504"/>
      <c r="AKL249" s="504"/>
      <c r="AKM249" s="504"/>
      <c r="AKN249" s="504"/>
      <c r="AKO249" s="504"/>
      <c r="AKP249" s="504"/>
      <c r="AKQ249" s="504"/>
      <c r="AKR249" s="504"/>
      <c r="AKS249" s="504"/>
      <c r="AKT249" s="504"/>
      <c r="AKU249" s="504"/>
      <c r="AKV249" s="504"/>
      <c r="AKW249" s="504"/>
      <c r="AKX249" s="504"/>
      <c r="AKY249" s="504"/>
      <c r="AKZ249" s="504"/>
      <c r="ALA249" s="504"/>
      <c r="ALB249" s="504"/>
      <c r="ALC249" s="504"/>
      <c r="ALD249" s="504"/>
      <c r="ALE249" s="504"/>
      <c r="ALF249" s="504"/>
      <c r="ALG249" s="504"/>
      <c r="ALH249" s="504"/>
      <c r="ALI249" s="504"/>
      <c r="ALJ249" s="504"/>
      <c r="ALK249" s="504"/>
      <c r="ALL249" s="504"/>
      <c r="ALM249" s="504"/>
      <c r="ALN249" s="504"/>
      <c r="ALO249" s="504"/>
      <c r="ALP249" s="504"/>
      <c r="ALQ249" s="504"/>
      <c r="ALR249" s="504"/>
      <c r="ALS249" s="504"/>
      <c r="ALT249" s="504"/>
      <c r="ALU249" s="504"/>
      <c r="ALV249" s="504"/>
      <c r="ALW249" s="504"/>
      <c r="ALX249" s="504"/>
      <c r="ALY249" s="504"/>
      <c r="ALZ249" s="504"/>
      <c r="AMA249" s="504"/>
      <c r="AMB249" s="504"/>
      <c r="AMC249" s="504"/>
      <c r="AMD249" s="504"/>
      <c r="AME249" s="504"/>
      <c r="AMF249" s="504"/>
      <c r="AMG249" s="504"/>
      <c r="AMH249" s="504"/>
      <c r="AMI249" s="504"/>
      <c r="AMJ249" s="504"/>
      <c r="AMK249" s="504"/>
      <c r="AML249" s="504"/>
      <c r="AMM249" s="504"/>
      <c r="AMN249" s="504"/>
      <c r="AMO249" s="504"/>
      <c r="AMP249" s="504"/>
      <c r="AMQ249" s="504"/>
      <c r="AMR249" s="504"/>
      <c r="AMS249" s="504"/>
      <c r="AMT249" s="504"/>
      <c r="AMU249" s="504"/>
      <c r="AMV249" s="504"/>
      <c r="AMW249" s="504"/>
      <c r="AMX249" s="504"/>
      <c r="AMY249" s="504"/>
      <c r="AMZ249" s="504"/>
      <c r="ANA249" s="504"/>
      <c r="ANB249" s="504"/>
      <c r="ANC249" s="504"/>
      <c r="AND249" s="504"/>
      <c r="ANE249" s="504"/>
      <c r="ANF249" s="504"/>
      <c r="ANG249" s="504"/>
      <c r="ANH249" s="504"/>
      <c r="ANI249" s="504"/>
      <c r="ANJ249" s="504"/>
      <c r="ANK249" s="504"/>
      <c r="ANL249" s="504"/>
      <c r="ANM249" s="504"/>
      <c r="ANN249" s="504"/>
      <c r="ANO249" s="504"/>
      <c r="ANP249" s="504"/>
      <c r="ANQ249" s="504"/>
      <c r="ANR249" s="504"/>
      <c r="ANS249" s="504"/>
      <c r="ANT249" s="504"/>
      <c r="ANU249" s="504"/>
      <c r="ANV249" s="504"/>
      <c r="ANW249" s="504"/>
      <c r="ANX249" s="504"/>
      <c r="ANY249" s="504"/>
      <c r="ANZ249" s="504"/>
      <c r="AOA249" s="504"/>
      <c r="AOB249" s="504"/>
      <c r="AOC249" s="504"/>
      <c r="AOD249" s="504"/>
      <c r="AOE249" s="504"/>
      <c r="AOF249" s="504"/>
      <c r="AOG249" s="504"/>
      <c r="AOH249" s="504"/>
      <c r="AOI249" s="504"/>
      <c r="AOJ249" s="504"/>
      <c r="AOK249" s="504"/>
      <c r="AOL249" s="504"/>
      <c r="AOM249" s="504"/>
      <c r="AON249" s="504"/>
      <c r="AOO249" s="504"/>
      <c r="AOP249" s="504"/>
      <c r="AOQ249" s="504"/>
      <c r="AOR249" s="504"/>
      <c r="AOS249" s="504"/>
      <c r="AOT249" s="504"/>
      <c r="AOU249" s="504"/>
      <c r="AOV249" s="504"/>
      <c r="AOW249" s="504"/>
      <c r="AOX249" s="504"/>
      <c r="AOY249" s="504"/>
      <c r="AOZ249" s="504"/>
      <c r="APA249" s="504"/>
      <c r="APB249" s="504"/>
      <c r="APC249" s="504"/>
      <c r="APD249" s="504"/>
      <c r="APE249" s="504"/>
      <c r="APF249" s="504"/>
      <c r="APG249" s="504"/>
      <c r="APH249" s="504"/>
      <c r="API249" s="504"/>
      <c r="APJ249" s="504"/>
      <c r="APK249" s="504"/>
      <c r="APL249" s="504"/>
      <c r="APM249" s="504"/>
      <c r="APN249" s="504"/>
      <c r="APO249" s="504"/>
      <c r="APP249" s="504"/>
      <c r="APQ249" s="504"/>
      <c r="APR249" s="504"/>
      <c r="APS249" s="504"/>
      <c r="APT249" s="504"/>
      <c r="APU249" s="504"/>
      <c r="APV249" s="504"/>
      <c r="APW249" s="504"/>
      <c r="APX249" s="504"/>
      <c r="APY249" s="504"/>
      <c r="APZ249" s="504"/>
      <c r="AQA249" s="504"/>
      <c r="AQB249" s="504"/>
      <c r="AQC249" s="504"/>
      <c r="AQD249" s="504"/>
      <c r="AQE249" s="504"/>
      <c r="AQF249" s="504"/>
      <c r="AQG249" s="504"/>
      <c r="AQH249" s="504"/>
      <c r="AQI249" s="504"/>
      <c r="AQJ249" s="504"/>
      <c r="AQK249" s="504"/>
      <c r="AQL249" s="504"/>
      <c r="AQM249" s="504"/>
      <c r="AQN249" s="504"/>
      <c r="AQO249" s="504"/>
      <c r="AQP249" s="504"/>
      <c r="AQQ249" s="504"/>
      <c r="AQR249" s="504"/>
      <c r="AQS249" s="504"/>
      <c r="AQT249" s="504"/>
      <c r="AQU249" s="504"/>
      <c r="AQV249" s="504"/>
      <c r="AQW249" s="504"/>
      <c r="AQX249" s="504"/>
      <c r="AQY249" s="504"/>
      <c r="AQZ249" s="504"/>
      <c r="ARA249" s="504"/>
      <c r="ARB249" s="504"/>
      <c r="ARC249" s="504"/>
      <c r="ARD249" s="504"/>
      <c r="ARE249" s="504"/>
      <c r="ARF249" s="504"/>
      <c r="ARG249" s="504"/>
      <c r="ARH249" s="504"/>
      <c r="ARI249" s="504"/>
      <c r="ARJ249" s="504"/>
      <c r="ARK249" s="504"/>
      <c r="ARL249" s="504"/>
      <c r="ARM249" s="504"/>
      <c r="ARN249" s="504"/>
      <c r="ARO249" s="504"/>
      <c r="ARP249" s="504"/>
      <c r="ARQ249" s="504"/>
      <c r="ARR249" s="504"/>
      <c r="ARS249" s="504"/>
      <c r="ART249" s="504"/>
      <c r="ARU249" s="504"/>
      <c r="ARV249" s="504"/>
      <c r="ARW249" s="504"/>
      <c r="ARX249" s="504"/>
      <c r="ARY249" s="504"/>
      <c r="ARZ249" s="504"/>
      <c r="ASA249" s="504"/>
      <c r="ASB249" s="504"/>
      <c r="ASC249" s="504"/>
      <c r="ASD249" s="504"/>
      <c r="ASE249" s="504"/>
      <c r="ASF249" s="504"/>
      <c r="ASG249" s="504"/>
      <c r="ASH249" s="504"/>
      <c r="ASI249" s="504"/>
      <c r="ASJ249" s="504"/>
      <c r="ASK249" s="504"/>
      <c r="ASL249" s="504"/>
      <c r="ASM249" s="504"/>
      <c r="ASN249" s="504"/>
      <c r="ASO249" s="504"/>
      <c r="ASP249" s="504"/>
      <c r="ASQ249" s="504"/>
      <c r="ASR249" s="504"/>
      <c r="ASS249" s="504"/>
      <c r="AST249" s="504"/>
      <c r="ASU249" s="504"/>
      <c r="ASV249" s="504"/>
      <c r="ASW249" s="504"/>
      <c r="ASX249" s="504"/>
      <c r="ASY249" s="504"/>
      <c r="ASZ249" s="504"/>
      <c r="ATA249" s="504"/>
      <c r="ATB249" s="504"/>
      <c r="ATC249" s="504"/>
      <c r="ATD249" s="504"/>
      <c r="ATE249" s="504"/>
      <c r="ATF249" s="504"/>
      <c r="ATG249" s="504"/>
      <c r="ATH249" s="504"/>
      <c r="ATI249" s="504"/>
      <c r="ATJ249" s="504"/>
      <c r="ATK249" s="504"/>
      <c r="ATL249" s="504"/>
      <c r="ATM249" s="504"/>
      <c r="ATN249" s="504"/>
      <c r="ATO249" s="504"/>
      <c r="ATP249" s="504"/>
      <c r="ATQ249" s="504"/>
      <c r="ATR249" s="504"/>
      <c r="ATS249" s="504"/>
      <c r="ATT249" s="504"/>
      <c r="ATU249" s="504"/>
      <c r="ATV249" s="504"/>
      <c r="ATW249" s="504"/>
      <c r="ATX249" s="504"/>
      <c r="ATY249" s="504"/>
      <c r="ATZ249" s="504"/>
      <c r="AUA249" s="504"/>
      <c r="AUB249" s="504"/>
      <c r="AUC249" s="504"/>
      <c r="AUD249" s="504"/>
      <c r="AUE249" s="504"/>
      <c r="AUF249" s="504"/>
      <c r="AUG249" s="504"/>
      <c r="AUH249" s="504"/>
      <c r="AUI249" s="504"/>
      <c r="AUJ249" s="504"/>
      <c r="AUK249" s="504"/>
      <c r="AUL249" s="504"/>
      <c r="AUM249" s="504"/>
      <c r="AUN249" s="504"/>
      <c r="AUO249" s="504"/>
      <c r="AUP249" s="504"/>
      <c r="AUQ249" s="504"/>
      <c r="AUR249" s="504"/>
      <c r="AUS249" s="504"/>
      <c r="AUT249" s="504"/>
      <c r="AUU249" s="504"/>
      <c r="AUV249" s="504"/>
      <c r="AUW249" s="504"/>
      <c r="AUX249" s="504"/>
      <c r="AUY249" s="504"/>
      <c r="AUZ249" s="504"/>
      <c r="AVA249" s="504"/>
      <c r="AVB249" s="504"/>
      <c r="AVC249" s="504"/>
      <c r="AVD249" s="504"/>
      <c r="AVE249" s="504"/>
      <c r="AVF249" s="504"/>
      <c r="AVG249" s="504"/>
      <c r="AVH249" s="504"/>
      <c r="AVI249" s="504"/>
      <c r="AVJ249" s="504"/>
      <c r="AVK249" s="504"/>
      <c r="AVL249" s="504"/>
      <c r="AVM249" s="504"/>
      <c r="AVN249" s="504"/>
      <c r="AVO249" s="504"/>
      <c r="AVP249" s="504"/>
      <c r="AVQ249" s="504"/>
      <c r="AVR249" s="504"/>
      <c r="AVS249" s="504"/>
      <c r="AVT249" s="504"/>
      <c r="AVU249" s="504"/>
      <c r="AVV249" s="504"/>
      <c r="AVW249" s="504"/>
      <c r="AVX249" s="504"/>
      <c r="AVY249" s="504"/>
      <c r="AVZ249" s="504"/>
      <c r="AWA249" s="504"/>
      <c r="AWB249" s="504"/>
      <c r="AWC249" s="504"/>
      <c r="AWD249" s="504"/>
      <c r="AWE249" s="504"/>
      <c r="AWF249" s="504"/>
      <c r="AWG249" s="504"/>
      <c r="AWH249" s="504"/>
      <c r="AWI249" s="504"/>
      <c r="AWJ249" s="504"/>
      <c r="AWK249" s="504"/>
      <c r="AWL249" s="504"/>
      <c r="AWM249" s="504"/>
      <c r="AWN249" s="504"/>
      <c r="AWO249" s="504"/>
      <c r="AWP249" s="504"/>
      <c r="AWQ249" s="504"/>
      <c r="AWR249" s="504"/>
      <c r="AWS249" s="504"/>
      <c r="AWT249" s="504"/>
      <c r="AWU249" s="504"/>
      <c r="AWV249" s="504"/>
      <c r="AWW249" s="504"/>
      <c r="AWX249" s="504"/>
      <c r="AWY249" s="504"/>
      <c r="AWZ249" s="504"/>
      <c r="AXA249" s="504"/>
      <c r="AXB249" s="504"/>
      <c r="AXC249" s="504"/>
      <c r="AXD249" s="504"/>
      <c r="AXE249" s="504"/>
      <c r="AXF249" s="504"/>
      <c r="AXG249" s="504"/>
      <c r="AXH249" s="504"/>
      <c r="AXI249" s="504"/>
      <c r="AXJ249" s="504"/>
      <c r="AXK249" s="504"/>
      <c r="AXL249" s="504"/>
      <c r="AXM249" s="504"/>
      <c r="AXN249" s="504"/>
      <c r="AXO249" s="504"/>
      <c r="AXP249" s="504"/>
      <c r="AXQ249" s="504"/>
      <c r="AXR249" s="504"/>
      <c r="AXS249" s="504"/>
      <c r="AXT249" s="504"/>
      <c r="AXU249" s="504"/>
      <c r="AXV249" s="504"/>
      <c r="AXW249" s="504"/>
      <c r="AXX249" s="504"/>
      <c r="AXY249" s="504"/>
      <c r="AXZ249" s="504"/>
      <c r="AYA249" s="504"/>
      <c r="AYB249" s="504"/>
      <c r="AYC249" s="504"/>
      <c r="AYD249" s="504"/>
      <c r="AYE249" s="504"/>
      <c r="AYF249" s="504"/>
      <c r="AYG249" s="504"/>
      <c r="AYH249" s="504"/>
      <c r="AYI249" s="504"/>
      <c r="AYJ249" s="504"/>
      <c r="AYK249" s="504"/>
      <c r="AYL249" s="504"/>
      <c r="AYM249" s="504"/>
      <c r="AYN249" s="504"/>
      <c r="AYO249" s="504"/>
      <c r="AYP249" s="504"/>
      <c r="AYQ249" s="504"/>
      <c r="AYR249" s="504"/>
      <c r="AYS249" s="504"/>
      <c r="AYT249" s="504"/>
      <c r="AYU249" s="504"/>
      <c r="AYV249" s="504"/>
      <c r="AYW249" s="504"/>
      <c r="AYX249" s="504"/>
      <c r="AYY249" s="504"/>
      <c r="AYZ249" s="504"/>
      <c r="AZA249" s="504"/>
      <c r="AZB249" s="504"/>
      <c r="AZC249" s="504"/>
      <c r="AZD249" s="504"/>
      <c r="AZE249" s="504"/>
      <c r="AZF249" s="504"/>
      <c r="AZG249" s="504"/>
      <c r="AZH249" s="504"/>
      <c r="AZI249" s="504"/>
      <c r="AZJ249" s="504"/>
      <c r="AZK249" s="504"/>
      <c r="AZL249" s="504"/>
      <c r="AZM249" s="504"/>
      <c r="AZN249" s="504"/>
      <c r="AZO249" s="504"/>
      <c r="AZP249" s="504"/>
      <c r="AZQ249" s="504"/>
      <c r="AZR249" s="504"/>
      <c r="AZS249" s="504"/>
      <c r="AZT249" s="504"/>
      <c r="AZU249" s="504"/>
      <c r="AZV249" s="504"/>
      <c r="AZW249" s="504"/>
      <c r="AZX249" s="504"/>
      <c r="AZY249" s="504"/>
      <c r="AZZ249" s="504"/>
      <c r="BAA249" s="504"/>
      <c r="BAB249" s="504"/>
      <c r="BAC249" s="504"/>
      <c r="BAD249" s="504"/>
      <c r="BAE249" s="504"/>
      <c r="BAF249" s="504"/>
      <c r="BAG249" s="504"/>
      <c r="BAH249" s="504"/>
      <c r="BAI249" s="504"/>
      <c r="BAJ249" s="504"/>
      <c r="BAK249" s="504"/>
      <c r="BAL249" s="504"/>
      <c r="BAM249" s="504"/>
      <c r="BAN249" s="504"/>
      <c r="BAO249" s="504"/>
      <c r="BAP249" s="504"/>
      <c r="BAQ249" s="504"/>
      <c r="BAR249" s="504"/>
      <c r="BAS249" s="504"/>
      <c r="BAT249" s="504"/>
      <c r="BAU249" s="504"/>
      <c r="BAV249" s="504"/>
      <c r="BAW249" s="504"/>
      <c r="BAX249" s="504"/>
      <c r="BAY249" s="504"/>
      <c r="BAZ249" s="504"/>
      <c r="BBA249" s="504"/>
      <c r="BBB249" s="504"/>
      <c r="BBC249" s="504"/>
      <c r="BBD249" s="504"/>
      <c r="BBE249" s="504"/>
      <c r="BBF249" s="504"/>
      <c r="BBG249" s="504"/>
      <c r="BBH249" s="504"/>
      <c r="BBI249" s="504"/>
      <c r="BBJ249" s="504"/>
      <c r="BBK249" s="504"/>
      <c r="BBL249" s="504"/>
      <c r="BBM249" s="504"/>
      <c r="BBN249" s="504"/>
      <c r="BBO249" s="504"/>
      <c r="BBP249" s="504"/>
      <c r="BBQ249" s="504"/>
      <c r="BBR249" s="504"/>
      <c r="BBS249" s="504"/>
      <c r="BBT249" s="504"/>
      <c r="BBU249" s="504"/>
      <c r="BBV249" s="504"/>
      <c r="BBW249" s="504"/>
      <c r="BBX249" s="504"/>
      <c r="BBY249" s="504"/>
      <c r="BBZ249" s="504"/>
      <c r="BCA249" s="504"/>
      <c r="BCB249" s="504"/>
      <c r="BCC249" s="504"/>
      <c r="BCD249" s="504"/>
      <c r="BCE249" s="504"/>
      <c r="BCF249" s="504"/>
      <c r="BCG249" s="504"/>
      <c r="BCH249" s="504"/>
      <c r="BCI249" s="504"/>
      <c r="BCJ249" s="504"/>
      <c r="BCK249" s="504"/>
      <c r="BCL249" s="504"/>
      <c r="BCM249" s="504"/>
      <c r="BCN249" s="504"/>
      <c r="BCO249" s="504"/>
      <c r="BCP249" s="504"/>
      <c r="BCQ249" s="504"/>
      <c r="BCR249" s="504"/>
      <c r="BCS249" s="504"/>
      <c r="BCT249" s="504"/>
      <c r="BCU249" s="504"/>
      <c r="BCV249" s="504"/>
      <c r="BCW249" s="504"/>
      <c r="BCX249" s="504"/>
      <c r="BCY249" s="504"/>
      <c r="BCZ249" s="504"/>
      <c r="BDA249" s="504"/>
      <c r="BDB249" s="504"/>
      <c r="BDC249" s="504"/>
      <c r="BDD249" s="504"/>
      <c r="BDE249" s="504"/>
      <c r="BDF249" s="504"/>
      <c r="BDG249" s="504"/>
      <c r="BDH249" s="504"/>
      <c r="BDI249" s="504"/>
      <c r="BDJ249" s="504"/>
      <c r="BDK249" s="504"/>
      <c r="BDL249" s="504"/>
      <c r="BDM249" s="504"/>
      <c r="BDN249" s="504"/>
      <c r="BDO249" s="504"/>
      <c r="BDP249" s="504"/>
      <c r="BDQ249" s="504"/>
      <c r="BDR249" s="504"/>
      <c r="BDS249" s="504"/>
      <c r="BDT249" s="504"/>
      <c r="BDU249" s="504"/>
      <c r="BDV249" s="504"/>
      <c r="BDW249" s="504"/>
      <c r="BDX249" s="504"/>
      <c r="BDY249" s="504"/>
      <c r="BDZ249" s="504"/>
      <c r="BEA249" s="504"/>
      <c r="BEB249" s="504"/>
      <c r="BEC249" s="504"/>
      <c r="BED249" s="504"/>
      <c r="BEE249" s="504"/>
      <c r="BEF249" s="504"/>
      <c r="BEG249" s="504"/>
      <c r="BEH249" s="504"/>
      <c r="BEI249" s="504"/>
      <c r="BEJ249" s="504"/>
      <c r="BEK249" s="504"/>
      <c r="BEL249" s="504"/>
      <c r="BEM249" s="504"/>
      <c r="BEN249" s="504"/>
      <c r="BEO249" s="504"/>
      <c r="BEP249" s="504"/>
      <c r="BEQ249" s="504"/>
      <c r="BER249" s="504"/>
      <c r="BES249" s="504"/>
      <c r="BET249" s="504"/>
      <c r="BEU249" s="504"/>
      <c r="BEV249" s="504"/>
      <c r="BEW249" s="504"/>
      <c r="BEX249" s="504"/>
      <c r="BEY249" s="504"/>
      <c r="BEZ249" s="504"/>
      <c r="BFA249" s="504"/>
      <c r="BFB249" s="504"/>
      <c r="BFC249" s="504"/>
      <c r="BFD249" s="504"/>
      <c r="BFE249" s="504"/>
      <c r="BFF249" s="504"/>
      <c r="BFG249" s="504"/>
      <c r="BFH249" s="504"/>
      <c r="BFI249" s="504"/>
      <c r="BFJ249" s="504"/>
      <c r="BFK249" s="504"/>
      <c r="BFL249" s="504"/>
      <c r="BFM249" s="504"/>
      <c r="BFN249" s="504"/>
      <c r="BFO249" s="504"/>
      <c r="BFP249" s="504"/>
      <c r="BFQ249" s="504"/>
      <c r="BFR249" s="504"/>
      <c r="BFS249" s="504"/>
      <c r="BFT249" s="504"/>
      <c r="BFU249" s="504"/>
      <c r="BFV249" s="504"/>
      <c r="BFW249" s="504"/>
      <c r="BFX249" s="504"/>
      <c r="BFY249" s="504"/>
      <c r="BFZ249" s="504"/>
      <c r="BGA249" s="504"/>
      <c r="BGB249" s="504"/>
      <c r="BGC249" s="504"/>
      <c r="BGD249" s="504"/>
      <c r="BGE249" s="504"/>
      <c r="BGF249" s="504"/>
      <c r="BGG249" s="504"/>
      <c r="BGH249" s="504"/>
      <c r="BGI249" s="504"/>
      <c r="BGJ249" s="504"/>
      <c r="BGK249" s="504"/>
      <c r="BGL249" s="504"/>
      <c r="BGM249" s="504"/>
      <c r="BGN249" s="504"/>
      <c r="BGO249" s="504"/>
      <c r="BGP249" s="504"/>
      <c r="BGQ249" s="504"/>
      <c r="BGR249" s="504"/>
      <c r="BGS249" s="504"/>
      <c r="BGT249" s="504"/>
      <c r="BGU249" s="504"/>
      <c r="BGV249" s="504"/>
      <c r="BGW249" s="504"/>
      <c r="BGX249" s="504"/>
      <c r="BGY249" s="504"/>
      <c r="BGZ249" s="504"/>
      <c r="BHA249" s="504"/>
      <c r="BHB249" s="504"/>
      <c r="BHC249" s="504"/>
      <c r="BHD249" s="504"/>
      <c r="BHE249" s="504"/>
      <c r="BHF249" s="504"/>
      <c r="BHG249" s="504"/>
      <c r="BHH249" s="504"/>
      <c r="BHI249" s="504"/>
      <c r="BHJ249" s="504"/>
      <c r="BHK249" s="504"/>
      <c r="BHL249" s="504"/>
      <c r="BHM249" s="504"/>
      <c r="BHN249" s="504"/>
      <c r="BHO249" s="504"/>
      <c r="BHP249" s="504"/>
      <c r="BHQ249" s="504"/>
      <c r="BHR249" s="504"/>
      <c r="BHS249" s="504"/>
      <c r="BHT249" s="504"/>
      <c r="BHU249" s="504"/>
      <c r="BHV249" s="504"/>
      <c r="BHW249" s="504"/>
      <c r="BHX249" s="504"/>
      <c r="BHY249" s="504"/>
      <c r="BHZ249" s="504"/>
      <c r="BIA249" s="504"/>
      <c r="BIB249" s="504"/>
      <c r="BIC249" s="504"/>
      <c r="BID249" s="504"/>
      <c r="BIE249" s="504"/>
      <c r="BIF249" s="504"/>
      <c r="BIG249" s="504"/>
      <c r="BIH249" s="504"/>
      <c r="BII249" s="504"/>
      <c r="BIJ249" s="504"/>
      <c r="BIK249" s="504"/>
      <c r="BIL249" s="504"/>
      <c r="BIM249" s="504"/>
      <c r="BIN249" s="504"/>
      <c r="BIO249" s="504"/>
      <c r="BIP249" s="504"/>
      <c r="BIQ249" s="504"/>
      <c r="BIR249" s="504"/>
      <c r="BIS249" s="504"/>
      <c r="BIT249" s="504"/>
      <c r="BIU249" s="504"/>
      <c r="BIV249" s="504"/>
      <c r="BIW249" s="504"/>
      <c r="BIX249" s="504"/>
      <c r="BIY249" s="504"/>
      <c r="BIZ249" s="504"/>
      <c r="BJA249" s="504"/>
      <c r="BJB249" s="504"/>
      <c r="BJC249" s="504"/>
      <c r="BJD249" s="504"/>
      <c r="BJE249" s="504"/>
      <c r="BJF249" s="504"/>
      <c r="BJG249" s="504"/>
      <c r="BJH249" s="504"/>
      <c r="BJI249" s="504"/>
      <c r="BJJ249" s="504"/>
      <c r="BJK249" s="504"/>
      <c r="BJL249" s="504"/>
      <c r="BJM249" s="504"/>
      <c r="BJN249" s="504"/>
      <c r="BJO249" s="504"/>
      <c r="BJP249" s="504"/>
      <c r="BJQ249" s="504"/>
      <c r="BJR249" s="504"/>
      <c r="BJS249" s="504"/>
      <c r="BJT249" s="504"/>
      <c r="BJU249" s="504"/>
      <c r="BJV249" s="504"/>
      <c r="BJW249" s="504"/>
      <c r="BJX249" s="504"/>
      <c r="BJY249" s="504"/>
      <c r="BJZ249" s="504"/>
      <c r="BKA249" s="504"/>
      <c r="BKB249" s="504"/>
      <c r="BKC249" s="504"/>
      <c r="BKD249" s="504"/>
      <c r="BKE249" s="504"/>
      <c r="BKF249" s="504"/>
      <c r="BKG249" s="504"/>
      <c r="BKH249" s="504"/>
      <c r="BKI249" s="504"/>
      <c r="BKJ249" s="504"/>
      <c r="BKK249" s="504"/>
      <c r="BKL249" s="504"/>
      <c r="BKM249" s="504"/>
      <c r="BKN249" s="504"/>
      <c r="BKO249" s="504"/>
      <c r="BKP249" s="504"/>
      <c r="BKQ249" s="504"/>
      <c r="BKR249" s="504"/>
      <c r="BKS249" s="504"/>
      <c r="BKT249" s="504"/>
      <c r="BKU249" s="504"/>
      <c r="BKV249" s="504"/>
      <c r="BKW249" s="504"/>
      <c r="BKX249" s="504"/>
      <c r="BKY249" s="504"/>
      <c r="BKZ249" s="504"/>
      <c r="BLA249" s="504"/>
      <c r="BLB249" s="504"/>
      <c r="BLC249" s="504"/>
      <c r="BLD249" s="504"/>
      <c r="BLE249" s="504"/>
      <c r="BLF249" s="504"/>
      <c r="BLG249" s="504"/>
      <c r="BLH249" s="504"/>
      <c r="BLI249" s="504"/>
      <c r="BLJ249" s="504"/>
      <c r="BLK249" s="504"/>
      <c r="BLL249" s="504"/>
      <c r="BLM249" s="504"/>
      <c r="BLN249" s="504"/>
      <c r="BLO249" s="504"/>
      <c r="BLP249" s="504"/>
      <c r="BLQ249" s="504"/>
      <c r="BLR249" s="504"/>
      <c r="BLS249" s="504"/>
      <c r="BLT249" s="504"/>
      <c r="BLU249" s="504"/>
      <c r="BLV249" s="504"/>
      <c r="BLW249" s="504"/>
      <c r="BLX249" s="504"/>
      <c r="BLY249" s="504"/>
      <c r="BLZ249" s="504"/>
      <c r="BMA249" s="504"/>
      <c r="BMB249" s="504"/>
      <c r="BMC249" s="504"/>
      <c r="BMD249" s="504"/>
      <c r="BME249" s="504"/>
      <c r="BMF249" s="504"/>
      <c r="BMG249" s="504"/>
      <c r="BMH249" s="504"/>
      <c r="BMI249" s="504"/>
      <c r="BMJ249" s="504"/>
      <c r="BMK249" s="504"/>
      <c r="BML249" s="504"/>
      <c r="BMM249" s="504"/>
      <c r="BMN249" s="504"/>
      <c r="BMO249" s="504"/>
      <c r="BMP249" s="504"/>
      <c r="BMQ249" s="504"/>
      <c r="BMR249" s="504"/>
      <c r="BMS249" s="504"/>
      <c r="BMT249" s="504"/>
      <c r="BMU249" s="504"/>
      <c r="BMV249" s="504"/>
      <c r="BMW249" s="504"/>
      <c r="BMX249" s="504"/>
      <c r="BMY249" s="504"/>
      <c r="BMZ249" s="504"/>
      <c r="BNA249" s="504"/>
      <c r="BNB249" s="504"/>
      <c r="BNC249" s="504"/>
      <c r="BND249" s="504"/>
      <c r="BNE249" s="504"/>
      <c r="BNF249" s="504"/>
      <c r="BNG249" s="504"/>
      <c r="BNH249" s="504"/>
      <c r="BNI249" s="504"/>
      <c r="BNJ249" s="504"/>
      <c r="BNK249" s="504"/>
      <c r="BNL249" s="504"/>
      <c r="BNM249" s="504"/>
      <c r="BNN249" s="504"/>
      <c r="BNO249" s="504"/>
      <c r="BNP249" s="504"/>
      <c r="BNQ249" s="504"/>
      <c r="BNR249" s="504"/>
      <c r="BNS249" s="504"/>
      <c r="BNT249" s="504"/>
      <c r="BNU249" s="504"/>
      <c r="BNV249" s="504"/>
      <c r="BNW249" s="504"/>
      <c r="BNX249" s="504"/>
      <c r="BNY249" s="504"/>
      <c r="BNZ249" s="504"/>
      <c r="BOA249" s="504"/>
      <c r="BOB249" s="504"/>
      <c r="BOC249" s="504"/>
      <c r="BOD249" s="504"/>
      <c r="BOE249" s="504"/>
      <c r="BOF249" s="504"/>
      <c r="BOG249" s="504"/>
      <c r="BOH249" s="504"/>
      <c r="BOI249" s="504"/>
      <c r="BOJ249" s="504"/>
      <c r="BOK249" s="504"/>
      <c r="BOL249" s="504"/>
      <c r="BOM249" s="504"/>
      <c r="BON249" s="504"/>
      <c r="BOO249" s="504"/>
      <c r="BOP249" s="504"/>
      <c r="BOQ249" s="504"/>
      <c r="BOR249" s="504"/>
      <c r="BOS249" s="504"/>
      <c r="BOT249" s="504"/>
      <c r="BOU249" s="504"/>
      <c r="BOV249" s="504"/>
      <c r="BOW249" s="504"/>
      <c r="BOX249" s="504"/>
      <c r="BOY249" s="504"/>
      <c r="BOZ249" s="504"/>
      <c r="BPA249" s="504"/>
      <c r="BPB249" s="504"/>
      <c r="BPC249" s="504"/>
      <c r="BPD249" s="504"/>
      <c r="BPE249" s="504"/>
      <c r="BPF249" s="504"/>
      <c r="BPG249" s="504"/>
      <c r="BPH249" s="504"/>
      <c r="BPI249" s="504"/>
      <c r="BPJ249" s="504"/>
      <c r="BPK249" s="504"/>
      <c r="BPL249" s="504"/>
      <c r="BPM249" s="504"/>
      <c r="BPN249" s="504"/>
      <c r="BPO249" s="504"/>
      <c r="BPP249" s="504"/>
      <c r="BPQ249" s="504"/>
      <c r="BPR249" s="504"/>
      <c r="BPS249" s="504"/>
      <c r="BPT249" s="504"/>
      <c r="BPU249" s="504"/>
      <c r="BPV249" s="504"/>
      <c r="BPW249" s="504"/>
      <c r="BPX249" s="504"/>
      <c r="BPY249" s="504"/>
      <c r="BPZ249" s="504"/>
      <c r="BQA249" s="504"/>
      <c r="BQB249" s="504"/>
      <c r="BQC249" s="504"/>
      <c r="BQD249" s="504"/>
      <c r="BQE249" s="504"/>
      <c r="BQF249" s="504"/>
      <c r="BQG249" s="504"/>
      <c r="BQH249" s="504"/>
      <c r="BQI249" s="504"/>
      <c r="BQJ249" s="504"/>
      <c r="BQK249" s="504"/>
      <c r="BQL249" s="504"/>
      <c r="BQM249" s="504"/>
      <c r="BQN249" s="504"/>
      <c r="BQO249" s="504"/>
      <c r="BQP249" s="504"/>
      <c r="BQQ249" s="504"/>
      <c r="BQR249" s="504"/>
      <c r="BQS249" s="504"/>
      <c r="BQT249" s="504"/>
      <c r="BQU249" s="504"/>
      <c r="BQV249" s="504"/>
      <c r="BQW249" s="504"/>
      <c r="BQX249" s="504"/>
      <c r="BQY249" s="504"/>
      <c r="BQZ249" s="504"/>
      <c r="BRA249" s="504"/>
      <c r="BRB249" s="504"/>
      <c r="BRC249" s="504"/>
      <c r="BRD249" s="504"/>
      <c r="BRE249" s="504"/>
      <c r="BRF249" s="504"/>
      <c r="BRG249" s="504"/>
      <c r="BRH249" s="504"/>
      <c r="BRI249" s="504"/>
      <c r="BRJ249" s="504"/>
      <c r="BRK249" s="504"/>
      <c r="BRL249" s="504"/>
      <c r="BRM249" s="504"/>
      <c r="BRN249" s="504"/>
      <c r="BRO249" s="504"/>
      <c r="BRP249" s="504"/>
      <c r="BRQ249" s="504"/>
      <c r="BRR249" s="504"/>
      <c r="BRS249" s="504"/>
      <c r="BRT249" s="504"/>
      <c r="BRU249" s="504"/>
      <c r="BRV249" s="504"/>
      <c r="BRW249" s="504"/>
      <c r="BRX249" s="504"/>
      <c r="BRY249" s="504"/>
      <c r="BRZ249" s="504"/>
      <c r="BSA249" s="504"/>
      <c r="BSB249" s="504"/>
      <c r="BSC249" s="504"/>
      <c r="BSD249" s="504"/>
      <c r="BSE249" s="504"/>
      <c r="BSF249" s="504"/>
      <c r="BSG249" s="504"/>
      <c r="BSH249" s="504"/>
      <c r="BSI249" s="504"/>
      <c r="BSJ249" s="504"/>
      <c r="BSK249" s="504"/>
      <c r="BSL249" s="504"/>
      <c r="BSM249" s="504"/>
      <c r="BSN249" s="504"/>
      <c r="BSO249" s="504"/>
      <c r="BSP249" s="504"/>
      <c r="BSQ249" s="504"/>
      <c r="BSR249" s="504"/>
      <c r="BSS249" s="504"/>
      <c r="BST249" s="504"/>
      <c r="BSU249" s="504"/>
      <c r="BSV249" s="504"/>
      <c r="BSW249" s="504"/>
      <c r="BSX249" s="504"/>
      <c r="BSY249" s="504"/>
      <c r="BSZ249" s="504"/>
      <c r="BTA249" s="504"/>
      <c r="BTB249" s="504"/>
      <c r="BTC249" s="504"/>
      <c r="BTD249" s="504"/>
      <c r="BTE249" s="504"/>
      <c r="BTF249" s="504"/>
      <c r="BTG249" s="504"/>
      <c r="BTH249" s="504"/>
      <c r="BTI249" s="504"/>
    </row>
    <row r="250" spans="1:1881" s="503" customFormat="1" ht="93" customHeight="1" x14ac:dyDescent="0.25">
      <c r="A250" s="473">
        <v>954</v>
      </c>
      <c r="B250" s="469"/>
      <c r="C250" s="470"/>
      <c r="D250" s="476" t="s">
        <v>959</v>
      </c>
      <c r="E250" s="472" t="s">
        <v>956</v>
      </c>
      <c r="F250" s="947"/>
      <c r="G250" s="583" t="str">
        <f t="shared" si="3"/>
        <v>Please do not leave blank</v>
      </c>
      <c r="H250" s="505"/>
      <c r="I250"/>
      <c r="J250"/>
      <c r="K250"/>
      <c r="L250"/>
      <c r="M250"/>
      <c r="N250"/>
      <c r="O250"/>
      <c r="P250" s="504"/>
      <c r="Q250" s="504"/>
      <c r="R250" s="504"/>
      <c r="S250" s="504"/>
      <c r="T250" s="504"/>
      <c r="U250" s="504"/>
      <c r="V250" s="504"/>
      <c r="W250" s="504"/>
      <c r="X250" s="504"/>
      <c r="Y250" s="504"/>
      <c r="Z250" s="504"/>
      <c r="AA250" s="504"/>
      <c r="AB250" s="504"/>
      <c r="AC250" s="504"/>
      <c r="AD250" s="504"/>
      <c r="AE250" s="504"/>
      <c r="AF250" s="504"/>
      <c r="AG250" s="504"/>
      <c r="AH250" s="504"/>
      <c r="AI250" s="504"/>
      <c r="AJ250" s="504"/>
      <c r="AK250" s="504"/>
      <c r="AL250" s="504"/>
      <c r="AM250" s="504"/>
      <c r="AN250" s="504"/>
      <c r="AO250" s="504"/>
      <c r="AP250" s="504"/>
      <c r="AQ250" s="504"/>
      <c r="AR250" s="504"/>
      <c r="AS250" s="504"/>
      <c r="AT250" s="504"/>
      <c r="AU250" s="504"/>
      <c r="AV250" s="504"/>
      <c r="AW250" s="504"/>
      <c r="AX250" s="504"/>
      <c r="AY250" s="504"/>
      <c r="AZ250" s="504"/>
      <c r="BA250" s="504"/>
      <c r="BB250" s="504"/>
      <c r="BC250" s="504"/>
      <c r="BD250" s="504"/>
      <c r="BE250" s="504"/>
      <c r="BF250" s="504"/>
      <c r="BG250" s="504"/>
      <c r="BH250" s="504"/>
      <c r="BI250" s="504"/>
      <c r="BJ250" s="504"/>
      <c r="BK250" s="504"/>
      <c r="BL250" s="504"/>
      <c r="BM250" s="504"/>
      <c r="BN250" s="504"/>
      <c r="BO250" s="504"/>
      <c r="BP250" s="504"/>
      <c r="BQ250" s="504"/>
      <c r="BR250" s="504"/>
      <c r="BS250" s="504"/>
      <c r="BT250" s="504"/>
      <c r="BU250" s="504"/>
      <c r="BV250" s="504"/>
      <c r="BW250" s="504"/>
      <c r="BX250" s="504"/>
      <c r="BY250" s="504"/>
      <c r="BZ250" s="504"/>
      <c r="CA250" s="504"/>
      <c r="CB250" s="504"/>
      <c r="CC250" s="504"/>
      <c r="CD250" s="504"/>
      <c r="CE250" s="504"/>
      <c r="CF250" s="504"/>
      <c r="CG250" s="504"/>
      <c r="CH250" s="504"/>
      <c r="CI250" s="504"/>
      <c r="CJ250" s="504"/>
      <c r="CK250" s="504"/>
      <c r="CL250" s="504"/>
      <c r="CM250" s="504"/>
      <c r="CN250" s="504"/>
      <c r="CO250" s="504"/>
      <c r="CP250" s="504"/>
      <c r="CQ250" s="504"/>
      <c r="CR250" s="504"/>
      <c r="CS250" s="504"/>
      <c r="CT250" s="504"/>
      <c r="CU250" s="504"/>
      <c r="CV250" s="504"/>
      <c r="CW250" s="504"/>
      <c r="CX250" s="504"/>
      <c r="CY250" s="504"/>
      <c r="CZ250" s="504"/>
      <c r="DA250" s="504"/>
      <c r="DB250" s="504"/>
      <c r="DC250" s="504"/>
      <c r="DD250" s="504"/>
      <c r="DE250" s="504"/>
      <c r="DF250" s="504"/>
      <c r="DG250" s="504"/>
      <c r="DH250" s="504"/>
      <c r="DI250" s="504"/>
      <c r="DJ250" s="504"/>
      <c r="DK250" s="504"/>
      <c r="DL250" s="504"/>
      <c r="DM250" s="504"/>
      <c r="DN250" s="504"/>
      <c r="DO250" s="504"/>
      <c r="DP250" s="504"/>
      <c r="DQ250" s="504"/>
      <c r="DR250" s="504"/>
      <c r="DS250" s="504"/>
      <c r="DT250" s="504"/>
      <c r="DU250" s="504"/>
      <c r="DV250" s="504"/>
      <c r="DW250" s="504"/>
      <c r="DX250" s="504"/>
      <c r="DY250" s="504"/>
      <c r="DZ250" s="504"/>
      <c r="EA250" s="504"/>
      <c r="EB250" s="504"/>
      <c r="EC250" s="504"/>
      <c r="ED250" s="504"/>
      <c r="EE250" s="504"/>
      <c r="EF250" s="504"/>
      <c r="EG250" s="504"/>
      <c r="EH250" s="504"/>
      <c r="EI250" s="504"/>
      <c r="EJ250" s="504"/>
      <c r="EK250" s="504"/>
      <c r="EL250" s="504"/>
      <c r="EM250" s="504"/>
      <c r="EN250" s="504"/>
      <c r="EO250" s="504"/>
      <c r="EP250" s="504"/>
      <c r="EQ250" s="504"/>
      <c r="ER250" s="504"/>
      <c r="ES250" s="504"/>
      <c r="ET250" s="504"/>
      <c r="EU250" s="504"/>
      <c r="EV250" s="504"/>
      <c r="EW250" s="504"/>
      <c r="EX250" s="504"/>
      <c r="EY250" s="504"/>
      <c r="EZ250" s="504"/>
      <c r="FA250" s="504"/>
      <c r="FB250" s="504"/>
      <c r="FC250" s="504"/>
      <c r="FD250" s="504"/>
      <c r="FE250" s="504"/>
      <c r="FF250" s="504"/>
      <c r="FG250" s="504"/>
      <c r="FH250" s="504"/>
      <c r="FI250" s="504"/>
      <c r="FJ250" s="504"/>
      <c r="FK250" s="504"/>
      <c r="FL250" s="504"/>
      <c r="FM250" s="504"/>
      <c r="FN250" s="504"/>
      <c r="FO250" s="504"/>
      <c r="FP250" s="504"/>
      <c r="FQ250" s="504"/>
      <c r="FR250" s="504"/>
      <c r="FS250" s="504"/>
      <c r="FT250" s="504"/>
      <c r="FU250" s="504"/>
      <c r="FV250" s="504"/>
      <c r="FW250" s="504"/>
      <c r="FX250" s="504"/>
      <c r="FY250" s="504"/>
      <c r="FZ250" s="504"/>
      <c r="GA250" s="504"/>
      <c r="GB250" s="504"/>
      <c r="GC250" s="504"/>
      <c r="GD250" s="504"/>
      <c r="GE250" s="504"/>
      <c r="GF250" s="504"/>
      <c r="GG250" s="504"/>
      <c r="GH250" s="504"/>
      <c r="GI250" s="504"/>
      <c r="GJ250" s="504"/>
      <c r="GK250" s="504"/>
      <c r="GL250" s="504"/>
      <c r="GM250" s="504"/>
      <c r="GN250" s="504"/>
      <c r="GO250" s="504"/>
      <c r="GP250" s="504"/>
      <c r="GQ250" s="504"/>
      <c r="GR250" s="504"/>
      <c r="GS250" s="504"/>
      <c r="GT250" s="504"/>
      <c r="GU250" s="504"/>
      <c r="GV250" s="504"/>
      <c r="GW250" s="504"/>
      <c r="GX250" s="504"/>
      <c r="GY250" s="504"/>
      <c r="GZ250" s="504"/>
      <c r="HA250" s="504"/>
      <c r="HB250" s="504"/>
      <c r="HC250" s="504"/>
      <c r="HD250" s="504"/>
      <c r="HE250" s="504"/>
      <c r="HF250" s="504"/>
      <c r="HG250" s="504"/>
      <c r="HH250" s="504"/>
      <c r="HI250" s="504"/>
      <c r="HJ250" s="504"/>
      <c r="HK250" s="504"/>
      <c r="HL250" s="504"/>
      <c r="HM250" s="504"/>
      <c r="HN250" s="504"/>
      <c r="HO250" s="504"/>
      <c r="HP250" s="504"/>
      <c r="HQ250" s="504"/>
      <c r="HR250" s="504"/>
      <c r="HS250" s="504"/>
      <c r="HT250" s="504"/>
      <c r="HU250" s="504"/>
      <c r="HV250" s="504"/>
      <c r="HW250" s="504"/>
      <c r="HX250" s="504"/>
      <c r="HY250" s="504"/>
      <c r="HZ250" s="504"/>
      <c r="IA250" s="504"/>
      <c r="IB250" s="504"/>
      <c r="IC250" s="504"/>
      <c r="ID250" s="504"/>
      <c r="IE250" s="504"/>
      <c r="IF250" s="504"/>
      <c r="IG250" s="504"/>
      <c r="IH250" s="504"/>
      <c r="II250" s="504"/>
      <c r="IJ250" s="504"/>
      <c r="IK250" s="504"/>
      <c r="IL250" s="504"/>
      <c r="IM250" s="504"/>
      <c r="IN250" s="504"/>
      <c r="IO250" s="504"/>
      <c r="IP250" s="504"/>
      <c r="IQ250" s="504"/>
      <c r="IR250" s="504"/>
      <c r="IS250" s="504"/>
      <c r="IT250" s="504"/>
      <c r="IU250" s="504"/>
      <c r="IV250" s="504"/>
      <c r="IW250" s="504"/>
      <c r="IX250" s="504"/>
      <c r="IY250" s="504"/>
      <c r="IZ250" s="504"/>
      <c r="JA250" s="504"/>
      <c r="JB250" s="504"/>
      <c r="JC250" s="504"/>
      <c r="JD250" s="504"/>
      <c r="JE250" s="504"/>
      <c r="JF250" s="504"/>
      <c r="JG250" s="504"/>
      <c r="JH250" s="504"/>
      <c r="JI250" s="504"/>
      <c r="JJ250" s="504"/>
      <c r="JK250" s="504"/>
      <c r="JL250" s="504"/>
      <c r="JM250" s="504"/>
      <c r="JN250" s="504"/>
      <c r="JO250" s="504"/>
      <c r="JP250" s="504"/>
      <c r="JQ250" s="504"/>
      <c r="JR250" s="504"/>
      <c r="JS250" s="504"/>
      <c r="JT250" s="504"/>
      <c r="JU250" s="504"/>
      <c r="JV250" s="504"/>
      <c r="JW250" s="504"/>
      <c r="JX250" s="504"/>
      <c r="JY250" s="504"/>
      <c r="JZ250" s="504"/>
      <c r="KA250" s="504"/>
      <c r="KB250" s="504"/>
      <c r="KC250" s="504"/>
      <c r="KD250" s="504"/>
      <c r="KE250" s="504"/>
      <c r="KF250" s="504"/>
      <c r="KG250" s="504"/>
      <c r="KH250" s="504"/>
      <c r="KI250" s="504"/>
      <c r="KJ250" s="504"/>
      <c r="KK250" s="504"/>
      <c r="KL250" s="504"/>
      <c r="KM250" s="504"/>
      <c r="KN250" s="504"/>
      <c r="KO250" s="504"/>
      <c r="KP250" s="504"/>
      <c r="KQ250" s="504"/>
      <c r="KR250" s="504"/>
      <c r="KS250" s="504"/>
      <c r="KT250" s="504"/>
      <c r="KU250" s="504"/>
      <c r="KV250" s="504"/>
      <c r="KW250" s="504"/>
      <c r="KX250" s="504"/>
      <c r="KY250" s="504"/>
      <c r="KZ250" s="504"/>
      <c r="LA250" s="504"/>
      <c r="LB250" s="504"/>
      <c r="LC250" s="504"/>
      <c r="LD250" s="504"/>
      <c r="LE250" s="504"/>
      <c r="LF250" s="504"/>
      <c r="LG250" s="504"/>
      <c r="LH250" s="504"/>
      <c r="LI250" s="504"/>
      <c r="LJ250" s="504"/>
      <c r="LK250" s="504"/>
      <c r="LL250" s="504"/>
      <c r="LM250" s="504"/>
      <c r="LN250" s="504"/>
      <c r="LO250" s="504"/>
      <c r="LP250" s="504"/>
      <c r="LQ250" s="504"/>
      <c r="LR250" s="504"/>
      <c r="LS250" s="504"/>
      <c r="LT250" s="504"/>
      <c r="LU250" s="504"/>
      <c r="LV250" s="504"/>
      <c r="LW250" s="504"/>
      <c r="LX250" s="504"/>
      <c r="LY250" s="504"/>
      <c r="LZ250" s="504"/>
      <c r="MA250" s="504"/>
      <c r="MB250" s="504"/>
      <c r="MC250" s="504"/>
      <c r="MD250" s="504"/>
      <c r="ME250" s="504"/>
      <c r="MF250" s="504"/>
      <c r="MG250" s="504"/>
      <c r="MH250" s="504"/>
      <c r="MI250" s="504"/>
      <c r="MJ250" s="504"/>
      <c r="MK250" s="504"/>
      <c r="ML250" s="504"/>
      <c r="MM250" s="504"/>
      <c r="MN250" s="504"/>
      <c r="MO250" s="504"/>
      <c r="MP250" s="504"/>
      <c r="MQ250" s="504"/>
      <c r="MR250" s="504"/>
      <c r="MS250" s="504"/>
      <c r="MT250" s="504"/>
      <c r="MU250" s="504"/>
      <c r="MV250" s="504"/>
      <c r="MW250" s="504"/>
      <c r="MX250" s="504"/>
      <c r="MY250" s="504"/>
      <c r="MZ250" s="504"/>
      <c r="NA250" s="504"/>
      <c r="NB250" s="504"/>
      <c r="NC250" s="504"/>
      <c r="ND250" s="504"/>
      <c r="NE250" s="504"/>
      <c r="NF250" s="504"/>
      <c r="NG250" s="504"/>
      <c r="NH250" s="504"/>
      <c r="NI250" s="504"/>
      <c r="NJ250" s="504"/>
      <c r="NK250" s="504"/>
      <c r="NL250" s="504"/>
      <c r="NM250" s="504"/>
      <c r="NN250" s="504"/>
      <c r="NO250" s="504"/>
      <c r="NP250" s="504"/>
      <c r="NQ250" s="504"/>
      <c r="NR250" s="504"/>
      <c r="NS250" s="504"/>
      <c r="NT250" s="504"/>
      <c r="NU250" s="504"/>
      <c r="NV250" s="504"/>
      <c r="NW250" s="504"/>
      <c r="NX250" s="504"/>
      <c r="NY250" s="504"/>
      <c r="NZ250" s="504"/>
      <c r="OA250" s="504"/>
      <c r="OB250" s="504"/>
      <c r="OC250" s="504"/>
      <c r="OD250" s="504"/>
      <c r="OE250" s="504"/>
      <c r="OF250" s="504"/>
      <c r="OG250" s="504"/>
      <c r="OH250" s="504"/>
      <c r="OI250" s="504"/>
      <c r="OJ250" s="504"/>
      <c r="OK250" s="504"/>
      <c r="OL250" s="504"/>
      <c r="OM250" s="504"/>
      <c r="ON250" s="504"/>
      <c r="OO250" s="504"/>
      <c r="OP250" s="504"/>
      <c r="OQ250" s="504"/>
      <c r="OR250" s="504"/>
      <c r="OS250" s="504"/>
      <c r="OT250" s="504"/>
      <c r="OU250" s="504"/>
      <c r="OV250" s="504"/>
      <c r="OW250" s="504"/>
      <c r="OX250" s="504"/>
      <c r="OY250" s="504"/>
      <c r="OZ250" s="504"/>
      <c r="PA250" s="504"/>
      <c r="PB250" s="504"/>
      <c r="PC250" s="504"/>
      <c r="PD250" s="504"/>
      <c r="PE250" s="504"/>
      <c r="PF250" s="504"/>
      <c r="PG250" s="504"/>
      <c r="PH250" s="504"/>
      <c r="PI250" s="504"/>
      <c r="PJ250" s="504"/>
      <c r="PK250" s="504"/>
      <c r="PL250" s="504"/>
      <c r="PM250" s="504"/>
      <c r="PN250" s="504"/>
      <c r="PO250" s="504"/>
      <c r="PP250" s="504"/>
      <c r="PQ250" s="504"/>
      <c r="PR250" s="504"/>
      <c r="PS250" s="504"/>
      <c r="PT250" s="504"/>
      <c r="PU250" s="504"/>
      <c r="PV250" s="504"/>
      <c r="PW250" s="504"/>
      <c r="PX250" s="504"/>
      <c r="PY250" s="504"/>
      <c r="PZ250" s="504"/>
      <c r="QA250" s="504"/>
      <c r="QB250" s="504"/>
      <c r="QC250" s="504"/>
      <c r="QD250" s="504"/>
      <c r="QE250" s="504"/>
      <c r="QF250" s="504"/>
      <c r="QG250" s="504"/>
      <c r="QH250" s="504"/>
      <c r="QI250" s="504"/>
      <c r="QJ250" s="504"/>
      <c r="QK250" s="504"/>
      <c r="QL250" s="504"/>
      <c r="QM250" s="504"/>
      <c r="QN250" s="504"/>
      <c r="QO250" s="504"/>
      <c r="QP250" s="504"/>
      <c r="QQ250" s="504"/>
      <c r="QR250" s="504"/>
      <c r="QS250" s="504"/>
      <c r="QT250" s="504"/>
      <c r="QU250" s="504"/>
      <c r="QV250" s="504"/>
      <c r="QW250" s="504"/>
      <c r="QX250" s="504"/>
      <c r="QY250" s="504"/>
      <c r="QZ250" s="504"/>
      <c r="RA250" s="504"/>
      <c r="RB250" s="504"/>
      <c r="RC250" s="504"/>
      <c r="RD250" s="504"/>
      <c r="RE250" s="504"/>
      <c r="RF250" s="504"/>
      <c r="RG250" s="504"/>
      <c r="RH250" s="504"/>
      <c r="RI250" s="504"/>
      <c r="RJ250" s="504"/>
      <c r="RK250" s="504"/>
      <c r="RL250" s="504"/>
      <c r="RM250" s="504"/>
      <c r="RN250" s="504"/>
      <c r="RO250" s="504"/>
      <c r="RP250" s="504"/>
      <c r="RQ250" s="504"/>
      <c r="RR250" s="504"/>
      <c r="RS250" s="504"/>
      <c r="RT250" s="504"/>
      <c r="RU250" s="504"/>
      <c r="RV250" s="504"/>
      <c r="RW250" s="504"/>
      <c r="RX250" s="504"/>
      <c r="RY250" s="504"/>
      <c r="RZ250" s="504"/>
      <c r="SA250" s="504"/>
      <c r="SB250" s="504"/>
      <c r="SC250" s="504"/>
      <c r="SD250" s="504"/>
      <c r="SE250" s="504"/>
      <c r="SF250" s="504"/>
      <c r="SG250" s="504"/>
      <c r="SH250" s="504"/>
      <c r="SI250" s="504"/>
      <c r="SJ250" s="504"/>
      <c r="SK250" s="504"/>
      <c r="SL250" s="504"/>
      <c r="SM250" s="504"/>
      <c r="SN250" s="504"/>
      <c r="SO250" s="504"/>
      <c r="SP250" s="504"/>
      <c r="SQ250" s="504"/>
      <c r="SR250" s="504"/>
      <c r="SS250" s="504"/>
      <c r="ST250" s="504"/>
      <c r="SU250" s="504"/>
      <c r="SV250" s="504"/>
      <c r="SW250" s="504"/>
      <c r="SX250" s="504"/>
      <c r="SY250" s="504"/>
      <c r="SZ250" s="504"/>
      <c r="TA250" s="504"/>
      <c r="TB250" s="504"/>
      <c r="TC250" s="504"/>
      <c r="TD250" s="504"/>
      <c r="TE250" s="504"/>
      <c r="TF250" s="504"/>
      <c r="TG250" s="504"/>
      <c r="TH250" s="504"/>
      <c r="TI250" s="504"/>
      <c r="TJ250" s="504"/>
      <c r="TK250" s="504"/>
      <c r="TL250" s="504"/>
      <c r="TM250" s="504"/>
      <c r="TN250" s="504"/>
      <c r="TO250" s="504"/>
      <c r="TP250" s="504"/>
      <c r="TQ250" s="504"/>
      <c r="TR250" s="504"/>
      <c r="TS250" s="504"/>
      <c r="TT250" s="504"/>
      <c r="TU250" s="504"/>
      <c r="TV250" s="504"/>
      <c r="TW250" s="504"/>
      <c r="TX250" s="504"/>
      <c r="TY250" s="504"/>
      <c r="TZ250" s="504"/>
      <c r="UA250" s="504"/>
      <c r="UB250" s="504"/>
      <c r="UC250" s="504"/>
      <c r="UD250" s="504"/>
      <c r="UE250" s="504"/>
      <c r="UF250" s="504"/>
      <c r="UG250" s="504"/>
      <c r="UH250" s="504"/>
      <c r="UI250" s="504"/>
      <c r="UJ250" s="504"/>
      <c r="UK250" s="504"/>
      <c r="UL250" s="504"/>
      <c r="UM250" s="504"/>
      <c r="UN250" s="504"/>
      <c r="UO250" s="504"/>
      <c r="UP250" s="504"/>
      <c r="UQ250" s="504"/>
      <c r="UR250" s="504"/>
      <c r="US250" s="504"/>
      <c r="UT250" s="504"/>
      <c r="UU250" s="504"/>
      <c r="UV250" s="504"/>
      <c r="UW250" s="504"/>
      <c r="UX250" s="504"/>
      <c r="UY250" s="504"/>
      <c r="UZ250" s="504"/>
      <c r="VA250" s="504"/>
      <c r="VB250" s="504"/>
      <c r="VC250" s="504"/>
      <c r="VD250" s="504"/>
      <c r="VE250" s="504"/>
      <c r="VF250" s="504"/>
      <c r="VG250" s="504"/>
      <c r="VH250" s="504"/>
      <c r="VI250" s="504"/>
      <c r="VJ250" s="504"/>
      <c r="VK250" s="504"/>
      <c r="VL250" s="504"/>
      <c r="VM250" s="504"/>
      <c r="VN250" s="504"/>
      <c r="VO250" s="504"/>
      <c r="VP250" s="504"/>
      <c r="VQ250" s="504"/>
      <c r="VR250" s="504"/>
      <c r="VS250" s="504"/>
      <c r="VT250" s="504"/>
      <c r="VU250" s="504"/>
      <c r="VV250" s="504"/>
      <c r="VW250" s="504"/>
      <c r="VX250" s="504"/>
      <c r="VY250" s="504"/>
      <c r="VZ250" s="504"/>
      <c r="WA250" s="504"/>
      <c r="WB250" s="504"/>
      <c r="WC250" s="504"/>
      <c r="WD250" s="504"/>
      <c r="WE250" s="504"/>
      <c r="WF250" s="504"/>
      <c r="WG250" s="504"/>
      <c r="WH250" s="504"/>
      <c r="WI250" s="504"/>
      <c r="WJ250" s="504"/>
      <c r="WK250" s="504"/>
      <c r="WL250" s="504"/>
      <c r="WM250" s="504"/>
      <c r="WN250" s="504"/>
      <c r="WO250" s="504"/>
      <c r="WP250" s="504"/>
      <c r="WQ250" s="504"/>
      <c r="WR250" s="504"/>
      <c r="WS250" s="504"/>
      <c r="WT250" s="504"/>
      <c r="WU250" s="504"/>
      <c r="WV250" s="504"/>
      <c r="WW250" s="504"/>
      <c r="WX250" s="504"/>
      <c r="WY250" s="504"/>
      <c r="WZ250" s="504"/>
      <c r="XA250" s="504"/>
      <c r="XB250" s="504"/>
      <c r="XC250" s="504"/>
      <c r="XD250" s="504"/>
      <c r="XE250" s="504"/>
      <c r="XF250" s="504"/>
      <c r="XG250" s="504"/>
      <c r="XH250" s="504"/>
      <c r="XI250" s="504"/>
      <c r="XJ250" s="504"/>
      <c r="XK250" s="504"/>
      <c r="XL250" s="504"/>
      <c r="XM250" s="504"/>
      <c r="XN250" s="504"/>
      <c r="XO250" s="504"/>
      <c r="XP250" s="504"/>
      <c r="XQ250" s="504"/>
      <c r="XR250" s="504"/>
      <c r="XS250" s="504"/>
      <c r="XT250" s="504"/>
      <c r="XU250" s="504"/>
      <c r="XV250" s="504"/>
      <c r="XW250" s="504"/>
      <c r="XX250" s="504"/>
      <c r="XY250" s="504"/>
      <c r="XZ250" s="504"/>
      <c r="YA250" s="504"/>
      <c r="YB250" s="504"/>
      <c r="YC250" s="504"/>
      <c r="YD250" s="504"/>
      <c r="YE250" s="504"/>
      <c r="YF250" s="504"/>
      <c r="YG250" s="504"/>
      <c r="YH250" s="504"/>
      <c r="YI250" s="504"/>
      <c r="YJ250" s="504"/>
      <c r="YK250" s="504"/>
      <c r="YL250" s="504"/>
      <c r="YM250" s="504"/>
      <c r="YN250" s="504"/>
      <c r="YO250" s="504"/>
      <c r="YP250" s="504"/>
      <c r="YQ250" s="504"/>
      <c r="YR250" s="504"/>
      <c r="YS250" s="504"/>
      <c r="YT250" s="504"/>
      <c r="YU250" s="504"/>
      <c r="YV250" s="504"/>
      <c r="YW250" s="504"/>
      <c r="YX250" s="504"/>
      <c r="YY250" s="504"/>
      <c r="YZ250" s="504"/>
      <c r="ZA250" s="504"/>
      <c r="ZB250" s="504"/>
      <c r="ZC250" s="504"/>
      <c r="ZD250" s="504"/>
      <c r="ZE250" s="504"/>
      <c r="ZF250" s="504"/>
      <c r="ZG250" s="504"/>
      <c r="ZH250" s="504"/>
      <c r="ZI250" s="504"/>
      <c r="ZJ250" s="504"/>
      <c r="ZK250" s="504"/>
      <c r="ZL250" s="504"/>
      <c r="ZM250" s="504"/>
      <c r="ZN250" s="504"/>
      <c r="ZO250" s="504"/>
      <c r="ZP250" s="504"/>
      <c r="ZQ250" s="504"/>
      <c r="ZR250" s="504"/>
      <c r="ZS250" s="504"/>
      <c r="ZT250" s="504"/>
      <c r="ZU250" s="504"/>
      <c r="ZV250" s="504"/>
      <c r="ZW250" s="504"/>
      <c r="ZX250" s="504"/>
      <c r="ZY250" s="504"/>
      <c r="ZZ250" s="504"/>
      <c r="AAA250" s="504"/>
      <c r="AAB250" s="504"/>
      <c r="AAC250" s="504"/>
      <c r="AAD250" s="504"/>
      <c r="AAE250" s="504"/>
      <c r="AAF250" s="504"/>
      <c r="AAG250" s="504"/>
      <c r="AAH250" s="504"/>
      <c r="AAI250" s="504"/>
      <c r="AAJ250" s="504"/>
      <c r="AAK250" s="504"/>
      <c r="AAL250" s="504"/>
      <c r="AAM250" s="504"/>
      <c r="AAN250" s="504"/>
      <c r="AAO250" s="504"/>
      <c r="AAP250" s="504"/>
      <c r="AAQ250" s="504"/>
      <c r="AAR250" s="504"/>
      <c r="AAS250" s="504"/>
      <c r="AAT250" s="504"/>
      <c r="AAU250" s="504"/>
      <c r="AAV250" s="504"/>
      <c r="AAW250" s="504"/>
      <c r="AAX250" s="504"/>
      <c r="AAY250" s="504"/>
      <c r="AAZ250" s="504"/>
      <c r="ABA250" s="504"/>
      <c r="ABB250" s="504"/>
      <c r="ABC250" s="504"/>
      <c r="ABD250" s="504"/>
      <c r="ABE250" s="504"/>
      <c r="ABF250" s="504"/>
      <c r="ABG250" s="504"/>
      <c r="ABH250" s="504"/>
      <c r="ABI250" s="504"/>
      <c r="ABJ250" s="504"/>
      <c r="ABK250" s="504"/>
      <c r="ABL250" s="504"/>
      <c r="ABM250" s="504"/>
      <c r="ABN250" s="504"/>
      <c r="ABO250" s="504"/>
      <c r="ABP250" s="504"/>
      <c r="ABQ250" s="504"/>
      <c r="ABR250" s="504"/>
      <c r="ABS250" s="504"/>
      <c r="ABT250" s="504"/>
      <c r="ABU250" s="504"/>
      <c r="ABV250" s="504"/>
      <c r="ABW250" s="504"/>
      <c r="ABX250" s="504"/>
      <c r="ABY250" s="504"/>
      <c r="ABZ250" s="504"/>
      <c r="ACA250" s="504"/>
      <c r="ACB250" s="504"/>
      <c r="ACC250" s="504"/>
      <c r="ACD250" s="504"/>
      <c r="ACE250" s="504"/>
      <c r="ACF250" s="504"/>
      <c r="ACG250" s="504"/>
      <c r="ACH250" s="504"/>
      <c r="ACI250" s="504"/>
      <c r="ACJ250" s="504"/>
      <c r="ACK250" s="504"/>
      <c r="ACL250" s="504"/>
      <c r="ACM250" s="504"/>
      <c r="ACN250" s="504"/>
      <c r="ACO250" s="504"/>
      <c r="ACP250" s="504"/>
      <c r="ACQ250" s="504"/>
      <c r="ACR250" s="504"/>
      <c r="ACS250" s="504"/>
      <c r="ACT250" s="504"/>
      <c r="ACU250" s="504"/>
      <c r="ACV250" s="504"/>
      <c r="ACW250" s="504"/>
      <c r="ACX250" s="504"/>
      <c r="ACY250" s="504"/>
      <c r="ACZ250" s="504"/>
      <c r="ADA250" s="504"/>
      <c r="ADB250" s="504"/>
      <c r="ADC250" s="504"/>
      <c r="ADD250" s="504"/>
      <c r="ADE250" s="504"/>
      <c r="ADF250" s="504"/>
      <c r="ADG250" s="504"/>
      <c r="ADH250" s="504"/>
      <c r="ADI250" s="504"/>
      <c r="ADJ250" s="504"/>
      <c r="ADK250" s="504"/>
      <c r="ADL250" s="504"/>
      <c r="ADM250" s="504"/>
      <c r="ADN250" s="504"/>
      <c r="ADO250" s="504"/>
      <c r="ADP250" s="504"/>
      <c r="ADQ250" s="504"/>
      <c r="ADR250" s="504"/>
      <c r="ADS250" s="504"/>
      <c r="ADT250" s="504"/>
      <c r="ADU250" s="504"/>
      <c r="ADV250" s="504"/>
      <c r="ADW250" s="504"/>
      <c r="ADX250" s="504"/>
      <c r="ADY250" s="504"/>
      <c r="ADZ250" s="504"/>
      <c r="AEA250" s="504"/>
      <c r="AEB250" s="504"/>
      <c r="AEC250" s="504"/>
      <c r="AED250" s="504"/>
      <c r="AEE250" s="504"/>
      <c r="AEF250" s="504"/>
      <c r="AEG250" s="504"/>
      <c r="AEH250" s="504"/>
      <c r="AEI250" s="504"/>
      <c r="AEJ250" s="504"/>
      <c r="AEK250" s="504"/>
      <c r="AEL250" s="504"/>
      <c r="AEM250" s="504"/>
      <c r="AEN250" s="504"/>
      <c r="AEO250" s="504"/>
      <c r="AEP250" s="504"/>
      <c r="AEQ250" s="504"/>
      <c r="AER250" s="504"/>
      <c r="AES250" s="504"/>
      <c r="AET250" s="504"/>
      <c r="AEU250" s="504"/>
      <c r="AEV250" s="504"/>
      <c r="AEW250" s="504"/>
      <c r="AEX250" s="504"/>
      <c r="AEY250" s="504"/>
      <c r="AEZ250" s="504"/>
      <c r="AFA250" s="504"/>
      <c r="AFB250" s="504"/>
      <c r="AFC250" s="504"/>
      <c r="AFD250" s="504"/>
      <c r="AFE250" s="504"/>
      <c r="AFF250" s="504"/>
      <c r="AFG250" s="504"/>
      <c r="AFH250" s="504"/>
      <c r="AFI250" s="504"/>
      <c r="AFJ250" s="504"/>
      <c r="AFK250" s="504"/>
      <c r="AFL250" s="504"/>
      <c r="AFM250" s="504"/>
      <c r="AFN250" s="504"/>
      <c r="AFO250" s="504"/>
      <c r="AFP250" s="504"/>
      <c r="AFQ250" s="504"/>
      <c r="AFR250" s="504"/>
      <c r="AFS250" s="504"/>
      <c r="AFT250" s="504"/>
      <c r="AFU250" s="504"/>
      <c r="AFV250" s="504"/>
      <c r="AFW250" s="504"/>
      <c r="AFX250" s="504"/>
      <c r="AFY250" s="504"/>
      <c r="AFZ250" s="504"/>
      <c r="AGA250" s="504"/>
      <c r="AGB250" s="504"/>
      <c r="AGC250" s="504"/>
      <c r="AGD250" s="504"/>
      <c r="AGE250" s="504"/>
      <c r="AGF250" s="504"/>
      <c r="AGG250" s="504"/>
      <c r="AGH250" s="504"/>
      <c r="AGI250" s="504"/>
      <c r="AGJ250" s="504"/>
      <c r="AGK250" s="504"/>
      <c r="AGL250" s="504"/>
      <c r="AGM250" s="504"/>
      <c r="AGN250" s="504"/>
      <c r="AGO250" s="504"/>
      <c r="AGP250" s="504"/>
      <c r="AGQ250" s="504"/>
      <c r="AGR250" s="504"/>
      <c r="AGS250" s="504"/>
      <c r="AGT250" s="504"/>
      <c r="AGU250" s="504"/>
      <c r="AGV250" s="504"/>
      <c r="AGW250" s="504"/>
      <c r="AGX250" s="504"/>
      <c r="AGY250" s="504"/>
      <c r="AGZ250" s="504"/>
      <c r="AHA250" s="504"/>
      <c r="AHB250" s="504"/>
      <c r="AHC250" s="504"/>
      <c r="AHD250" s="504"/>
      <c r="AHE250" s="504"/>
      <c r="AHF250" s="504"/>
      <c r="AHG250" s="504"/>
      <c r="AHH250" s="504"/>
      <c r="AHI250" s="504"/>
      <c r="AHJ250" s="504"/>
      <c r="AHK250" s="504"/>
      <c r="AHL250" s="504"/>
      <c r="AHM250" s="504"/>
      <c r="AHN250" s="504"/>
      <c r="AHO250" s="504"/>
      <c r="AHP250" s="504"/>
      <c r="AHQ250" s="504"/>
      <c r="AHR250" s="504"/>
      <c r="AHS250" s="504"/>
      <c r="AHT250" s="504"/>
      <c r="AHU250" s="504"/>
      <c r="AHV250" s="504"/>
      <c r="AHW250" s="504"/>
      <c r="AHX250" s="504"/>
      <c r="AHY250" s="504"/>
      <c r="AHZ250" s="504"/>
      <c r="AIA250" s="504"/>
      <c r="AIB250" s="504"/>
      <c r="AIC250" s="504"/>
      <c r="AID250" s="504"/>
      <c r="AIE250" s="504"/>
      <c r="AIF250" s="504"/>
      <c r="AIG250" s="504"/>
      <c r="AIH250" s="504"/>
      <c r="AII250" s="504"/>
      <c r="AIJ250" s="504"/>
      <c r="AIK250" s="504"/>
      <c r="AIL250" s="504"/>
      <c r="AIM250" s="504"/>
      <c r="AIN250" s="504"/>
      <c r="AIO250" s="504"/>
      <c r="AIP250" s="504"/>
      <c r="AIQ250" s="504"/>
      <c r="AIR250" s="504"/>
      <c r="AIS250" s="504"/>
      <c r="AIT250" s="504"/>
      <c r="AIU250" s="504"/>
      <c r="AIV250" s="504"/>
      <c r="AIW250" s="504"/>
      <c r="AIX250" s="504"/>
      <c r="AIY250" s="504"/>
      <c r="AIZ250" s="504"/>
      <c r="AJA250" s="504"/>
      <c r="AJB250" s="504"/>
      <c r="AJC250" s="504"/>
      <c r="AJD250" s="504"/>
      <c r="AJE250" s="504"/>
      <c r="AJF250" s="504"/>
      <c r="AJG250" s="504"/>
      <c r="AJH250" s="504"/>
      <c r="AJI250" s="504"/>
      <c r="AJJ250" s="504"/>
      <c r="AJK250" s="504"/>
      <c r="AJL250" s="504"/>
      <c r="AJM250" s="504"/>
      <c r="AJN250" s="504"/>
      <c r="AJO250" s="504"/>
      <c r="AJP250" s="504"/>
      <c r="AJQ250" s="504"/>
      <c r="AJR250" s="504"/>
      <c r="AJS250" s="504"/>
      <c r="AJT250" s="504"/>
      <c r="AJU250" s="504"/>
      <c r="AJV250" s="504"/>
      <c r="AJW250" s="504"/>
      <c r="AJX250" s="504"/>
      <c r="AJY250" s="504"/>
      <c r="AJZ250" s="504"/>
      <c r="AKA250" s="504"/>
      <c r="AKB250" s="504"/>
      <c r="AKC250" s="504"/>
      <c r="AKD250" s="504"/>
      <c r="AKE250" s="504"/>
      <c r="AKF250" s="504"/>
      <c r="AKG250" s="504"/>
      <c r="AKH250" s="504"/>
      <c r="AKI250" s="504"/>
      <c r="AKJ250" s="504"/>
      <c r="AKK250" s="504"/>
      <c r="AKL250" s="504"/>
      <c r="AKM250" s="504"/>
      <c r="AKN250" s="504"/>
      <c r="AKO250" s="504"/>
      <c r="AKP250" s="504"/>
      <c r="AKQ250" s="504"/>
      <c r="AKR250" s="504"/>
      <c r="AKS250" s="504"/>
      <c r="AKT250" s="504"/>
      <c r="AKU250" s="504"/>
      <c r="AKV250" s="504"/>
      <c r="AKW250" s="504"/>
      <c r="AKX250" s="504"/>
      <c r="AKY250" s="504"/>
      <c r="AKZ250" s="504"/>
      <c r="ALA250" s="504"/>
      <c r="ALB250" s="504"/>
      <c r="ALC250" s="504"/>
      <c r="ALD250" s="504"/>
      <c r="ALE250" s="504"/>
      <c r="ALF250" s="504"/>
      <c r="ALG250" s="504"/>
      <c r="ALH250" s="504"/>
      <c r="ALI250" s="504"/>
      <c r="ALJ250" s="504"/>
      <c r="ALK250" s="504"/>
      <c r="ALL250" s="504"/>
      <c r="ALM250" s="504"/>
      <c r="ALN250" s="504"/>
      <c r="ALO250" s="504"/>
      <c r="ALP250" s="504"/>
      <c r="ALQ250" s="504"/>
      <c r="ALR250" s="504"/>
      <c r="ALS250" s="504"/>
      <c r="ALT250" s="504"/>
      <c r="ALU250" s="504"/>
      <c r="ALV250" s="504"/>
      <c r="ALW250" s="504"/>
      <c r="ALX250" s="504"/>
      <c r="ALY250" s="504"/>
      <c r="ALZ250" s="504"/>
      <c r="AMA250" s="504"/>
      <c r="AMB250" s="504"/>
      <c r="AMC250" s="504"/>
      <c r="AMD250" s="504"/>
      <c r="AME250" s="504"/>
      <c r="AMF250" s="504"/>
      <c r="AMG250" s="504"/>
      <c r="AMH250" s="504"/>
      <c r="AMI250" s="504"/>
      <c r="AMJ250" s="504"/>
      <c r="AMK250" s="504"/>
      <c r="AML250" s="504"/>
      <c r="AMM250" s="504"/>
      <c r="AMN250" s="504"/>
      <c r="AMO250" s="504"/>
      <c r="AMP250" s="504"/>
      <c r="AMQ250" s="504"/>
      <c r="AMR250" s="504"/>
      <c r="AMS250" s="504"/>
      <c r="AMT250" s="504"/>
      <c r="AMU250" s="504"/>
      <c r="AMV250" s="504"/>
      <c r="AMW250" s="504"/>
      <c r="AMX250" s="504"/>
      <c r="AMY250" s="504"/>
      <c r="AMZ250" s="504"/>
      <c r="ANA250" s="504"/>
      <c r="ANB250" s="504"/>
      <c r="ANC250" s="504"/>
      <c r="AND250" s="504"/>
      <c r="ANE250" s="504"/>
      <c r="ANF250" s="504"/>
      <c r="ANG250" s="504"/>
      <c r="ANH250" s="504"/>
      <c r="ANI250" s="504"/>
      <c r="ANJ250" s="504"/>
      <c r="ANK250" s="504"/>
      <c r="ANL250" s="504"/>
      <c r="ANM250" s="504"/>
      <c r="ANN250" s="504"/>
      <c r="ANO250" s="504"/>
      <c r="ANP250" s="504"/>
      <c r="ANQ250" s="504"/>
      <c r="ANR250" s="504"/>
      <c r="ANS250" s="504"/>
      <c r="ANT250" s="504"/>
      <c r="ANU250" s="504"/>
      <c r="ANV250" s="504"/>
      <c r="ANW250" s="504"/>
      <c r="ANX250" s="504"/>
      <c r="ANY250" s="504"/>
      <c r="ANZ250" s="504"/>
      <c r="AOA250" s="504"/>
      <c r="AOB250" s="504"/>
      <c r="AOC250" s="504"/>
      <c r="AOD250" s="504"/>
      <c r="AOE250" s="504"/>
      <c r="AOF250" s="504"/>
      <c r="AOG250" s="504"/>
      <c r="AOH250" s="504"/>
      <c r="AOI250" s="504"/>
      <c r="AOJ250" s="504"/>
      <c r="AOK250" s="504"/>
      <c r="AOL250" s="504"/>
      <c r="AOM250" s="504"/>
      <c r="AON250" s="504"/>
      <c r="AOO250" s="504"/>
      <c r="AOP250" s="504"/>
      <c r="AOQ250" s="504"/>
      <c r="AOR250" s="504"/>
      <c r="AOS250" s="504"/>
      <c r="AOT250" s="504"/>
      <c r="AOU250" s="504"/>
      <c r="AOV250" s="504"/>
      <c r="AOW250" s="504"/>
      <c r="AOX250" s="504"/>
      <c r="AOY250" s="504"/>
      <c r="AOZ250" s="504"/>
      <c r="APA250" s="504"/>
      <c r="APB250" s="504"/>
      <c r="APC250" s="504"/>
      <c r="APD250" s="504"/>
      <c r="APE250" s="504"/>
      <c r="APF250" s="504"/>
      <c r="APG250" s="504"/>
      <c r="APH250" s="504"/>
      <c r="API250" s="504"/>
      <c r="APJ250" s="504"/>
      <c r="APK250" s="504"/>
      <c r="APL250" s="504"/>
      <c r="APM250" s="504"/>
      <c r="APN250" s="504"/>
      <c r="APO250" s="504"/>
      <c r="APP250" s="504"/>
      <c r="APQ250" s="504"/>
      <c r="APR250" s="504"/>
      <c r="APS250" s="504"/>
      <c r="APT250" s="504"/>
      <c r="APU250" s="504"/>
      <c r="APV250" s="504"/>
      <c r="APW250" s="504"/>
      <c r="APX250" s="504"/>
      <c r="APY250" s="504"/>
      <c r="APZ250" s="504"/>
      <c r="AQA250" s="504"/>
      <c r="AQB250" s="504"/>
      <c r="AQC250" s="504"/>
      <c r="AQD250" s="504"/>
      <c r="AQE250" s="504"/>
      <c r="AQF250" s="504"/>
      <c r="AQG250" s="504"/>
      <c r="AQH250" s="504"/>
      <c r="AQI250" s="504"/>
      <c r="AQJ250" s="504"/>
      <c r="AQK250" s="504"/>
      <c r="AQL250" s="504"/>
      <c r="AQM250" s="504"/>
      <c r="AQN250" s="504"/>
      <c r="AQO250" s="504"/>
      <c r="AQP250" s="504"/>
      <c r="AQQ250" s="504"/>
      <c r="AQR250" s="504"/>
      <c r="AQS250" s="504"/>
      <c r="AQT250" s="504"/>
      <c r="AQU250" s="504"/>
      <c r="AQV250" s="504"/>
      <c r="AQW250" s="504"/>
      <c r="AQX250" s="504"/>
      <c r="AQY250" s="504"/>
      <c r="AQZ250" s="504"/>
      <c r="ARA250" s="504"/>
      <c r="ARB250" s="504"/>
      <c r="ARC250" s="504"/>
      <c r="ARD250" s="504"/>
      <c r="ARE250" s="504"/>
      <c r="ARF250" s="504"/>
      <c r="ARG250" s="504"/>
      <c r="ARH250" s="504"/>
      <c r="ARI250" s="504"/>
      <c r="ARJ250" s="504"/>
      <c r="ARK250" s="504"/>
      <c r="ARL250" s="504"/>
      <c r="ARM250" s="504"/>
      <c r="ARN250" s="504"/>
      <c r="ARO250" s="504"/>
      <c r="ARP250" s="504"/>
      <c r="ARQ250" s="504"/>
      <c r="ARR250" s="504"/>
      <c r="ARS250" s="504"/>
      <c r="ART250" s="504"/>
      <c r="ARU250" s="504"/>
      <c r="ARV250" s="504"/>
      <c r="ARW250" s="504"/>
      <c r="ARX250" s="504"/>
      <c r="ARY250" s="504"/>
      <c r="ARZ250" s="504"/>
      <c r="ASA250" s="504"/>
      <c r="ASB250" s="504"/>
      <c r="ASC250" s="504"/>
      <c r="ASD250" s="504"/>
      <c r="ASE250" s="504"/>
      <c r="ASF250" s="504"/>
      <c r="ASG250" s="504"/>
      <c r="ASH250" s="504"/>
      <c r="ASI250" s="504"/>
      <c r="ASJ250" s="504"/>
      <c r="ASK250" s="504"/>
      <c r="ASL250" s="504"/>
      <c r="ASM250" s="504"/>
      <c r="ASN250" s="504"/>
      <c r="ASO250" s="504"/>
      <c r="ASP250" s="504"/>
      <c r="ASQ250" s="504"/>
      <c r="ASR250" s="504"/>
      <c r="ASS250" s="504"/>
      <c r="AST250" s="504"/>
      <c r="ASU250" s="504"/>
      <c r="ASV250" s="504"/>
      <c r="ASW250" s="504"/>
      <c r="ASX250" s="504"/>
      <c r="ASY250" s="504"/>
      <c r="ASZ250" s="504"/>
      <c r="ATA250" s="504"/>
      <c r="ATB250" s="504"/>
      <c r="ATC250" s="504"/>
      <c r="ATD250" s="504"/>
      <c r="ATE250" s="504"/>
      <c r="ATF250" s="504"/>
      <c r="ATG250" s="504"/>
      <c r="ATH250" s="504"/>
      <c r="ATI250" s="504"/>
      <c r="ATJ250" s="504"/>
      <c r="ATK250" s="504"/>
      <c r="ATL250" s="504"/>
      <c r="ATM250" s="504"/>
      <c r="ATN250" s="504"/>
      <c r="ATO250" s="504"/>
      <c r="ATP250" s="504"/>
      <c r="ATQ250" s="504"/>
      <c r="ATR250" s="504"/>
      <c r="ATS250" s="504"/>
      <c r="ATT250" s="504"/>
      <c r="ATU250" s="504"/>
      <c r="ATV250" s="504"/>
      <c r="ATW250" s="504"/>
      <c r="ATX250" s="504"/>
      <c r="ATY250" s="504"/>
      <c r="ATZ250" s="504"/>
      <c r="AUA250" s="504"/>
      <c r="AUB250" s="504"/>
      <c r="AUC250" s="504"/>
      <c r="AUD250" s="504"/>
      <c r="AUE250" s="504"/>
      <c r="AUF250" s="504"/>
      <c r="AUG250" s="504"/>
      <c r="AUH250" s="504"/>
      <c r="AUI250" s="504"/>
      <c r="AUJ250" s="504"/>
      <c r="AUK250" s="504"/>
      <c r="AUL250" s="504"/>
      <c r="AUM250" s="504"/>
      <c r="AUN250" s="504"/>
      <c r="AUO250" s="504"/>
      <c r="AUP250" s="504"/>
      <c r="AUQ250" s="504"/>
      <c r="AUR250" s="504"/>
      <c r="AUS250" s="504"/>
      <c r="AUT250" s="504"/>
      <c r="AUU250" s="504"/>
      <c r="AUV250" s="504"/>
      <c r="AUW250" s="504"/>
      <c r="AUX250" s="504"/>
      <c r="AUY250" s="504"/>
      <c r="AUZ250" s="504"/>
      <c r="AVA250" s="504"/>
      <c r="AVB250" s="504"/>
      <c r="AVC250" s="504"/>
      <c r="AVD250" s="504"/>
      <c r="AVE250" s="504"/>
      <c r="AVF250" s="504"/>
      <c r="AVG250" s="504"/>
      <c r="AVH250" s="504"/>
      <c r="AVI250" s="504"/>
      <c r="AVJ250" s="504"/>
      <c r="AVK250" s="504"/>
      <c r="AVL250" s="504"/>
      <c r="AVM250" s="504"/>
      <c r="AVN250" s="504"/>
      <c r="AVO250" s="504"/>
      <c r="AVP250" s="504"/>
      <c r="AVQ250" s="504"/>
      <c r="AVR250" s="504"/>
      <c r="AVS250" s="504"/>
      <c r="AVT250" s="504"/>
      <c r="AVU250" s="504"/>
      <c r="AVV250" s="504"/>
      <c r="AVW250" s="504"/>
      <c r="AVX250" s="504"/>
      <c r="AVY250" s="504"/>
      <c r="AVZ250" s="504"/>
      <c r="AWA250" s="504"/>
      <c r="AWB250" s="504"/>
      <c r="AWC250" s="504"/>
      <c r="AWD250" s="504"/>
      <c r="AWE250" s="504"/>
      <c r="AWF250" s="504"/>
      <c r="AWG250" s="504"/>
      <c r="AWH250" s="504"/>
      <c r="AWI250" s="504"/>
      <c r="AWJ250" s="504"/>
      <c r="AWK250" s="504"/>
      <c r="AWL250" s="504"/>
      <c r="AWM250" s="504"/>
      <c r="AWN250" s="504"/>
      <c r="AWO250" s="504"/>
      <c r="AWP250" s="504"/>
      <c r="AWQ250" s="504"/>
      <c r="AWR250" s="504"/>
      <c r="AWS250" s="504"/>
      <c r="AWT250" s="504"/>
      <c r="AWU250" s="504"/>
      <c r="AWV250" s="504"/>
      <c r="AWW250" s="504"/>
      <c r="AWX250" s="504"/>
      <c r="AWY250" s="504"/>
      <c r="AWZ250" s="504"/>
      <c r="AXA250" s="504"/>
      <c r="AXB250" s="504"/>
      <c r="AXC250" s="504"/>
      <c r="AXD250" s="504"/>
      <c r="AXE250" s="504"/>
      <c r="AXF250" s="504"/>
      <c r="AXG250" s="504"/>
      <c r="AXH250" s="504"/>
      <c r="AXI250" s="504"/>
      <c r="AXJ250" s="504"/>
      <c r="AXK250" s="504"/>
      <c r="AXL250" s="504"/>
      <c r="AXM250" s="504"/>
      <c r="AXN250" s="504"/>
      <c r="AXO250" s="504"/>
      <c r="AXP250" s="504"/>
      <c r="AXQ250" s="504"/>
      <c r="AXR250" s="504"/>
      <c r="AXS250" s="504"/>
      <c r="AXT250" s="504"/>
      <c r="AXU250" s="504"/>
      <c r="AXV250" s="504"/>
      <c r="AXW250" s="504"/>
      <c r="AXX250" s="504"/>
      <c r="AXY250" s="504"/>
      <c r="AXZ250" s="504"/>
      <c r="AYA250" s="504"/>
      <c r="AYB250" s="504"/>
      <c r="AYC250" s="504"/>
      <c r="AYD250" s="504"/>
      <c r="AYE250" s="504"/>
      <c r="AYF250" s="504"/>
      <c r="AYG250" s="504"/>
      <c r="AYH250" s="504"/>
      <c r="AYI250" s="504"/>
      <c r="AYJ250" s="504"/>
      <c r="AYK250" s="504"/>
      <c r="AYL250" s="504"/>
      <c r="AYM250" s="504"/>
      <c r="AYN250" s="504"/>
      <c r="AYO250" s="504"/>
      <c r="AYP250" s="504"/>
      <c r="AYQ250" s="504"/>
      <c r="AYR250" s="504"/>
      <c r="AYS250" s="504"/>
      <c r="AYT250" s="504"/>
      <c r="AYU250" s="504"/>
      <c r="AYV250" s="504"/>
      <c r="AYW250" s="504"/>
      <c r="AYX250" s="504"/>
      <c r="AYY250" s="504"/>
      <c r="AYZ250" s="504"/>
      <c r="AZA250" s="504"/>
      <c r="AZB250" s="504"/>
      <c r="AZC250" s="504"/>
      <c r="AZD250" s="504"/>
      <c r="AZE250" s="504"/>
      <c r="AZF250" s="504"/>
      <c r="AZG250" s="504"/>
      <c r="AZH250" s="504"/>
      <c r="AZI250" s="504"/>
      <c r="AZJ250" s="504"/>
      <c r="AZK250" s="504"/>
      <c r="AZL250" s="504"/>
      <c r="AZM250" s="504"/>
      <c r="AZN250" s="504"/>
      <c r="AZO250" s="504"/>
      <c r="AZP250" s="504"/>
      <c r="AZQ250" s="504"/>
      <c r="AZR250" s="504"/>
      <c r="AZS250" s="504"/>
      <c r="AZT250" s="504"/>
      <c r="AZU250" s="504"/>
      <c r="AZV250" s="504"/>
      <c r="AZW250" s="504"/>
      <c r="AZX250" s="504"/>
      <c r="AZY250" s="504"/>
      <c r="AZZ250" s="504"/>
      <c r="BAA250" s="504"/>
      <c r="BAB250" s="504"/>
      <c r="BAC250" s="504"/>
      <c r="BAD250" s="504"/>
      <c r="BAE250" s="504"/>
      <c r="BAF250" s="504"/>
      <c r="BAG250" s="504"/>
      <c r="BAH250" s="504"/>
      <c r="BAI250" s="504"/>
      <c r="BAJ250" s="504"/>
      <c r="BAK250" s="504"/>
      <c r="BAL250" s="504"/>
      <c r="BAM250" s="504"/>
      <c r="BAN250" s="504"/>
      <c r="BAO250" s="504"/>
      <c r="BAP250" s="504"/>
      <c r="BAQ250" s="504"/>
      <c r="BAR250" s="504"/>
      <c r="BAS250" s="504"/>
      <c r="BAT250" s="504"/>
      <c r="BAU250" s="504"/>
      <c r="BAV250" s="504"/>
      <c r="BAW250" s="504"/>
      <c r="BAX250" s="504"/>
      <c r="BAY250" s="504"/>
      <c r="BAZ250" s="504"/>
      <c r="BBA250" s="504"/>
      <c r="BBB250" s="504"/>
      <c r="BBC250" s="504"/>
      <c r="BBD250" s="504"/>
      <c r="BBE250" s="504"/>
      <c r="BBF250" s="504"/>
      <c r="BBG250" s="504"/>
      <c r="BBH250" s="504"/>
      <c r="BBI250" s="504"/>
      <c r="BBJ250" s="504"/>
      <c r="BBK250" s="504"/>
      <c r="BBL250" s="504"/>
      <c r="BBM250" s="504"/>
      <c r="BBN250" s="504"/>
      <c r="BBO250" s="504"/>
      <c r="BBP250" s="504"/>
      <c r="BBQ250" s="504"/>
      <c r="BBR250" s="504"/>
      <c r="BBS250" s="504"/>
      <c r="BBT250" s="504"/>
      <c r="BBU250" s="504"/>
      <c r="BBV250" s="504"/>
      <c r="BBW250" s="504"/>
      <c r="BBX250" s="504"/>
      <c r="BBY250" s="504"/>
      <c r="BBZ250" s="504"/>
      <c r="BCA250" s="504"/>
      <c r="BCB250" s="504"/>
      <c r="BCC250" s="504"/>
      <c r="BCD250" s="504"/>
      <c r="BCE250" s="504"/>
      <c r="BCF250" s="504"/>
      <c r="BCG250" s="504"/>
      <c r="BCH250" s="504"/>
      <c r="BCI250" s="504"/>
      <c r="BCJ250" s="504"/>
      <c r="BCK250" s="504"/>
      <c r="BCL250" s="504"/>
      <c r="BCM250" s="504"/>
      <c r="BCN250" s="504"/>
      <c r="BCO250" s="504"/>
      <c r="BCP250" s="504"/>
      <c r="BCQ250" s="504"/>
      <c r="BCR250" s="504"/>
      <c r="BCS250" s="504"/>
      <c r="BCT250" s="504"/>
      <c r="BCU250" s="504"/>
      <c r="BCV250" s="504"/>
      <c r="BCW250" s="504"/>
      <c r="BCX250" s="504"/>
      <c r="BCY250" s="504"/>
      <c r="BCZ250" s="504"/>
      <c r="BDA250" s="504"/>
      <c r="BDB250" s="504"/>
      <c r="BDC250" s="504"/>
      <c r="BDD250" s="504"/>
      <c r="BDE250" s="504"/>
      <c r="BDF250" s="504"/>
      <c r="BDG250" s="504"/>
      <c r="BDH250" s="504"/>
      <c r="BDI250" s="504"/>
      <c r="BDJ250" s="504"/>
      <c r="BDK250" s="504"/>
      <c r="BDL250" s="504"/>
      <c r="BDM250" s="504"/>
      <c r="BDN250" s="504"/>
      <c r="BDO250" s="504"/>
      <c r="BDP250" s="504"/>
      <c r="BDQ250" s="504"/>
      <c r="BDR250" s="504"/>
      <c r="BDS250" s="504"/>
      <c r="BDT250" s="504"/>
      <c r="BDU250" s="504"/>
      <c r="BDV250" s="504"/>
      <c r="BDW250" s="504"/>
      <c r="BDX250" s="504"/>
      <c r="BDY250" s="504"/>
      <c r="BDZ250" s="504"/>
      <c r="BEA250" s="504"/>
      <c r="BEB250" s="504"/>
      <c r="BEC250" s="504"/>
      <c r="BED250" s="504"/>
      <c r="BEE250" s="504"/>
      <c r="BEF250" s="504"/>
      <c r="BEG250" s="504"/>
      <c r="BEH250" s="504"/>
      <c r="BEI250" s="504"/>
      <c r="BEJ250" s="504"/>
      <c r="BEK250" s="504"/>
      <c r="BEL250" s="504"/>
      <c r="BEM250" s="504"/>
      <c r="BEN250" s="504"/>
      <c r="BEO250" s="504"/>
      <c r="BEP250" s="504"/>
      <c r="BEQ250" s="504"/>
      <c r="BER250" s="504"/>
      <c r="BES250" s="504"/>
      <c r="BET250" s="504"/>
      <c r="BEU250" s="504"/>
      <c r="BEV250" s="504"/>
      <c r="BEW250" s="504"/>
      <c r="BEX250" s="504"/>
      <c r="BEY250" s="504"/>
      <c r="BEZ250" s="504"/>
      <c r="BFA250" s="504"/>
      <c r="BFB250" s="504"/>
      <c r="BFC250" s="504"/>
      <c r="BFD250" s="504"/>
      <c r="BFE250" s="504"/>
      <c r="BFF250" s="504"/>
      <c r="BFG250" s="504"/>
      <c r="BFH250" s="504"/>
      <c r="BFI250" s="504"/>
      <c r="BFJ250" s="504"/>
      <c r="BFK250" s="504"/>
      <c r="BFL250" s="504"/>
      <c r="BFM250" s="504"/>
      <c r="BFN250" s="504"/>
      <c r="BFO250" s="504"/>
      <c r="BFP250" s="504"/>
      <c r="BFQ250" s="504"/>
      <c r="BFR250" s="504"/>
      <c r="BFS250" s="504"/>
      <c r="BFT250" s="504"/>
      <c r="BFU250" s="504"/>
      <c r="BFV250" s="504"/>
      <c r="BFW250" s="504"/>
      <c r="BFX250" s="504"/>
      <c r="BFY250" s="504"/>
      <c r="BFZ250" s="504"/>
      <c r="BGA250" s="504"/>
      <c r="BGB250" s="504"/>
      <c r="BGC250" s="504"/>
      <c r="BGD250" s="504"/>
      <c r="BGE250" s="504"/>
      <c r="BGF250" s="504"/>
      <c r="BGG250" s="504"/>
      <c r="BGH250" s="504"/>
      <c r="BGI250" s="504"/>
      <c r="BGJ250" s="504"/>
      <c r="BGK250" s="504"/>
      <c r="BGL250" s="504"/>
      <c r="BGM250" s="504"/>
      <c r="BGN250" s="504"/>
      <c r="BGO250" s="504"/>
      <c r="BGP250" s="504"/>
      <c r="BGQ250" s="504"/>
      <c r="BGR250" s="504"/>
      <c r="BGS250" s="504"/>
      <c r="BGT250" s="504"/>
      <c r="BGU250" s="504"/>
      <c r="BGV250" s="504"/>
      <c r="BGW250" s="504"/>
      <c r="BGX250" s="504"/>
      <c r="BGY250" s="504"/>
      <c r="BGZ250" s="504"/>
      <c r="BHA250" s="504"/>
      <c r="BHB250" s="504"/>
      <c r="BHC250" s="504"/>
      <c r="BHD250" s="504"/>
      <c r="BHE250" s="504"/>
      <c r="BHF250" s="504"/>
      <c r="BHG250" s="504"/>
      <c r="BHH250" s="504"/>
      <c r="BHI250" s="504"/>
      <c r="BHJ250" s="504"/>
      <c r="BHK250" s="504"/>
      <c r="BHL250" s="504"/>
      <c r="BHM250" s="504"/>
      <c r="BHN250" s="504"/>
      <c r="BHO250" s="504"/>
      <c r="BHP250" s="504"/>
      <c r="BHQ250" s="504"/>
      <c r="BHR250" s="504"/>
      <c r="BHS250" s="504"/>
      <c r="BHT250" s="504"/>
      <c r="BHU250" s="504"/>
      <c r="BHV250" s="504"/>
      <c r="BHW250" s="504"/>
      <c r="BHX250" s="504"/>
      <c r="BHY250" s="504"/>
      <c r="BHZ250" s="504"/>
      <c r="BIA250" s="504"/>
      <c r="BIB250" s="504"/>
      <c r="BIC250" s="504"/>
      <c r="BID250" s="504"/>
      <c r="BIE250" s="504"/>
      <c r="BIF250" s="504"/>
      <c r="BIG250" s="504"/>
      <c r="BIH250" s="504"/>
      <c r="BII250" s="504"/>
      <c r="BIJ250" s="504"/>
      <c r="BIK250" s="504"/>
      <c r="BIL250" s="504"/>
      <c r="BIM250" s="504"/>
      <c r="BIN250" s="504"/>
      <c r="BIO250" s="504"/>
      <c r="BIP250" s="504"/>
      <c r="BIQ250" s="504"/>
      <c r="BIR250" s="504"/>
      <c r="BIS250" s="504"/>
      <c r="BIT250" s="504"/>
      <c r="BIU250" s="504"/>
      <c r="BIV250" s="504"/>
      <c r="BIW250" s="504"/>
      <c r="BIX250" s="504"/>
      <c r="BIY250" s="504"/>
      <c r="BIZ250" s="504"/>
      <c r="BJA250" s="504"/>
      <c r="BJB250" s="504"/>
      <c r="BJC250" s="504"/>
      <c r="BJD250" s="504"/>
      <c r="BJE250" s="504"/>
      <c r="BJF250" s="504"/>
      <c r="BJG250" s="504"/>
      <c r="BJH250" s="504"/>
      <c r="BJI250" s="504"/>
      <c r="BJJ250" s="504"/>
      <c r="BJK250" s="504"/>
      <c r="BJL250" s="504"/>
      <c r="BJM250" s="504"/>
      <c r="BJN250" s="504"/>
      <c r="BJO250" s="504"/>
      <c r="BJP250" s="504"/>
      <c r="BJQ250" s="504"/>
      <c r="BJR250" s="504"/>
      <c r="BJS250" s="504"/>
      <c r="BJT250" s="504"/>
      <c r="BJU250" s="504"/>
      <c r="BJV250" s="504"/>
      <c r="BJW250" s="504"/>
      <c r="BJX250" s="504"/>
      <c r="BJY250" s="504"/>
      <c r="BJZ250" s="504"/>
      <c r="BKA250" s="504"/>
      <c r="BKB250" s="504"/>
      <c r="BKC250" s="504"/>
      <c r="BKD250" s="504"/>
      <c r="BKE250" s="504"/>
      <c r="BKF250" s="504"/>
      <c r="BKG250" s="504"/>
      <c r="BKH250" s="504"/>
      <c r="BKI250" s="504"/>
      <c r="BKJ250" s="504"/>
      <c r="BKK250" s="504"/>
      <c r="BKL250" s="504"/>
      <c r="BKM250" s="504"/>
      <c r="BKN250" s="504"/>
      <c r="BKO250" s="504"/>
      <c r="BKP250" s="504"/>
      <c r="BKQ250" s="504"/>
      <c r="BKR250" s="504"/>
      <c r="BKS250" s="504"/>
      <c r="BKT250" s="504"/>
      <c r="BKU250" s="504"/>
      <c r="BKV250" s="504"/>
      <c r="BKW250" s="504"/>
      <c r="BKX250" s="504"/>
      <c r="BKY250" s="504"/>
      <c r="BKZ250" s="504"/>
      <c r="BLA250" s="504"/>
      <c r="BLB250" s="504"/>
      <c r="BLC250" s="504"/>
      <c r="BLD250" s="504"/>
      <c r="BLE250" s="504"/>
      <c r="BLF250" s="504"/>
      <c r="BLG250" s="504"/>
      <c r="BLH250" s="504"/>
      <c r="BLI250" s="504"/>
      <c r="BLJ250" s="504"/>
      <c r="BLK250" s="504"/>
      <c r="BLL250" s="504"/>
      <c r="BLM250" s="504"/>
      <c r="BLN250" s="504"/>
      <c r="BLO250" s="504"/>
      <c r="BLP250" s="504"/>
      <c r="BLQ250" s="504"/>
      <c r="BLR250" s="504"/>
      <c r="BLS250" s="504"/>
      <c r="BLT250" s="504"/>
      <c r="BLU250" s="504"/>
      <c r="BLV250" s="504"/>
      <c r="BLW250" s="504"/>
      <c r="BLX250" s="504"/>
      <c r="BLY250" s="504"/>
      <c r="BLZ250" s="504"/>
      <c r="BMA250" s="504"/>
      <c r="BMB250" s="504"/>
      <c r="BMC250" s="504"/>
      <c r="BMD250" s="504"/>
      <c r="BME250" s="504"/>
      <c r="BMF250" s="504"/>
      <c r="BMG250" s="504"/>
      <c r="BMH250" s="504"/>
      <c r="BMI250" s="504"/>
      <c r="BMJ250" s="504"/>
      <c r="BMK250" s="504"/>
      <c r="BML250" s="504"/>
      <c r="BMM250" s="504"/>
      <c r="BMN250" s="504"/>
      <c r="BMO250" s="504"/>
      <c r="BMP250" s="504"/>
      <c r="BMQ250" s="504"/>
      <c r="BMR250" s="504"/>
      <c r="BMS250" s="504"/>
      <c r="BMT250" s="504"/>
      <c r="BMU250" s="504"/>
      <c r="BMV250" s="504"/>
      <c r="BMW250" s="504"/>
      <c r="BMX250" s="504"/>
      <c r="BMY250" s="504"/>
      <c r="BMZ250" s="504"/>
      <c r="BNA250" s="504"/>
      <c r="BNB250" s="504"/>
      <c r="BNC250" s="504"/>
      <c r="BND250" s="504"/>
      <c r="BNE250" s="504"/>
      <c r="BNF250" s="504"/>
      <c r="BNG250" s="504"/>
      <c r="BNH250" s="504"/>
      <c r="BNI250" s="504"/>
      <c r="BNJ250" s="504"/>
      <c r="BNK250" s="504"/>
      <c r="BNL250" s="504"/>
      <c r="BNM250" s="504"/>
      <c r="BNN250" s="504"/>
      <c r="BNO250" s="504"/>
      <c r="BNP250" s="504"/>
      <c r="BNQ250" s="504"/>
      <c r="BNR250" s="504"/>
      <c r="BNS250" s="504"/>
      <c r="BNT250" s="504"/>
      <c r="BNU250" s="504"/>
      <c r="BNV250" s="504"/>
      <c r="BNW250" s="504"/>
      <c r="BNX250" s="504"/>
      <c r="BNY250" s="504"/>
      <c r="BNZ250" s="504"/>
      <c r="BOA250" s="504"/>
      <c r="BOB250" s="504"/>
      <c r="BOC250" s="504"/>
      <c r="BOD250" s="504"/>
      <c r="BOE250" s="504"/>
      <c r="BOF250" s="504"/>
      <c r="BOG250" s="504"/>
      <c r="BOH250" s="504"/>
      <c r="BOI250" s="504"/>
      <c r="BOJ250" s="504"/>
      <c r="BOK250" s="504"/>
      <c r="BOL250" s="504"/>
      <c r="BOM250" s="504"/>
      <c r="BON250" s="504"/>
      <c r="BOO250" s="504"/>
      <c r="BOP250" s="504"/>
      <c r="BOQ250" s="504"/>
      <c r="BOR250" s="504"/>
      <c r="BOS250" s="504"/>
      <c r="BOT250" s="504"/>
      <c r="BOU250" s="504"/>
      <c r="BOV250" s="504"/>
      <c r="BOW250" s="504"/>
      <c r="BOX250" s="504"/>
      <c r="BOY250" s="504"/>
      <c r="BOZ250" s="504"/>
      <c r="BPA250" s="504"/>
      <c r="BPB250" s="504"/>
      <c r="BPC250" s="504"/>
      <c r="BPD250" s="504"/>
      <c r="BPE250" s="504"/>
      <c r="BPF250" s="504"/>
      <c r="BPG250" s="504"/>
      <c r="BPH250" s="504"/>
      <c r="BPI250" s="504"/>
      <c r="BPJ250" s="504"/>
      <c r="BPK250" s="504"/>
      <c r="BPL250" s="504"/>
      <c r="BPM250" s="504"/>
      <c r="BPN250" s="504"/>
      <c r="BPO250" s="504"/>
      <c r="BPP250" s="504"/>
      <c r="BPQ250" s="504"/>
      <c r="BPR250" s="504"/>
      <c r="BPS250" s="504"/>
      <c r="BPT250" s="504"/>
      <c r="BPU250" s="504"/>
      <c r="BPV250" s="504"/>
      <c r="BPW250" s="504"/>
      <c r="BPX250" s="504"/>
      <c r="BPY250" s="504"/>
      <c r="BPZ250" s="504"/>
      <c r="BQA250" s="504"/>
      <c r="BQB250" s="504"/>
      <c r="BQC250" s="504"/>
      <c r="BQD250" s="504"/>
      <c r="BQE250" s="504"/>
      <c r="BQF250" s="504"/>
      <c r="BQG250" s="504"/>
      <c r="BQH250" s="504"/>
      <c r="BQI250" s="504"/>
      <c r="BQJ250" s="504"/>
      <c r="BQK250" s="504"/>
      <c r="BQL250" s="504"/>
      <c r="BQM250" s="504"/>
      <c r="BQN250" s="504"/>
      <c r="BQO250" s="504"/>
      <c r="BQP250" s="504"/>
      <c r="BQQ250" s="504"/>
      <c r="BQR250" s="504"/>
      <c r="BQS250" s="504"/>
      <c r="BQT250" s="504"/>
      <c r="BQU250" s="504"/>
      <c r="BQV250" s="504"/>
      <c r="BQW250" s="504"/>
      <c r="BQX250" s="504"/>
      <c r="BQY250" s="504"/>
      <c r="BQZ250" s="504"/>
      <c r="BRA250" s="504"/>
      <c r="BRB250" s="504"/>
      <c r="BRC250" s="504"/>
      <c r="BRD250" s="504"/>
      <c r="BRE250" s="504"/>
      <c r="BRF250" s="504"/>
      <c r="BRG250" s="504"/>
      <c r="BRH250" s="504"/>
      <c r="BRI250" s="504"/>
      <c r="BRJ250" s="504"/>
      <c r="BRK250" s="504"/>
      <c r="BRL250" s="504"/>
      <c r="BRM250" s="504"/>
      <c r="BRN250" s="504"/>
      <c r="BRO250" s="504"/>
      <c r="BRP250" s="504"/>
      <c r="BRQ250" s="504"/>
      <c r="BRR250" s="504"/>
      <c r="BRS250" s="504"/>
      <c r="BRT250" s="504"/>
      <c r="BRU250" s="504"/>
      <c r="BRV250" s="504"/>
      <c r="BRW250" s="504"/>
      <c r="BRX250" s="504"/>
      <c r="BRY250" s="504"/>
      <c r="BRZ250" s="504"/>
      <c r="BSA250" s="504"/>
      <c r="BSB250" s="504"/>
      <c r="BSC250" s="504"/>
      <c r="BSD250" s="504"/>
      <c r="BSE250" s="504"/>
      <c r="BSF250" s="504"/>
      <c r="BSG250" s="504"/>
      <c r="BSH250" s="504"/>
      <c r="BSI250" s="504"/>
      <c r="BSJ250" s="504"/>
      <c r="BSK250" s="504"/>
      <c r="BSL250" s="504"/>
      <c r="BSM250" s="504"/>
      <c r="BSN250" s="504"/>
      <c r="BSO250" s="504"/>
      <c r="BSP250" s="504"/>
      <c r="BSQ250" s="504"/>
      <c r="BSR250" s="504"/>
      <c r="BSS250" s="504"/>
      <c r="BST250" s="504"/>
      <c r="BSU250" s="504"/>
      <c r="BSV250" s="504"/>
      <c r="BSW250" s="504"/>
      <c r="BSX250" s="504"/>
      <c r="BSY250" s="504"/>
      <c r="BSZ250" s="504"/>
      <c r="BTA250" s="504"/>
      <c r="BTB250" s="504"/>
      <c r="BTC250" s="504"/>
      <c r="BTD250" s="504"/>
      <c r="BTE250" s="504"/>
      <c r="BTF250" s="504"/>
      <c r="BTG250" s="504"/>
      <c r="BTH250" s="504"/>
      <c r="BTI250" s="504"/>
    </row>
    <row r="251" spans="1:1881" s="503" customFormat="1" ht="75" x14ac:dyDescent="0.25">
      <c r="A251" s="473">
        <v>956</v>
      </c>
      <c r="B251" s="469"/>
      <c r="C251" s="470"/>
      <c r="D251" s="476" t="s">
        <v>960</v>
      </c>
      <c r="E251" s="472" t="s">
        <v>956</v>
      </c>
      <c r="F251" s="947"/>
      <c r="G251" s="583" t="str">
        <f t="shared" si="3"/>
        <v>Please do not leave blank</v>
      </c>
      <c r="H251" s="505"/>
      <c r="I251"/>
      <c r="J251"/>
      <c r="K251"/>
      <c r="L251"/>
      <c r="M251"/>
      <c r="N251"/>
      <c r="O251"/>
      <c r="P251" s="504"/>
      <c r="Q251" s="504"/>
      <c r="R251" s="504"/>
      <c r="S251" s="504"/>
      <c r="T251" s="504"/>
      <c r="U251" s="504"/>
      <c r="V251" s="504"/>
      <c r="W251" s="504"/>
      <c r="X251" s="504"/>
      <c r="Y251" s="504"/>
      <c r="Z251" s="504"/>
      <c r="AA251" s="504"/>
      <c r="AB251" s="504"/>
      <c r="AC251" s="504"/>
      <c r="AD251" s="504"/>
      <c r="AE251" s="504"/>
      <c r="AF251" s="504"/>
      <c r="AG251" s="504"/>
      <c r="AH251" s="504"/>
      <c r="AI251" s="504"/>
      <c r="AJ251" s="504"/>
      <c r="AK251" s="504"/>
      <c r="AL251" s="504"/>
      <c r="AM251" s="504"/>
      <c r="AN251" s="504"/>
      <c r="AO251" s="504"/>
      <c r="AP251" s="504"/>
      <c r="AQ251" s="504"/>
      <c r="AR251" s="504"/>
      <c r="AS251" s="504"/>
      <c r="AT251" s="504"/>
      <c r="AU251" s="504"/>
      <c r="AV251" s="504"/>
      <c r="AW251" s="504"/>
      <c r="AX251" s="504"/>
      <c r="AY251" s="504"/>
      <c r="AZ251" s="504"/>
      <c r="BA251" s="504"/>
      <c r="BB251" s="504"/>
      <c r="BC251" s="504"/>
      <c r="BD251" s="504"/>
      <c r="BE251" s="504"/>
      <c r="BF251" s="504"/>
      <c r="BG251" s="504"/>
      <c r="BH251" s="504"/>
      <c r="BI251" s="504"/>
      <c r="BJ251" s="504"/>
      <c r="BK251" s="504"/>
      <c r="BL251" s="504"/>
      <c r="BM251" s="504"/>
      <c r="BN251" s="504"/>
      <c r="BO251" s="504"/>
      <c r="BP251" s="504"/>
      <c r="BQ251" s="504"/>
      <c r="BR251" s="504"/>
      <c r="BS251" s="504"/>
      <c r="BT251" s="504"/>
      <c r="BU251" s="504"/>
      <c r="BV251" s="504"/>
      <c r="BW251" s="504"/>
      <c r="BX251" s="504"/>
      <c r="BY251" s="504"/>
      <c r="BZ251" s="504"/>
      <c r="CA251" s="504"/>
      <c r="CB251" s="504"/>
      <c r="CC251" s="504"/>
      <c r="CD251" s="504"/>
      <c r="CE251" s="504"/>
      <c r="CF251" s="504"/>
      <c r="CG251" s="504"/>
      <c r="CH251" s="504"/>
      <c r="CI251" s="504"/>
      <c r="CJ251" s="504"/>
      <c r="CK251" s="504"/>
      <c r="CL251" s="504"/>
      <c r="CM251" s="504"/>
      <c r="CN251" s="504"/>
      <c r="CO251" s="504"/>
      <c r="CP251" s="504"/>
      <c r="CQ251" s="504"/>
      <c r="CR251" s="504"/>
      <c r="CS251" s="504"/>
      <c r="CT251" s="504"/>
      <c r="CU251" s="504"/>
      <c r="CV251" s="504"/>
      <c r="CW251" s="504"/>
      <c r="CX251" s="504"/>
      <c r="CY251" s="504"/>
      <c r="CZ251" s="504"/>
      <c r="DA251" s="504"/>
      <c r="DB251" s="504"/>
      <c r="DC251" s="504"/>
      <c r="DD251" s="504"/>
      <c r="DE251" s="504"/>
      <c r="DF251" s="504"/>
      <c r="DG251" s="504"/>
      <c r="DH251" s="504"/>
      <c r="DI251" s="504"/>
      <c r="DJ251" s="504"/>
      <c r="DK251" s="504"/>
      <c r="DL251" s="504"/>
      <c r="DM251" s="504"/>
      <c r="DN251" s="504"/>
      <c r="DO251" s="504"/>
      <c r="DP251" s="504"/>
      <c r="DQ251" s="504"/>
      <c r="DR251" s="504"/>
      <c r="DS251" s="504"/>
      <c r="DT251" s="504"/>
      <c r="DU251" s="504"/>
      <c r="DV251" s="504"/>
      <c r="DW251" s="504"/>
      <c r="DX251" s="504"/>
      <c r="DY251" s="504"/>
      <c r="DZ251" s="504"/>
      <c r="EA251" s="504"/>
      <c r="EB251" s="504"/>
      <c r="EC251" s="504"/>
      <c r="ED251" s="504"/>
      <c r="EE251" s="504"/>
      <c r="EF251" s="504"/>
      <c r="EG251" s="504"/>
      <c r="EH251" s="504"/>
      <c r="EI251" s="504"/>
      <c r="EJ251" s="504"/>
      <c r="EK251" s="504"/>
      <c r="EL251" s="504"/>
      <c r="EM251" s="504"/>
      <c r="EN251" s="504"/>
      <c r="EO251" s="504"/>
      <c r="EP251" s="504"/>
      <c r="EQ251" s="504"/>
      <c r="ER251" s="504"/>
      <c r="ES251" s="504"/>
      <c r="ET251" s="504"/>
      <c r="EU251" s="504"/>
      <c r="EV251" s="504"/>
      <c r="EW251" s="504"/>
      <c r="EX251" s="504"/>
      <c r="EY251" s="504"/>
      <c r="EZ251" s="504"/>
      <c r="FA251" s="504"/>
      <c r="FB251" s="504"/>
      <c r="FC251" s="504"/>
      <c r="FD251" s="504"/>
      <c r="FE251" s="504"/>
      <c r="FF251" s="504"/>
      <c r="FG251" s="504"/>
      <c r="FH251" s="504"/>
      <c r="FI251" s="504"/>
      <c r="FJ251" s="504"/>
      <c r="FK251" s="504"/>
      <c r="FL251" s="504"/>
      <c r="FM251" s="504"/>
      <c r="FN251" s="504"/>
      <c r="FO251" s="504"/>
      <c r="FP251" s="504"/>
      <c r="FQ251" s="504"/>
      <c r="FR251" s="504"/>
      <c r="FS251" s="504"/>
      <c r="FT251" s="504"/>
      <c r="FU251" s="504"/>
      <c r="FV251" s="504"/>
      <c r="FW251" s="504"/>
      <c r="FX251" s="504"/>
      <c r="FY251" s="504"/>
      <c r="FZ251" s="504"/>
      <c r="GA251" s="504"/>
      <c r="GB251" s="504"/>
      <c r="GC251" s="504"/>
      <c r="GD251" s="504"/>
      <c r="GE251" s="504"/>
      <c r="GF251" s="504"/>
      <c r="GG251" s="504"/>
      <c r="GH251" s="504"/>
      <c r="GI251" s="504"/>
      <c r="GJ251" s="504"/>
      <c r="GK251" s="504"/>
      <c r="GL251" s="504"/>
      <c r="GM251" s="504"/>
      <c r="GN251" s="504"/>
      <c r="GO251" s="504"/>
      <c r="GP251" s="504"/>
      <c r="GQ251" s="504"/>
      <c r="GR251" s="504"/>
      <c r="GS251" s="504"/>
      <c r="GT251" s="504"/>
      <c r="GU251" s="504"/>
      <c r="GV251" s="504"/>
      <c r="GW251" s="504"/>
      <c r="GX251" s="504"/>
      <c r="GY251" s="504"/>
      <c r="GZ251" s="504"/>
      <c r="HA251" s="504"/>
      <c r="HB251" s="504"/>
      <c r="HC251" s="504"/>
      <c r="HD251" s="504"/>
      <c r="HE251" s="504"/>
      <c r="HF251" s="504"/>
      <c r="HG251" s="504"/>
      <c r="HH251" s="504"/>
      <c r="HI251" s="504"/>
      <c r="HJ251" s="504"/>
      <c r="HK251" s="504"/>
      <c r="HL251" s="504"/>
      <c r="HM251" s="504"/>
      <c r="HN251" s="504"/>
      <c r="HO251" s="504"/>
      <c r="HP251" s="504"/>
      <c r="HQ251" s="504"/>
      <c r="HR251" s="504"/>
      <c r="HS251" s="504"/>
      <c r="HT251" s="504"/>
      <c r="HU251" s="504"/>
      <c r="HV251" s="504"/>
      <c r="HW251" s="504"/>
      <c r="HX251" s="504"/>
      <c r="HY251" s="504"/>
      <c r="HZ251" s="504"/>
      <c r="IA251" s="504"/>
      <c r="IB251" s="504"/>
      <c r="IC251" s="504"/>
      <c r="ID251" s="504"/>
      <c r="IE251" s="504"/>
      <c r="IF251" s="504"/>
      <c r="IG251" s="504"/>
      <c r="IH251" s="504"/>
      <c r="II251" s="504"/>
      <c r="IJ251" s="504"/>
      <c r="IK251" s="504"/>
      <c r="IL251" s="504"/>
      <c r="IM251" s="504"/>
      <c r="IN251" s="504"/>
      <c r="IO251" s="504"/>
      <c r="IP251" s="504"/>
      <c r="IQ251" s="504"/>
      <c r="IR251" s="504"/>
      <c r="IS251" s="504"/>
      <c r="IT251" s="504"/>
      <c r="IU251" s="504"/>
      <c r="IV251" s="504"/>
      <c r="IW251" s="504"/>
      <c r="IX251" s="504"/>
      <c r="IY251" s="504"/>
      <c r="IZ251" s="504"/>
      <c r="JA251" s="504"/>
      <c r="JB251" s="504"/>
      <c r="JC251" s="504"/>
      <c r="JD251" s="504"/>
      <c r="JE251" s="504"/>
      <c r="JF251" s="504"/>
      <c r="JG251" s="504"/>
      <c r="JH251" s="504"/>
      <c r="JI251" s="504"/>
      <c r="JJ251" s="504"/>
      <c r="JK251" s="504"/>
      <c r="JL251" s="504"/>
      <c r="JM251" s="504"/>
      <c r="JN251" s="504"/>
      <c r="JO251" s="504"/>
      <c r="JP251" s="504"/>
      <c r="JQ251" s="504"/>
      <c r="JR251" s="504"/>
      <c r="JS251" s="504"/>
      <c r="JT251" s="504"/>
      <c r="JU251" s="504"/>
      <c r="JV251" s="504"/>
      <c r="JW251" s="504"/>
      <c r="JX251" s="504"/>
      <c r="JY251" s="504"/>
      <c r="JZ251" s="504"/>
      <c r="KA251" s="504"/>
      <c r="KB251" s="504"/>
      <c r="KC251" s="504"/>
      <c r="KD251" s="504"/>
      <c r="KE251" s="504"/>
      <c r="KF251" s="504"/>
      <c r="KG251" s="504"/>
      <c r="KH251" s="504"/>
      <c r="KI251" s="504"/>
      <c r="KJ251" s="504"/>
      <c r="KK251" s="504"/>
      <c r="KL251" s="504"/>
      <c r="KM251" s="504"/>
      <c r="KN251" s="504"/>
      <c r="KO251" s="504"/>
      <c r="KP251" s="504"/>
      <c r="KQ251" s="504"/>
      <c r="KR251" s="504"/>
      <c r="KS251" s="504"/>
      <c r="KT251" s="504"/>
      <c r="KU251" s="504"/>
      <c r="KV251" s="504"/>
      <c r="KW251" s="504"/>
      <c r="KX251" s="504"/>
      <c r="KY251" s="504"/>
      <c r="KZ251" s="504"/>
      <c r="LA251" s="504"/>
      <c r="LB251" s="504"/>
      <c r="LC251" s="504"/>
      <c r="LD251" s="504"/>
      <c r="LE251" s="504"/>
      <c r="LF251" s="504"/>
      <c r="LG251" s="504"/>
      <c r="LH251" s="504"/>
      <c r="LI251" s="504"/>
      <c r="LJ251" s="504"/>
      <c r="LK251" s="504"/>
      <c r="LL251" s="504"/>
      <c r="LM251" s="504"/>
      <c r="LN251" s="504"/>
      <c r="LO251" s="504"/>
      <c r="LP251" s="504"/>
      <c r="LQ251" s="504"/>
      <c r="LR251" s="504"/>
      <c r="LS251" s="504"/>
      <c r="LT251" s="504"/>
      <c r="LU251" s="504"/>
      <c r="LV251" s="504"/>
      <c r="LW251" s="504"/>
      <c r="LX251" s="504"/>
      <c r="LY251" s="504"/>
      <c r="LZ251" s="504"/>
      <c r="MA251" s="504"/>
      <c r="MB251" s="504"/>
      <c r="MC251" s="504"/>
      <c r="MD251" s="504"/>
      <c r="ME251" s="504"/>
      <c r="MF251" s="504"/>
      <c r="MG251" s="504"/>
      <c r="MH251" s="504"/>
      <c r="MI251" s="504"/>
      <c r="MJ251" s="504"/>
      <c r="MK251" s="504"/>
      <c r="ML251" s="504"/>
      <c r="MM251" s="504"/>
      <c r="MN251" s="504"/>
      <c r="MO251" s="504"/>
      <c r="MP251" s="504"/>
      <c r="MQ251" s="504"/>
      <c r="MR251" s="504"/>
      <c r="MS251" s="504"/>
      <c r="MT251" s="504"/>
      <c r="MU251" s="504"/>
      <c r="MV251" s="504"/>
      <c r="MW251" s="504"/>
      <c r="MX251" s="504"/>
      <c r="MY251" s="504"/>
      <c r="MZ251" s="504"/>
      <c r="NA251" s="504"/>
      <c r="NB251" s="504"/>
      <c r="NC251" s="504"/>
      <c r="ND251" s="504"/>
      <c r="NE251" s="504"/>
      <c r="NF251" s="504"/>
      <c r="NG251" s="504"/>
      <c r="NH251" s="504"/>
      <c r="NI251" s="504"/>
      <c r="NJ251" s="504"/>
      <c r="NK251" s="504"/>
      <c r="NL251" s="504"/>
      <c r="NM251" s="504"/>
      <c r="NN251" s="504"/>
      <c r="NO251" s="504"/>
      <c r="NP251" s="504"/>
      <c r="NQ251" s="504"/>
      <c r="NR251" s="504"/>
      <c r="NS251" s="504"/>
      <c r="NT251" s="504"/>
      <c r="NU251" s="504"/>
      <c r="NV251" s="504"/>
      <c r="NW251" s="504"/>
      <c r="NX251" s="504"/>
      <c r="NY251" s="504"/>
      <c r="NZ251" s="504"/>
      <c r="OA251" s="504"/>
      <c r="OB251" s="504"/>
      <c r="OC251" s="504"/>
      <c r="OD251" s="504"/>
      <c r="OE251" s="504"/>
      <c r="OF251" s="504"/>
      <c r="OG251" s="504"/>
      <c r="OH251" s="504"/>
      <c r="OI251" s="504"/>
      <c r="OJ251" s="504"/>
      <c r="OK251" s="504"/>
      <c r="OL251" s="504"/>
      <c r="OM251" s="504"/>
      <c r="ON251" s="504"/>
      <c r="OO251" s="504"/>
      <c r="OP251" s="504"/>
      <c r="OQ251" s="504"/>
      <c r="OR251" s="504"/>
      <c r="OS251" s="504"/>
      <c r="OT251" s="504"/>
      <c r="OU251" s="504"/>
      <c r="OV251" s="504"/>
      <c r="OW251" s="504"/>
      <c r="OX251" s="504"/>
      <c r="OY251" s="504"/>
      <c r="OZ251" s="504"/>
      <c r="PA251" s="504"/>
      <c r="PB251" s="504"/>
      <c r="PC251" s="504"/>
      <c r="PD251" s="504"/>
      <c r="PE251" s="504"/>
      <c r="PF251" s="504"/>
      <c r="PG251" s="504"/>
      <c r="PH251" s="504"/>
      <c r="PI251" s="504"/>
      <c r="PJ251" s="504"/>
      <c r="PK251" s="504"/>
      <c r="PL251" s="504"/>
      <c r="PM251" s="504"/>
      <c r="PN251" s="504"/>
      <c r="PO251" s="504"/>
      <c r="PP251" s="504"/>
      <c r="PQ251" s="504"/>
      <c r="PR251" s="504"/>
      <c r="PS251" s="504"/>
      <c r="PT251" s="504"/>
      <c r="PU251" s="504"/>
      <c r="PV251" s="504"/>
      <c r="PW251" s="504"/>
      <c r="PX251" s="504"/>
      <c r="PY251" s="504"/>
      <c r="PZ251" s="504"/>
      <c r="QA251" s="504"/>
      <c r="QB251" s="504"/>
      <c r="QC251" s="504"/>
      <c r="QD251" s="504"/>
      <c r="QE251" s="504"/>
      <c r="QF251" s="504"/>
      <c r="QG251" s="504"/>
      <c r="QH251" s="504"/>
      <c r="QI251" s="504"/>
      <c r="QJ251" s="504"/>
      <c r="QK251" s="504"/>
      <c r="QL251" s="504"/>
      <c r="QM251" s="504"/>
      <c r="QN251" s="504"/>
      <c r="QO251" s="504"/>
      <c r="QP251" s="504"/>
      <c r="QQ251" s="504"/>
      <c r="QR251" s="504"/>
      <c r="QS251" s="504"/>
      <c r="QT251" s="504"/>
      <c r="QU251" s="504"/>
      <c r="QV251" s="504"/>
      <c r="QW251" s="504"/>
      <c r="QX251" s="504"/>
      <c r="QY251" s="504"/>
      <c r="QZ251" s="504"/>
      <c r="RA251" s="504"/>
      <c r="RB251" s="504"/>
      <c r="RC251" s="504"/>
      <c r="RD251" s="504"/>
      <c r="RE251" s="504"/>
      <c r="RF251" s="504"/>
      <c r="RG251" s="504"/>
      <c r="RH251" s="504"/>
      <c r="RI251" s="504"/>
      <c r="RJ251" s="504"/>
      <c r="RK251" s="504"/>
      <c r="RL251" s="504"/>
      <c r="RM251" s="504"/>
      <c r="RN251" s="504"/>
      <c r="RO251" s="504"/>
      <c r="RP251" s="504"/>
      <c r="RQ251" s="504"/>
      <c r="RR251" s="504"/>
      <c r="RS251" s="504"/>
      <c r="RT251" s="504"/>
      <c r="RU251" s="504"/>
      <c r="RV251" s="504"/>
      <c r="RW251" s="504"/>
      <c r="RX251" s="504"/>
      <c r="RY251" s="504"/>
      <c r="RZ251" s="504"/>
      <c r="SA251" s="504"/>
      <c r="SB251" s="504"/>
      <c r="SC251" s="504"/>
      <c r="SD251" s="504"/>
      <c r="SE251" s="504"/>
      <c r="SF251" s="504"/>
      <c r="SG251" s="504"/>
      <c r="SH251" s="504"/>
      <c r="SI251" s="504"/>
      <c r="SJ251" s="504"/>
      <c r="SK251" s="504"/>
      <c r="SL251" s="504"/>
      <c r="SM251" s="504"/>
      <c r="SN251" s="504"/>
      <c r="SO251" s="504"/>
      <c r="SP251" s="504"/>
      <c r="SQ251" s="504"/>
      <c r="SR251" s="504"/>
      <c r="SS251" s="504"/>
      <c r="ST251" s="504"/>
      <c r="SU251" s="504"/>
      <c r="SV251" s="504"/>
      <c r="SW251" s="504"/>
      <c r="SX251" s="504"/>
      <c r="SY251" s="504"/>
      <c r="SZ251" s="504"/>
      <c r="TA251" s="504"/>
      <c r="TB251" s="504"/>
      <c r="TC251" s="504"/>
      <c r="TD251" s="504"/>
      <c r="TE251" s="504"/>
      <c r="TF251" s="504"/>
      <c r="TG251" s="504"/>
      <c r="TH251" s="504"/>
      <c r="TI251" s="504"/>
      <c r="TJ251" s="504"/>
      <c r="TK251" s="504"/>
      <c r="TL251" s="504"/>
      <c r="TM251" s="504"/>
      <c r="TN251" s="504"/>
      <c r="TO251" s="504"/>
      <c r="TP251" s="504"/>
      <c r="TQ251" s="504"/>
      <c r="TR251" s="504"/>
      <c r="TS251" s="504"/>
      <c r="TT251" s="504"/>
      <c r="TU251" s="504"/>
      <c r="TV251" s="504"/>
      <c r="TW251" s="504"/>
      <c r="TX251" s="504"/>
      <c r="TY251" s="504"/>
      <c r="TZ251" s="504"/>
      <c r="UA251" s="504"/>
      <c r="UB251" s="504"/>
      <c r="UC251" s="504"/>
      <c r="UD251" s="504"/>
      <c r="UE251" s="504"/>
      <c r="UF251" s="504"/>
      <c r="UG251" s="504"/>
      <c r="UH251" s="504"/>
      <c r="UI251" s="504"/>
      <c r="UJ251" s="504"/>
      <c r="UK251" s="504"/>
      <c r="UL251" s="504"/>
      <c r="UM251" s="504"/>
      <c r="UN251" s="504"/>
      <c r="UO251" s="504"/>
      <c r="UP251" s="504"/>
      <c r="UQ251" s="504"/>
      <c r="UR251" s="504"/>
      <c r="US251" s="504"/>
      <c r="UT251" s="504"/>
      <c r="UU251" s="504"/>
      <c r="UV251" s="504"/>
      <c r="UW251" s="504"/>
      <c r="UX251" s="504"/>
      <c r="UY251" s="504"/>
      <c r="UZ251" s="504"/>
      <c r="VA251" s="504"/>
      <c r="VB251" s="504"/>
      <c r="VC251" s="504"/>
      <c r="VD251" s="504"/>
      <c r="VE251" s="504"/>
      <c r="VF251" s="504"/>
      <c r="VG251" s="504"/>
      <c r="VH251" s="504"/>
      <c r="VI251" s="504"/>
      <c r="VJ251" s="504"/>
      <c r="VK251" s="504"/>
      <c r="VL251" s="504"/>
      <c r="VM251" s="504"/>
      <c r="VN251" s="504"/>
      <c r="VO251" s="504"/>
      <c r="VP251" s="504"/>
      <c r="VQ251" s="504"/>
      <c r="VR251" s="504"/>
      <c r="VS251" s="504"/>
      <c r="VT251" s="504"/>
      <c r="VU251" s="504"/>
      <c r="VV251" s="504"/>
      <c r="VW251" s="504"/>
      <c r="VX251" s="504"/>
      <c r="VY251" s="504"/>
      <c r="VZ251" s="504"/>
      <c r="WA251" s="504"/>
      <c r="WB251" s="504"/>
      <c r="WC251" s="504"/>
      <c r="WD251" s="504"/>
      <c r="WE251" s="504"/>
      <c r="WF251" s="504"/>
      <c r="WG251" s="504"/>
      <c r="WH251" s="504"/>
      <c r="WI251" s="504"/>
      <c r="WJ251" s="504"/>
      <c r="WK251" s="504"/>
      <c r="WL251" s="504"/>
      <c r="WM251" s="504"/>
      <c r="WN251" s="504"/>
      <c r="WO251" s="504"/>
      <c r="WP251" s="504"/>
      <c r="WQ251" s="504"/>
      <c r="WR251" s="504"/>
      <c r="WS251" s="504"/>
      <c r="WT251" s="504"/>
      <c r="WU251" s="504"/>
      <c r="WV251" s="504"/>
      <c r="WW251" s="504"/>
      <c r="WX251" s="504"/>
      <c r="WY251" s="504"/>
      <c r="WZ251" s="504"/>
      <c r="XA251" s="504"/>
      <c r="XB251" s="504"/>
      <c r="XC251" s="504"/>
      <c r="XD251" s="504"/>
      <c r="XE251" s="504"/>
      <c r="XF251" s="504"/>
      <c r="XG251" s="504"/>
      <c r="XH251" s="504"/>
      <c r="XI251" s="504"/>
      <c r="XJ251" s="504"/>
      <c r="XK251" s="504"/>
      <c r="XL251" s="504"/>
      <c r="XM251" s="504"/>
      <c r="XN251" s="504"/>
      <c r="XO251" s="504"/>
      <c r="XP251" s="504"/>
      <c r="XQ251" s="504"/>
      <c r="XR251" s="504"/>
      <c r="XS251" s="504"/>
      <c r="XT251" s="504"/>
      <c r="XU251" s="504"/>
      <c r="XV251" s="504"/>
      <c r="XW251" s="504"/>
      <c r="XX251" s="504"/>
      <c r="XY251" s="504"/>
      <c r="XZ251" s="504"/>
      <c r="YA251" s="504"/>
      <c r="YB251" s="504"/>
      <c r="YC251" s="504"/>
      <c r="YD251" s="504"/>
      <c r="YE251" s="504"/>
      <c r="YF251" s="504"/>
      <c r="YG251" s="504"/>
      <c r="YH251" s="504"/>
      <c r="YI251" s="504"/>
      <c r="YJ251" s="504"/>
      <c r="YK251" s="504"/>
      <c r="YL251" s="504"/>
      <c r="YM251" s="504"/>
      <c r="YN251" s="504"/>
      <c r="YO251" s="504"/>
      <c r="YP251" s="504"/>
      <c r="YQ251" s="504"/>
      <c r="YR251" s="504"/>
      <c r="YS251" s="504"/>
      <c r="YT251" s="504"/>
      <c r="YU251" s="504"/>
      <c r="YV251" s="504"/>
      <c r="YW251" s="504"/>
      <c r="YX251" s="504"/>
      <c r="YY251" s="504"/>
      <c r="YZ251" s="504"/>
      <c r="ZA251" s="504"/>
      <c r="ZB251" s="504"/>
      <c r="ZC251" s="504"/>
      <c r="ZD251" s="504"/>
      <c r="ZE251" s="504"/>
      <c r="ZF251" s="504"/>
      <c r="ZG251" s="504"/>
      <c r="ZH251" s="504"/>
      <c r="ZI251" s="504"/>
      <c r="ZJ251" s="504"/>
      <c r="ZK251" s="504"/>
      <c r="ZL251" s="504"/>
      <c r="ZM251" s="504"/>
      <c r="ZN251" s="504"/>
      <c r="ZO251" s="504"/>
      <c r="ZP251" s="504"/>
      <c r="ZQ251" s="504"/>
      <c r="ZR251" s="504"/>
      <c r="ZS251" s="504"/>
      <c r="ZT251" s="504"/>
      <c r="ZU251" s="504"/>
      <c r="ZV251" s="504"/>
      <c r="ZW251" s="504"/>
      <c r="ZX251" s="504"/>
      <c r="ZY251" s="504"/>
      <c r="ZZ251" s="504"/>
      <c r="AAA251" s="504"/>
      <c r="AAB251" s="504"/>
      <c r="AAC251" s="504"/>
      <c r="AAD251" s="504"/>
      <c r="AAE251" s="504"/>
      <c r="AAF251" s="504"/>
      <c r="AAG251" s="504"/>
      <c r="AAH251" s="504"/>
      <c r="AAI251" s="504"/>
      <c r="AAJ251" s="504"/>
      <c r="AAK251" s="504"/>
      <c r="AAL251" s="504"/>
      <c r="AAM251" s="504"/>
      <c r="AAN251" s="504"/>
      <c r="AAO251" s="504"/>
      <c r="AAP251" s="504"/>
      <c r="AAQ251" s="504"/>
      <c r="AAR251" s="504"/>
      <c r="AAS251" s="504"/>
      <c r="AAT251" s="504"/>
      <c r="AAU251" s="504"/>
      <c r="AAV251" s="504"/>
      <c r="AAW251" s="504"/>
      <c r="AAX251" s="504"/>
      <c r="AAY251" s="504"/>
      <c r="AAZ251" s="504"/>
      <c r="ABA251" s="504"/>
      <c r="ABB251" s="504"/>
      <c r="ABC251" s="504"/>
      <c r="ABD251" s="504"/>
      <c r="ABE251" s="504"/>
      <c r="ABF251" s="504"/>
      <c r="ABG251" s="504"/>
      <c r="ABH251" s="504"/>
      <c r="ABI251" s="504"/>
      <c r="ABJ251" s="504"/>
      <c r="ABK251" s="504"/>
      <c r="ABL251" s="504"/>
      <c r="ABM251" s="504"/>
      <c r="ABN251" s="504"/>
      <c r="ABO251" s="504"/>
      <c r="ABP251" s="504"/>
      <c r="ABQ251" s="504"/>
      <c r="ABR251" s="504"/>
      <c r="ABS251" s="504"/>
      <c r="ABT251" s="504"/>
      <c r="ABU251" s="504"/>
      <c r="ABV251" s="504"/>
      <c r="ABW251" s="504"/>
      <c r="ABX251" s="504"/>
      <c r="ABY251" s="504"/>
      <c r="ABZ251" s="504"/>
      <c r="ACA251" s="504"/>
      <c r="ACB251" s="504"/>
      <c r="ACC251" s="504"/>
      <c r="ACD251" s="504"/>
      <c r="ACE251" s="504"/>
      <c r="ACF251" s="504"/>
      <c r="ACG251" s="504"/>
      <c r="ACH251" s="504"/>
      <c r="ACI251" s="504"/>
      <c r="ACJ251" s="504"/>
      <c r="ACK251" s="504"/>
      <c r="ACL251" s="504"/>
      <c r="ACM251" s="504"/>
      <c r="ACN251" s="504"/>
      <c r="ACO251" s="504"/>
      <c r="ACP251" s="504"/>
      <c r="ACQ251" s="504"/>
      <c r="ACR251" s="504"/>
      <c r="ACS251" s="504"/>
      <c r="ACT251" s="504"/>
      <c r="ACU251" s="504"/>
      <c r="ACV251" s="504"/>
      <c r="ACW251" s="504"/>
      <c r="ACX251" s="504"/>
      <c r="ACY251" s="504"/>
      <c r="ACZ251" s="504"/>
      <c r="ADA251" s="504"/>
      <c r="ADB251" s="504"/>
      <c r="ADC251" s="504"/>
      <c r="ADD251" s="504"/>
      <c r="ADE251" s="504"/>
      <c r="ADF251" s="504"/>
      <c r="ADG251" s="504"/>
      <c r="ADH251" s="504"/>
      <c r="ADI251" s="504"/>
      <c r="ADJ251" s="504"/>
      <c r="ADK251" s="504"/>
      <c r="ADL251" s="504"/>
      <c r="ADM251" s="504"/>
      <c r="ADN251" s="504"/>
      <c r="ADO251" s="504"/>
      <c r="ADP251" s="504"/>
      <c r="ADQ251" s="504"/>
      <c r="ADR251" s="504"/>
      <c r="ADS251" s="504"/>
      <c r="ADT251" s="504"/>
      <c r="ADU251" s="504"/>
      <c r="ADV251" s="504"/>
      <c r="ADW251" s="504"/>
      <c r="ADX251" s="504"/>
      <c r="ADY251" s="504"/>
      <c r="ADZ251" s="504"/>
      <c r="AEA251" s="504"/>
      <c r="AEB251" s="504"/>
      <c r="AEC251" s="504"/>
      <c r="AED251" s="504"/>
      <c r="AEE251" s="504"/>
      <c r="AEF251" s="504"/>
      <c r="AEG251" s="504"/>
      <c r="AEH251" s="504"/>
      <c r="AEI251" s="504"/>
      <c r="AEJ251" s="504"/>
      <c r="AEK251" s="504"/>
      <c r="AEL251" s="504"/>
      <c r="AEM251" s="504"/>
      <c r="AEN251" s="504"/>
      <c r="AEO251" s="504"/>
      <c r="AEP251" s="504"/>
      <c r="AEQ251" s="504"/>
      <c r="AER251" s="504"/>
      <c r="AES251" s="504"/>
      <c r="AET251" s="504"/>
      <c r="AEU251" s="504"/>
      <c r="AEV251" s="504"/>
      <c r="AEW251" s="504"/>
      <c r="AEX251" s="504"/>
      <c r="AEY251" s="504"/>
      <c r="AEZ251" s="504"/>
      <c r="AFA251" s="504"/>
      <c r="AFB251" s="504"/>
      <c r="AFC251" s="504"/>
      <c r="AFD251" s="504"/>
      <c r="AFE251" s="504"/>
      <c r="AFF251" s="504"/>
      <c r="AFG251" s="504"/>
      <c r="AFH251" s="504"/>
      <c r="AFI251" s="504"/>
      <c r="AFJ251" s="504"/>
      <c r="AFK251" s="504"/>
      <c r="AFL251" s="504"/>
      <c r="AFM251" s="504"/>
      <c r="AFN251" s="504"/>
      <c r="AFO251" s="504"/>
      <c r="AFP251" s="504"/>
      <c r="AFQ251" s="504"/>
      <c r="AFR251" s="504"/>
      <c r="AFS251" s="504"/>
      <c r="AFT251" s="504"/>
      <c r="AFU251" s="504"/>
      <c r="AFV251" s="504"/>
      <c r="AFW251" s="504"/>
      <c r="AFX251" s="504"/>
      <c r="AFY251" s="504"/>
      <c r="AFZ251" s="504"/>
      <c r="AGA251" s="504"/>
      <c r="AGB251" s="504"/>
      <c r="AGC251" s="504"/>
      <c r="AGD251" s="504"/>
      <c r="AGE251" s="504"/>
      <c r="AGF251" s="504"/>
      <c r="AGG251" s="504"/>
      <c r="AGH251" s="504"/>
      <c r="AGI251" s="504"/>
      <c r="AGJ251" s="504"/>
      <c r="AGK251" s="504"/>
      <c r="AGL251" s="504"/>
      <c r="AGM251" s="504"/>
      <c r="AGN251" s="504"/>
      <c r="AGO251" s="504"/>
      <c r="AGP251" s="504"/>
      <c r="AGQ251" s="504"/>
      <c r="AGR251" s="504"/>
      <c r="AGS251" s="504"/>
      <c r="AGT251" s="504"/>
      <c r="AGU251" s="504"/>
      <c r="AGV251" s="504"/>
      <c r="AGW251" s="504"/>
      <c r="AGX251" s="504"/>
      <c r="AGY251" s="504"/>
      <c r="AGZ251" s="504"/>
      <c r="AHA251" s="504"/>
      <c r="AHB251" s="504"/>
      <c r="AHC251" s="504"/>
      <c r="AHD251" s="504"/>
      <c r="AHE251" s="504"/>
      <c r="AHF251" s="504"/>
      <c r="AHG251" s="504"/>
      <c r="AHH251" s="504"/>
      <c r="AHI251" s="504"/>
      <c r="AHJ251" s="504"/>
      <c r="AHK251" s="504"/>
      <c r="AHL251" s="504"/>
      <c r="AHM251" s="504"/>
      <c r="AHN251" s="504"/>
      <c r="AHO251" s="504"/>
      <c r="AHP251" s="504"/>
      <c r="AHQ251" s="504"/>
      <c r="AHR251" s="504"/>
      <c r="AHS251" s="504"/>
      <c r="AHT251" s="504"/>
      <c r="AHU251" s="504"/>
      <c r="AHV251" s="504"/>
      <c r="AHW251" s="504"/>
      <c r="AHX251" s="504"/>
      <c r="AHY251" s="504"/>
      <c r="AHZ251" s="504"/>
      <c r="AIA251" s="504"/>
      <c r="AIB251" s="504"/>
      <c r="AIC251" s="504"/>
      <c r="AID251" s="504"/>
      <c r="AIE251" s="504"/>
      <c r="AIF251" s="504"/>
      <c r="AIG251" s="504"/>
      <c r="AIH251" s="504"/>
      <c r="AII251" s="504"/>
      <c r="AIJ251" s="504"/>
      <c r="AIK251" s="504"/>
      <c r="AIL251" s="504"/>
      <c r="AIM251" s="504"/>
      <c r="AIN251" s="504"/>
      <c r="AIO251" s="504"/>
      <c r="AIP251" s="504"/>
      <c r="AIQ251" s="504"/>
      <c r="AIR251" s="504"/>
      <c r="AIS251" s="504"/>
      <c r="AIT251" s="504"/>
      <c r="AIU251" s="504"/>
      <c r="AIV251" s="504"/>
      <c r="AIW251" s="504"/>
      <c r="AIX251" s="504"/>
      <c r="AIY251" s="504"/>
      <c r="AIZ251" s="504"/>
      <c r="AJA251" s="504"/>
      <c r="AJB251" s="504"/>
      <c r="AJC251" s="504"/>
      <c r="AJD251" s="504"/>
      <c r="AJE251" s="504"/>
      <c r="AJF251" s="504"/>
      <c r="AJG251" s="504"/>
      <c r="AJH251" s="504"/>
      <c r="AJI251" s="504"/>
      <c r="AJJ251" s="504"/>
      <c r="AJK251" s="504"/>
      <c r="AJL251" s="504"/>
      <c r="AJM251" s="504"/>
      <c r="AJN251" s="504"/>
      <c r="AJO251" s="504"/>
      <c r="AJP251" s="504"/>
      <c r="AJQ251" s="504"/>
      <c r="AJR251" s="504"/>
      <c r="AJS251" s="504"/>
      <c r="AJT251" s="504"/>
      <c r="AJU251" s="504"/>
      <c r="AJV251" s="504"/>
      <c r="AJW251" s="504"/>
      <c r="AJX251" s="504"/>
      <c r="AJY251" s="504"/>
      <c r="AJZ251" s="504"/>
      <c r="AKA251" s="504"/>
      <c r="AKB251" s="504"/>
      <c r="AKC251" s="504"/>
      <c r="AKD251" s="504"/>
      <c r="AKE251" s="504"/>
      <c r="AKF251" s="504"/>
      <c r="AKG251" s="504"/>
      <c r="AKH251" s="504"/>
      <c r="AKI251" s="504"/>
      <c r="AKJ251" s="504"/>
      <c r="AKK251" s="504"/>
      <c r="AKL251" s="504"/>
      <c r="AKM251" s="504"/>
      <c r="AKN251" s="504"/>
      <c r="AKO251" s="504"/>
      <c r="AKP251" s="504"/>
      <c r="AKQ251" s="504"/>
      <c r="AKR251" s="504"/>
      <c r="AKS251" s="504"/>
      <c r="AKT251" s="504"/>
      <c r="AKU251" s="504"/>
      <c r="AKV251" s="504"/>
      <c r="AKW251" s="504"/>
      <c r="AKX251" s="504"/>
      <c r="AKY251" s="504"/>
      <c r="AKZ251" s="504"/>
      <c r="ALA251" s="504"/>
      <c r="ALB251" s="504"/>
      <c r="ALC251" s="504"/>
      <c r="ALD251" s="504"/>
      <c r="ALE251" s="504"/>
      <c r="ALF251" s="504"/>
      <c r="ALG251" s="504"/>
      <c r="ALH251" s="504"/>
      <c r="ALI251" s="504"/>
      <c r="ALJ251" s="504"/>
      <c r="ALK251" s="504"/>
      <c r="ALL251" s="504"/>
      <c r="ALM251" s="504"/>
      <c r="ALN251" s="504"/>
      <c r="ALO251" s="504"/>
      <c r="ALP251" s="504"/>
      <c r="ALQ251" s="504"/>
      <c r="ALR251" s="504"/>
      <c r="ALS251" s="504"/>
      <c r="ALT251" s="504"/>
      <c r="ALU251" s="504"/>
      <c r="ALV251" s="504"/>
      <c r="ALW251" s="504"/>
      <c r="ALX251" s="504"/>
      <c r="ALY251" s="504"/>
      <c r="ALZ251" s="504"/>
      <c r="AMA251" s="504"/>
      <c r="AMB251" s="504"/>
      <c r="AMC251" s="504"/>
      <c r="AMD251" s="504"/>
      <c r="AME251" s="504"/>
      <c r="AMF251" s="504"/>
      <c r="AMG251" s="504"/>
      <c r="AMH251" s="504"/>
      <c r="AMI251" s="504"/>
      <c r="AMJ251" s="504"/>
      <c r="AMK251" s="504"/>
      <c r="AML251" s="504"/>
      <c r="AMM251" s="504"/>
      <c r="AMN251" s="504"/>
      <c r="AMO251" s="504"/>
      <c r="AMP251" s="504"/>
      <c r="AMQ251" s="504"/>
      <c r="AMR251" s="504"/>
      <c r="AMS251" s="504"/>
      <c r="AMT251" s="504"/>
      <c r="AMU251" s="504"/>
      <c r="AMV251" s="504"/>
      <c r="AMW251" s="504"/>
      <c r="AMX251" s="504"/>
      <c r="AMY251" s="504"/>
      <c r="AMZ251" s="504"/>
      <c r="ANA251" s="504"/>
      <c r="ANB251" s="504"/>
      <c r="ANC251" s="504"/>
      <c r="AND251" s="504"/>
      <c r="ANE251" s="504"/>
      <c r="ANF251" s="504"/>
      <c r="ANG251" s="504"/>
      <c r="ANH251" s="504"/>
      <c r="ANI251" s="504"/>
      <c r="ANJ251" s="504"/>
      <c r="ANK251" s="504"/>
      <c r="ANL251" s="504"/>
      <c r="ANM251" s="504"/>
      <c r="ANN251" s="504"/>
      <c r="ANO251" s="504"/>
      <c r="ANP251" s="504"/>
      <c r="ANQ251" s="504"/>
      <c r="ANR251" s="504"/>
      <c r="ANS251" s="504"/>
      <c r="ANT251" s="504"/>
      <c r="ANU251" s="504"/>
      <c r="ANV251" s="504"/>
      <c r="ANW251" s="504"/>
      <c r="ANX251" s="504"/>
      <c r="ANY251" s="504"/>
      <c r="ANZ251" s="504"/>
      <c r="AOA251" s="504"/>
      <c r="AOB251" s="504"/>
      <c r="AOC251" s="504"/>
      <c r="AOD251" s="504"/>
      <c r="AOE251" s="504"/>
      <c r="AOF251" s="504"/>
      <c r="AOG251" s="504"/>
      <c r="AOH251" s="504"/>
      <c r="AOI251" s="504"/>
      <c r="AOJ251" s="504"/>
      <c r="AOK251" s="504"/>
      <c r="AOL251" s="504"/>
      <c r="AOM251" s="504"/>
      <c r="AON251" s="504"/>
      <c r="AOO251" s="504"/>
      <c r="AOP251" s="504"/>
      <c r="AOQ251" s="504"/>
      <c r="AOR251" s="504"/>
      <c r="AOS251" s="504"/>
      <c r="AOT251" s="504"/>
      <c r="AOU251" s="504"/>
      <c r="AOV251" s="504"/>
      <c r="AOW251" s="504"/>
      <c r="AOX251" s="504"/>
      <c r="AOY251" s="504"/>
      <c r="AOZ251" s="504"/>
      <c r="APA251" s="504"/>
      <c r="APB251" s="504"/>
      <c r="APC251" s="504"/>
      <c r="APD251" s="504"/>
      <c r="APE251" s="504"/>
      <c r="APF251" s="504"/>
      <c r="APG251" s="504"/>
      <c r="APH251" s="504"/>
      <c r="API251" s="504"/>
      <c r="APJ251" s="504"/>
      <c r="APK251" s="504"/>
      <c r="APL251" s="504"/>
      <c r="APM251" s="504"/>
      <c r="APN251" s="504"/>
      <c r="APO251" s="504"/>
      <c r="APP251" s="504"/>
      <c r="APQ251" s="504"/>
      <c r="APR251" s="504"/>
      <c r="APS251" s="504"/>
      <c r="APT251" s="504"/>
      <c r="APU251" s="504"/>
      <c r="APV251" s="504"/>
      <c r="APW251" s="504"/>
      <c r="APX251" s="504"/>
      <c r="APY251" s="504"/>
      <c r="APZ251" s="504"/>
      <c r="AQA251" s="504"/>
      <c r="AQB251" s="504"/>
      <c r="AQC251" s="504"/>
      <c r="AQD251" s="504"/>
      <c r="AQE251" s="504"/>
      <c r="AQF251" s="504"/>
      <c r="AQG251" s="504"/>
      <c r="AQH251" s="504"/>
      <c r="AQI251" s="504"/>
      <c r="AQJ251" s="504"/>
      <c r="AQK251" s="504"/>
      <c r="AQL251" s="504"/>
      <c r="AQM251" s="504"/>
      <c r="AQN251" s="504"/>
      <c r="AQO251" s="504"/>
      <c r="AQP251" s="504"/>
      <c r="AQQ251" s="504"/>
      <c r="AQR251" s="504"/>
      <c r="AQS251" s="504"/>
      <c r="AQT251" s="504"/>
      <c r="AQU251" s="504"/>
      <c r="AQV251" s="504"/>
      <c r="AQW251" s="504"/>
      <c r="AQX251" s="504"/>
      <c r="AQY251" s="504"/>
      <c r="AQZ251" s="504"/>
      <c r="ARA251" s="504"/>
      <c r="ARB251" s="504"/>
      <c r="ARC251" s="504"/>
      <c r="ARD251" s="504"/>
      <c r="ARE251" s="504"/>
      <c r="ARF251" s="504"/>
      <c r="ARG251" s="504"/>
      <c r="ARH251" s="504"/>
      <c r="ARI251" s="504"/>
      <c r="ARJ251" s="504"/>
      <c r="ARK251" s="504"/>
      <c r="ARL251" s="504"/>
      <c r="ARM251" s="504"/>
      <c r="ARN251" s="504"/>
      <c r="ARO251" s="504"/>
      <c r="ARP251" s="504"/>
      <c r="ARQ251" s="504"/>
      <c r="ARR251" s="504"/>
      <c r="ARS251" s="504"/>
      <c r="ART251" s="504"/>
      <c r="ARU251" s="504"/>
      <c r="ARV251" s="504"/>
      <c r="ARW251" s="504"/>
      <c r="ARX251" s="504"/>
      <c r="ARY251" s="504"/>
      <c r="ARZ251" s="504"/>
      <c r="ASA251" s="504"/>
      <c r="ASB251" s="504"/>
      <c r="ASC251" s="504"/>
      <c r="ASD251" s="504"/>
      <c r="ASE251" s="504"/>
      <c r="ASF251" s="504"/>
      <c r="ASG251" s="504"/>
      <c r="ASH251" s="504"/>
      <c r="ASI251" s="504"/>
      <c r="ASJ251" s="504"/>
      <c r="ASK251" s="504"/>
      <c r="ASL251" s="504"/>
      <c r="ASM251" s="504"/>
      <c r="ASN251" s="504"/>
      <c r="ASO251" s="504"/>
      <c r="ASP251" s="504"/>
      <c r="ASQ251" s="504"/>
      <c r="ASR251" s="504"/>
      <c r="ASS251" s="504"/>
      <c r="AST251" s="504"/>
      <c r="ASU251" s="504"/>
      <c r="ASV251" s="504"/>
      <c r="ASW251" s="504"/>
      <c r="ASX251" s="504"/>
      <c r="ASY251" s="504"/>
      <c r="ASZ251" s="504"/>
      <c r="ATA251" s="504"/>
      <c r="ATB251" s="504"/>
      <c r="ATC251" s="504"/>
      <c r="ATD251" s="504"/>
      <c r="ATE251" s="504"/>
      <c r="ATF251" s="504"/>
      <c r="ATG251" s="504"/>
      <c r="ATH251" s="504"/>
      <c r="ATI251" s="504"/>
      <c r="ATJ251" s="504"/>
      <c r="ATK251" s="504"/>
      <c r="ATL251" s="504"/>
      <c r="ATM251" s="504"/>
      <c r="ATN251" s="504"/>
      <c r="ATO251" s="504"/>
      <c r="ATP251" s="504"/>
      <c r="ATQ251" s="504"/>
      <c r="ATR251" s="504"/>
      <c r="ATS251" s="504"/>
      <c r="ATT251" s="504"/>
      <c r="ATU251" s="504"/>
      <c r="ATV251" s="504"/>
      <c r="ATW251" s="504"/>
      <c r="ATX251" s="504"/>
      <c r="ATY251" s="504"/>
      <c r="ATZ251" s="504"/>
      <c r="AUA251" s="504"/>
      <c r="AUB251" s="504"/>
      <c r="AUC251" s="504"/>
      <c r="AUD251" s="504"/>
      <c r="AUE251" s="504"/>
      <c r="AUF251" s="504"/>
      <c r="AUG251" s="504"/>
      <c r="AUH251" s="504"/>
      <c r="AUI251" s="504"/>
      <c r="AUJ251" s="504"/>
      <c r="AUK251" s="504"/>
      <c r="AUL251" s="504"/>
      <c r="AUM251" s="504"/>
      <c r="AUN251" s="504"/>
      <c r="AUO251" s="504"/>
      <c r="AUP251" s="504"/>
      <c r="AUQ251" s="504"/>
      <c r="AUR251" s="504"/>
      <c r="AUS251" s="504"/>
      <c r="AUT251" s="504"/>
      <c r="AUU251" s="504"/>
      <c r="AUV251" s="504"/>
      <c r="AUW251" s="504"/>
      <c r="AUX251" s="504"/>
      <c r="AUY251" s="504"/>
      <c r="AUZ251" s="504"/>
      <c r="AVA251" s="504"/>
      <c r="AVB251" s="504"/>
      <c r="AVC251" s="504"/>
      <c r="AVD251" s="504"/>
      <c r="AVE251" s="504"/>
      <c r="AVF251" s="504"/>
      <c r="AVG251" s="504"/>
      <c r="AVH251" s="504"/>
      <c r="AVI251" s="504"/>
      <c r="AVJ251" s="504"/>
      <c r="AVK251" s="504"/>
      <c r="AVL251" s="504"/>
      <c r="AVM251" s="504"/>
      <c r="AVN251" s="504"/>
      <c r="AVO251" s="504"/>
      <c r="AVP251" s="504"/>
      <c r="AVQ251" s="504"/>
      <c r="AVR251" s="504"/>
      <c r="AVS251" s="504"/>
      <c r="AVT251" s="504"/>
      <c r="AVU251" s="504"/>
      <c r="AVV251" s="504"/>
      <c r="AVW251" s="504"/>
      <c r="AVX251" s="504"/>
      <c r="AVY251" s="504"/>
      <c r="AVZ251" s="504"/>
      <c r="AWA251" s="504"/>
      <c r="AWB251" s="504"/>
      <c r="AWC251" s="504"/>
      <c r="AWD251" s="504"/>
      <c r="AWE251" s="504"/>
      <c r="AWF251" s="504"/>
      <c r="AWG251" s="504"/>
      <c r="AWH251" s="504"/>
      <c r="AWI251" s="504"/>
      <c r="AWJ251" s="504"/>
      <c r="AWK251" s="504"/>
      <c r="AWL251" s="504"/>
      <c r="AWM251" s="504"/>
      <c r="AWN251" s="504"/>
      <c r="AWO251" s="504"/>
      <c r="AWP251" s="504"/>
      <c r="AWQ251" s="504"/>
      <c r="AWR251" s="504"/>
      <c r="AWS251" s="504"/>
      <c r="AWT251" s="504"/>
      <c r="AWU251" s="504"/>
      <c r="AWV251" s="504"/>
      <c r="AWW251" s="504"/>
      <c r="AWX251" s="504"/>
      <c r="AWY251" s="504"/>
      <c r="AWZ251" s="504"/>
      <c r="AXA251" s="504"/>
      <c r="AXB251" s="504"/>
      <c r="AXC251" s="504"/>
      <c r="AXD251" s="504"/>
      <c r="AXE251" s="504"/>
      <c r="AXF251" s="504"/>
      <c r="AXG251" s="504"/>
      <c r="AXH251" s="504"/>
      <c r="AXI251" s="504"/>
      <c r="AXJ251" s="504"/>
      <c r="AXK251" s="504"/>
      <c r="AXL251" s="504"/>
      <c r="AXM251" s="504"/>
      <c r="AXN251" s="504"/>
      <c r="AXO251" s="504"/>
      <c r="AXP251" s="504"/>
      <c r="AXQ251" s="504"/>
      <c r="AXR251" s="504"/>
      <c r="AXS251" s="504"/>
      <c r="AXT251" s="504"/>
      <c r="AXU251" s="504"/>
      <c r="AXV251" s="504"/>
      <c r="AXW251" s="504"/>
      <c r="AXX251" s="504"/>
      <c r="AXY251" s="504"/>
      <c r="AXZ251" s="504"/>
      <c r="AYA251" s="504"/>
      <c r="AYB251" s="504"/>
      <c r="AYC251" s="504"/>
      <c r="AYD251" s="504"/>
      <c r="AYE251" s="504"/>
      <c r="AYF251" s="504"/>
      <c r="AYG251" s="504"/>
      <c r="AYH251" s="504"/>
      <c r="AYI251" s="504"/>
      <c r="AYJ251" s="504"/>
      <c r="AYK251" s="504"/>
      <c r="AYL251" s="504"/>
      <c r="AYM251" s="504"/>
      <c r="AYN251" s="504"/>
      <c r="AYO251" s="504"/>
      <c r="AYP251" s="504"/>
      <c r="AYQ251" s="504"/>
      <c r="AYR251" s="504"/>
      <c r="AYS251" s="504"/>
      <c r="AYT251" s="504"/>
      <c r="AYU251" s="504"/>
      <c r="AYV251" s="504"/>
      <c r="AYW251" s="504"/>
      <c r="AYX251" s="504"/>
      <c r="AYY251" s="504"/>
      <c r="AYZ251" s="504"/>
      <c r="AZA251" s="504"/>
      <c r="AZB251" s="504"/>
      <c r="AZC251" s="504"/>
      <c r="AZD251" s="504"/>
      <c r="AZE251" s="504"/>
      <c r="AZF251" s="504"/>
      <c r="AZG251" s="504"/>
      <c r="AZH251" s="504"/>
      <c r="AZI251" s="504"/>
      <c r="AZJ251" s="504"/>
      <c r="AZK251" s="504"/>
      <c r="AZL251" s="504"/>
      <c r="AZM251" s="504"/>
      <c r="AZN251" s="504"/>
      <c r="AZO251" s="504"/>
      <c r="AZP251" s="504"/>
      <c r="AZQ251" s="504"/>
      <c r="AZR251" s="504"/>
      <c r="AZS251" s="504"/>
      <c r="AZT251" s="504"/>
      <c r="AZU251" s="504"/>
      <c r="AZV251" s="504"/>
      <c r="AZW251" s="504"/>
      <c r="AZX251" s="504"/>
      <c r="AZY251" s="504"/>
      <c r="AZZ251" s="504"/>
      <c r="BAA251" s="504"/>
      <c r="BAB251" s="504"/>
      <c r="BAC251" s="504"/>
      <c r="BAD251" s="504"/>
      <c r="BAE251" s="504"/>
      <c r="BAF251" s="504"/>
      <c r="BAG251" s="504"/>
      <c r="BAH251" s="504"/>
      <c r="BAI251" s="504"/>
      <c r="BAJ251" s="504"/>
      <c r="BAK251" s="504"/>
      <c r="BAL251" s="504"/>
      <c r="BAM251" s="504"/>
      <c r="BAN251" s="504"/>
      <c r="BAO251" s="504"/>
      <c r="BAP251" s="504"/>
      <c r="BAQ251" s="504"/>
      <c r="BAR251" s="504"/>
      <c r="BAS251" s="504"/>
      <c r="BAT251" s="504"/>
      <c r="BAU251" s="504"/>
      <c r="BAV251" s="504"/>
      <c r="BAW251" s="504"/>
      <c r="BAX251" s="504"/>
      <c r="BAY251" s="504"/>
      <c r="BAZ251" s="504"/>
      <c r="BBA251" s="504"/>
      <c r="BBB251" s="504"/>
      <c r="BBC251" s="504"/>
      <c r="BBD251" s="504"/>
      <c r="BBE251" s="504"/>
      <c r="BBF251" s="504"/>
      <c r="BBG251" s="504"/>
      <c r="BBH251" s="504"/>
      <c r="BBI251" s="504"/>
      <c r="BBJ251" s="504"/>
      <c r="BBK251" s="504"/>
      <c r="BBL251" s="504"/>
      <c r="BBM251" s="504"/>
      <c r="BBN251" s="504"/>
      <c r="BBO251" s="504"/>
      <c r="BBP251" s="504"/>
      <c r="BBQ251" s="504"/>
      <c r="BBR251" s="504"/>
      <c r="BBS251" s="504"/>
      <c r="BBT251" s="504"/>
      <c r="BBU251" s="504"/>
      <c r="BBV251" s="504"/>
      <c r="BBW251" s="504"/>
      <c r="BBX251" s="504"/>
      <c r="BBY251" s="504"/>
      <c r="BBZ251" s="504"/>
      <c r="BCA251" s="504"/>
      <c r="BCB251" s="504"/>
      <c r="BCC251" s="504"/>
      <c r="BCD251" s="504"/>
      <c r="BCE251" s="504"/>
      <c r="BCF251" s="504"/>
      <c r="BCG251" s="504"/>
      <c r="BCH251" s="504"/>
      <c r="BCI251" s="504"/>
      <c r="BCJ251" s="504"/>
      <c r="BCK251" s="504"/>
      <c r="BCL251" s="504"/>
      <c r="BCM251" s="504"/>
      <c r="BCN251" s="504"/>
      <c r="BCO251" s="504"/>
      <c r="BCP251" s="504"/>
      <c r="BCQ251" s="504"/>
      <c r="BCR251" s="504"/>
      <c r="BCS251" s="504"/>
      <c r="BCT251" s="504"/>
      <c r="BCU251" s="504"/>
      <c r="BCV251" s="504"/>
      <c r="BCW251" s="504"/>
      <c r="BCX251" s="504"/>
      <c r="BCY251" s="504"/>
      <c r="BCZ251" s="504"/>
      <c r="BDA251" s="504"/>
      <c r="BDB251" s="504"/>
      <c r="BDC251" s="504"/>
      <c r="BDD251" s="504"/>
      <c r="BDE251" s="504"/>
      <c r="BDF251" s="504"/>
      <c r="BDG251" s="504"/>
      <c r="BDH251" s="504"/>
      <c r="BDI251" s="504"/>
      <c r="BDJ251" s="504"/>
      <c r="BDK251" s="504"/>
      <c r="BDL251" s="504"/>
      <c r="BDM251" s="504"/>
      <c r="BDN251" s="504"/>
      <c r="BDO251" s="504"/>
      <c r="BDP251" s="504"/>
      <c r="BDQ251" s="504"/>
      <c r="BDR251" s="504"/>
      <c r="BDS251" s="504"/>
      <c r="BDT251" s="504"/>
      <c r="BDU251" s="504"/>
      <c r="BDV251" s="504"/>
      <c r="BDW251" s="504"/>
      <c r="BDX251" s="504"/>
      <c r="BDY251" s="504"/>
      <c r="BDZ251" s="504"/>
      <c r="BEA251" s="504"/>
      <c r="BEB251" s="504"/>
      <c r="BEC251" s="504"/>
      <c r="BED251" s="504"/>
      <c r="BEE251" s="504"/>
      <c r="BEF251" s="504"/>
      <c r="BEG251" s="504"/>
      <c r="BEH251" s="504"/>
      <c r="BEI251" s="504"/>
      <c r="BEJ251" s="504"/>
      <c r="BEK251" s="504"/>
      <c r="BEL251" s="504"/>
      <c r="BEM251" s="504"/>
      <c r="BEN251" s="504"/>
      <c r="BEO251" s="504"/>
      <c r="BEP251" s="504"/>
      <c r="BEQ251" s="504"/>
      <c r="BER251" s="504"/>
      <c r="BES251" s="504"/>
      <c r="BET251" s="504"/>
      <c r="BEU251" s="504"/>
      <c r="BEV251" s="504"/>
      <c r="BEW251" s="504"/>
      <c r="BEX251" s="504"/>
      <c r="BEY251" s="504"/>
      <c r="BEZ251" s="504"/>
      <c r="BFA251" s="504"/>
      <c r="BFB251" s="504"/>
      <c r="BFC251" s="504"/>
      <c r="BFD251" s="504"/>
      <c r="BFE251" s="504"/>
      <c r="BFF251" s="504"/>
      <c r="BFG251" s="504"/>
      <c r="BFH251" s="504"/>
      <c r="BFI251" s="504"/>
      <c r="BFJ251" s="504"/>
      <c r="BFK251" s="504"/>
      <c r="BFL251" s="504"/>
      <c r="BFM251" s="504"/>
      <c r="BFN251" s="504"/>
      <c r="BFO251" s="504"/>
      <c r="BFP251" s="504"/>
      <c r="BFQ251" s="504"/>
      <c r="BFR251" s="504"/>
      <c r="BFS251" s="504"/>
      <c r="BFT251" s="504"/>
      <c r="BFU251" s="504"/>
      <c r="BFV251" s="504"/>
      <c r="BFW251" s="504"/>
      <c r="BFX251" s="504"/>
      <c r="BFY251" s="504"/>
      <c r="BFZ251" s="504"/>
      <c r="BGA251" s="504"/>
      <c r="BGB251" s="504"/>
      <c r="BGC251" s="504"/>
      <c r="BGD251" s="504"/>
      <c r="BGE251" s="504"/>
      <c r="BGF251" s="504"/>
      <c r="BGG251" s="504"/>
      <c r="BGH251" s="504"/>
      <c r="BGI251" s="504"/>
      <c r="BGJ251" s="504"/>
      <c r="BGK251" s="504"/>
      <c r="BGL251" s="504"/>
      <c r="BGM251" s="504"/>
      <c r="BGN251" s="504"/>
      <c r="BGO251" s="504"/>
      <c r="BGP251" s="504"/>
      <c r="BGQ251" s="504"/>
      <c r="BGR251" s="504"/>
      <c r="BGS251" s="504"/>
      <c r="BGT251" s="504"/>
      <c r="BGU251" s="504"/>
      <c r="BGV251" s="504"/>
      <c r="BGW251" s="504"/>
      <c r="BGX251" s="504"/>
      <c r="BGY251" s="504"/>
      <c r="BGZ251" s="504"/>
      <c r="BHA251" s="504"/>
      <c r="BHB251" s="504"/>
      <c r="BHC251" s="504"/>
      <c r="BHD251" s="504"/>
      <c r="BHE251" s="504"/>
      <c r="BHF251" s="504"/>
      <c r="BHG251" s="504"/>
      <c r="BHH251" s="504"/>
      <c r="BHI251" s="504"/>
      <c r="BHJ251" s="504"/>
      <c r="BHK251" s="504"/>
      <c r="BHL251" s="504"/>
      <c r="BHM251" s="504"/>
      <c r="BHN251" s="504"/>
      <c r="BHO251" s="504"/>
      <c r="BHP251" s="504"/>
      <c r="BHQ251" s="504"/>
      <c r="BHR251" s="504"/>
      <c r="BHS251" s="504"/>
      <c r="BHT251" s="504"/>
      <c r="BHU251" s="504"/>
      <c r="BHV251" s="504"/>
      <c r="BHW251" s="504"/>
      <c r="BHX251" s="504"/>
      <c r="BHY251" s="504"/>
      <c r="BHZ251" s="504"/>
      <c r="BIA251" s="504"/>
      <c r="BIB251" s="504"/>
      <c r="BIC251" s="504"/>
      <c r="BID251" s="504"/>
      <c r="BIE251" s="504"/>
      <c r="BIF251" s="504"/>
      <c r="BIG251" s="504"/>
      <c r="BIH251" s="504"/>
      <c r="BII251" s="504"/>
      <c r="BIJ251" s="504"/>
      <c r="BIK251" s="504"/>
      <c r="BIL251" s="504"/>
      <c r="BIM251" s="504"/>
      <c r="BIN251" s="504"/>
      <c r="BIO251" s="504"/>
      <c r="BIP251" s="504"/>
      <c r="BIQ251" s="504"/>
      <c r="BIR251" s="504"/>
      <c r="BIS251" s="504"/>
      <c r="BIT251" s="504"/>
      <c r="BIU251" s="504"/>
      <c r="BIV251" s="504"/>
      <c r="BIW251" s="504"/>
      <c r="BIX251" s="504"/>
      <c r="BIY251" s="504"/>
      <c r="BIZ251" s="504"/>
      <c r="BJA251" s="504"/>
      <c r="BJB251" s="504"/>
      <c r="BJC251" s="504"/>
      <c r="BJD251" s="504"/>
      <c r="BJE251" s="504"/>
      <c r="BJF251" s="504"/>
      <c r="BJG251" s="504"/>
      <c r="BJH251" s="504"/>
      <c r="BJI251" s="504"/>
      <c r="BJJ251" s="504"/>
      <c r="BJK251" s="504"/>
      <c r="BJL251" s="504"/>
      <c r="BJM251" s="504"/>
      <c r="BJN251" s="504"/>
      <c r="BJO251" s="504"/>
      <c r="BJP251" s="504"/>
      <c r="BJQ251" s="504"/>
      <c r="BJR251" s="504"/>
      <c r="BJS251" s="504"/>
      <c r="BJT251" s="504"/>
      <c r="BJU251" s="504"/>
      <c r="BJV251" s="504"/>
      <c r="BJW251" s="504"/>
      <c r="BJX251" s="504"/>
      <c r="BJY251" s="504"/>
      <c r="BJZ251" s="504"/>
      <c r="BKA251" s="504"/>
      <c r="BKB251" s="504"/>
      <c r="BKC251" s="504"/>
      <c r="BKD251" s="504"/>
      <c r="BKE251" s="504"/>
      <c r="BKF251" s="504"/>
      <c r="BKG251" s="504"/>
      <c r="BKH251" s="504"/>
      <c r="BKI251" s="504"/>
      <c r="BKJ251" s="504"/>
      <c r="BKK251" s="504"/>
      <c r="BKL251" s="504"/>
      <c r="BKM251" s="504"/>
      <c r="BKN251" s="504"/>
      <c r="BKO251" s="504"/>
      <c r="BKP251" s="504"/>
      <c r="BKQ251" s="504"/>
      <c r="BKR251" s="504"/>
      <c r="BKS251" s="504"/>
      <c r="BKT251" s="504"/>
      <c r="BKU251" s="504"/>
      <c r="BKV251" s="504"/>
      <c r="BKW251" s="504"/>
      <c r="BKX251" s="504"/>
      <c r="BKY251" s="504"/>
      <c r="BKZ251" s="504"/>
      <c r="BLA251" s="504"/>
      <c r="BLB251" s="504"/>
      <c r="BLC251" s="504"/>
      <c r="BLD251" s="504"/>
      <c r="BLE251" s="504"/>
      <c r="BLF251" s="504"/>
      <c r="BLG251" s="504"/>
      <c r="BLH251" s="504"/>
      <c r="BLI251" s="504"/>
      <c r="BLJ251" s="504"/>
      <c r="BLK251" s="504"/>
      <c r="BLL251" s="504"/>
      <c r="BLM251" s="504"/>
      <c r="BLN251" s="504"/>
      <c r="BLO251" s="504"/>
      <c r="BLP251" s="504"/>
      <c r="BLQ251" s="504"/>
      <c r="BLR251" s="504"/>
      <c r="BLS251" s="504"/>
      <c r="BLT251" s="504"/>
      <c r="BLU251" s="504"/>
      <c r="BLV251" s="504"/>
      <c r="BLW251" s="504"/>
      <c r="BLX251" s="504"/>
      <c r="BLY251" s="504"/>
      <c r="BLZ251" s="504"/>
      <c r="BMA251" s="504"/>
      <c r="BMB251" s="504"/>
      <c r="BMC251" s="504"/>
      <c r="BMD251" s="504"/>
      <c r="BME251" s="504"/>
      <c r="BMF251" s="504"/>
      <c r="BMG251" s="504"/>
      <c r="BMH251" s="504"/>
      <c r="BMI251" s="504"/>
      <c r="BMJ251" s="504"/>
      <c r="BMK251" s="504"/>
      <c r="BML251" s="504"/>
      <c r="BMM251" s="504"/>
      <c r="BMN251" s="504"/>
      <c r="BMO251" s="504"/>
      <c r="BMP251" s="504"/>
      <c r="BMQ251" s="504"/>
      <c r="BMR251" s="504"/>
      <c r="BMS251" s="504"/>
      <c r="BMT251" s="504"/>
      <c r="BMU251" s="504"/>
      <c r="BMV251" s="504"/>
      <c r="BMW251" s="504"/>
      <c r="BMX251" s="504"/>
      <c r="BMY251" s="504"/>
      <c r="BMZ251" s="504"/>
      <c r="BNA251" s="504"/>
      <c r="BNB251" s="504"/>
      <c r="BNC251" s="504"/>
      <c r="BND251" s="504"/>
      <c r="BNE251" s="504"/>
      <c r="BNF251" s="504"/>
      <c r="BNG251" s="504"/>
      <c r="BNH251" s="504"/>
      <c r="BNI251" s="504"/>
      <c r="BNJ251" s="504"/>
      <c r="BNK251" s="504"/>
      <c r="BNL251" s="504"/>
      <c r="BNM251" s="504"/>
      <c r="BNN251" s="504"/>
      <c r="BNO251" s="504"/>
      <c r="BNP251" s="504"/>
      <c r="BNQ251" s="504"/>
      <c r="BNR251" s="504"/>
      <c r="BNS251" s="504"/>
      <c r="BNT251" s="504"/>
      <c r="BNU251" s="504"/>
      <c r="BNV251" s="504"/>
      <c r="BNW251" s="504"/>
      <c r="BNX251" s="504"/>
      <c r="BNY251" s="504"/>
      <c r="BNZ251" s="504"/>
      <c r="BOA251" s="504"/>
      <c r="BOB251" s="504"/>
      <c r="BOC251" s="504"/>
      <c r="BOD251" s="504"/>
      <c r="BOE251" s="504"/>
      <c r="BOF251" s="504"/>
      <c r="BOG251" s="504"/>
      <c r="BOH251" s="504"/>
      <c r="BOI251" s="504"/>
      <c r="BOJ251" s="504"/>
      <c r="BOK251" s="504"/>
      <c r="BOL251" s="504"/>
      <c r="BOM251" s="504"/>
      <c r="BON251" s="504"/>
      <c r="BOO251" s="504"/>
      <c r="BOP251" s="504"/>
      <c r="BOQ251" s="504"/>
      <c r="BOR251" s="504"/>
      <c r="BOS251" s="504"/>
      <c r="BOT251" s="504"/>
      <c r="BOU251" s="504"/>
      <c r="BOV251" s="504"/>
      <c r="BOW251" s="504"/>
      <c r="BOX251" s="504"/>
      <c r="BOY251" s="504"/>
      <c r="BOZ251" s="504"/>
      <c r="BPA251" s="504"/>
      <c r="BPB251" s="504"/>
      <c r="BPC251" s="504"/>
      <c r="BPD251" s="504"/>
      <c r="BPE251" s="504"/>
      <c r="BPF251" s="504"/>
      <c r="BPG251" s="504"/>
      <c r="BPH251" s="504"/>
      <c r="BPI251" s="504"/>
      <c r="BPJ251" s="504"/>
      <c r="BPK251" s="504"/>
      <c r="BPL251" s="504"/>
      <c r="BPM251" s="504"/>
      <c r="BPN251" s="504"/>
      <c r="BPO251" s="504"/>
      <c r="BPP251" s="504"/>
      <c r="BPQ251" s="504"/>
      <c r="BPR251" s="504"/>
      <c r="BPS251" s="504"/>
      <c r="BPT251" s="504"/>
      <c r="BPU251" s="504"/>
      <c r="BPV251" s="504"/>
      <c r="BPW251" s="504"/>
      <c r="BPX251" s="504"/>
      <c r="BPY251" s="504"/>
      <c r="BPZ251" s="504"/>
      <c r="BQA251" s="504"/>
      <c r="BQB251" s="504"/>
      <c r="BQC251" s="504"/>
      <c r="BQD251" s="504"/>
      <c r="BQE251" s="504"/>
      <c r="BQF251" s="504"/>
      <c r="BQG251" s="504"/>
      <c r="BQH251" s="504"/>
      <c r="BQI251" s="504"/>
      <c r="BQJ251" s="504"/>
      <c r="BQK251" s="504"/>
      <c r="BQL251" s="504"/>
      <c r="BQM251" s="504"/>
      <c r="BQN251" s="504"/>
      <c r="BQO251" s="504"/>
      <c r="BQP251" s="504"/>
      <c r="BQQ251" s="504"/>
      <c r="BQR251" s="504"/>
      <c r="BQS251" s="504"/>
      <c r="BQT251" s="504"/>
      <c r="BQU251" s="504"/>
      <c r="BQV251" s="504"/>
      <c r="BQW251" s="504"/>
      <c r="BQX251" s="504"/>
      <c r="BQY251" s="504"/>
      <c r="BQZ251" s="504"/>
      <c r="BRA251" s="504"/>
      <c r="BRB251" s="504"/>
      <c r="BRC251" s="504"/>
      <c r="BRD251" s="504"/>
      <c r="BRE251" s="504"/>
      <c r="BRF251" s="504"/>
      <c r="BRG251" s="504"/>
      <c r="BRH251" s="504"/>
      <c r="BRI251" s="504"/>
      <c r="BRJ251" s="504"/>
      <c r="BRK251" s="504"/>
      <c r="BRL251" s="504"/>
      <c r="BRM251" s="504"/>
      <c r="BRN251" s="504"/>
      <c r="BRO251" s="504"/>
      <c r="BRP251" s="504"/>
      <c r="BRQ251" s="504"/>
      <c r="BRR251" s="504"/>
      <c r="BRS251" s="504"/>
      <c r="BRT251" s="504"/>
      <c r="BRU251" s="504"/>
      <c r="BRV251" s="504"/>
      <c r="BRW251" s="504"/>
      <c r="BRX251" s="504"/>
      <c r="BRY251" s="504"/>
      <c r="BRZ251" s="504"/>
      <c r="BSA251" s="504"/>
      <c r="BSB251" s="504"/>
      <c r="BSC251" s="504"/>
      <c r="BSD251" s="504"/>
      <c r="BSE251" s="504"/>
      <c r="BSF251" s="504"/>
      <c r="BSG251" s="504"/>
      <c r="BSH251" s="504"/>
      <c r="BSI251" s="504"/>
      <c r="BSJ251" s="504"/>
      <c r="BSK251" s="504"/>
      <c r="BSL251" s="504"/>
      <c r="BSM251" s="504"/>
      <c r="BSN251" s="504"/>
      <c r="BSO251" s="504"/>
      <c r="BSP251" s="504"/>
      <c r="BSQ251" s="504"/>
      <c r="BSR251" s="504"/>
      <c r="BSS251" s="504"/>
      <c r="BST251" s="504"/>
      <c r="BSU251" s="504"/>
      <c r="BSV251" s="504"/>
      <c r="BSW251" s="504"/>
      <c r="BSX251" s="504"/>
      <c r="BSY251" s="504"/>
      <c r="BSZ251" s="504"/>
      <c r="BTA251" s="504"/>
      <c r="BTB251" s="504"/>
      <c r="BTC251" s="504"/>
      <c r="BTD251" s="504"/>
      <c r="BTE251" s="504"/>
      <c r="BTF251" s="504"/>
      <c r="BTG251" s="504"/>
      <c r="BTH251" s="504"/>
      <c r="BTI251" s="504"/>
    </row>
    <row r="252" spans="1:1881" s="503" customFormat="1" ht="204.75" customHeight="1" x14ac:dyDescent="0.25">
      <c r="A252" s="473">
        <v>958</v>
      </c>
      <c r="B252" s="469"/>
      <c r="C252" s="470"/>
      <c r="D252" s="658" t="s">
        <v>1249</v>
      </c>
      <c r="E252" s="472" t="s">
        <v>956</v>
      </c>
      <c r="F252" s="947"/>
      <c r="G252" s="583" t="str">
        <f t="shared" si="3"/>
        <v>Please do not leave blank</v>
      </c>
      <c r="H252" s="505"/>
      <c r="I252"/>
      <c r="J252"/>
      <c r="K252"/>
      <c r="L252"/>
      <c r="M252"/>
      <c r="N252"/>
      <c r="O252"/>
      <c r="P252" s="504"/>
      <c r="Q252" s="504"/>
      <c r="R252" s="504"/>
      <c r="S252" s="504"/>
      <c r="T252" s="504"/>
      <c r="U252" s="504"/>
      <c r="V252" s="504"/>
      <c r="W252" s="504"/>
      <c r="X252" s="504"/>
      <c r="Y252" s="504"/>
      <c r="Z252" s="504"/>
      <c r="AA252" s="504"/>
      <c r="AB252" s="504"/>
      <c r="AC252" s="504"/>
      <c r="AD252" s="504"/>
      <c r="AE252" s="504"/>
      <c r="AF252" s="504"/>
      <c r="AG252" s="504"/>
      <c r="AH252" s="504"/>
      <c r="AI252" s="504"/>
      <c r="AJ252" s="504"/>
      <c r="AK252" s="504"/>
      <c r="AL252" s="504"/>
      <c r="AM252" s="504"/>
      <c r="AN252" s="504"/>
      <c r="AO252" s="504"/>
      <c r="AP252" s="504"/>
      <c r="AQ252" s="504"/>
      <c r="AR252" s="504"/>
      <c r="AS252" s="504"/>
      <c r="AT252" s="504"/>
      <c r="AU252" s="504"/>
      <c r="AV252" s="504"/>
      <c r="AW252" s="504"/>
      <c r="AX252" s="504"/>
      <c r="AY252" s="504"/>
      <c r="AZ252" s="504"/>
      <c r="BA252" s="504"/>
      <c r="BB252" s="504"/>
      <c r="BC252" s="504"/>
      <c r="BD252" s="504"/>
      <c r="BE252" s="504"/>
      <c r="BF252" s="504"/>
      <c r="BG252" s="504"/>
      <c r="BH252" s="504"/>
      <c r="BI252" s="504"/>
      <c r="BJ252" s="504"/>
      <c r="BK252" s="504"/>
      <c r="BL252" s="504"/>
      <c r="BM252" s="504"/>
      <c r="BN252" s="504"/>
      <c r="BO252" s="504"/>
      <c r="BP252" s="504"/>
      <c r="BQ252" s="504"/>
      <c r="BR252" s="504"/>
      <c r="BS252" s="504"/>
      <c r="BT252" s="504"/>
      <c r="BU252" s="504"/>
      <c r="BV252" s="504"/>
      <c r="BW252" s="504"/>
      <c r="BX252" s="504"/>
      <c r="BY252" s="504"/>
      <c r="BZ252" s="504"/>
      <c r="CA252" s="504"/>
      <c r="CB252" s="504"/>
      <c r="CC252" s="504"/>
      <c r="CD252" s="504"/>
      <c r="CE252" s="504"/>
      <c r="CF252" s="504"/>
      <c r="CG252" s="504"/>
      <c r="CH252" s="504"/>
      <c r="CI252" s="504"/>
      <c r="CJ252" s="504"/>
      <c r="CK252" s="504"/>
      <c r="CL252" s="504"/>
      <c r="CM252" s="504"/>
      <c r="CN252" s="504"/>
      <c r="CO252" s="504"/>
      <c r="CP252" s="504"/>
      <c r="CQ252" s="504"/>
      <c r="CR252" s="504"/>
      <c r="CS252" s="504"/>
      <c r="CT252" s="504"/>
      <c r="CU252" s="504"/>
      <c r="CV252" s="504"/>
      <c r="CW252" s="504"/>
      <c r="CX252" s="504"/>
      <c r="CY252" s="504"/>
      <c r="CZ252" s="504"/>
      <c r="DA252" s="504"/>
      <c r="DB252" s="504"/>
      <c r="DC252" s="504"/>
      <c r="DD252" s="504"/>
      <c r="DE252" s="504"/>
      <c r="DF252" s="504"/>
      <c r="DG252" s="504"/>
      <c r="DH252" s="504"/>
      <c r="DI252" s="504"/>
      <c r="DJ252" s="504"/>
      <c r="DK252" s="504"/>
      <c r="DL252" s="504"/>
      <c r="DM252" s="504"/>
      <c r="DN252" s="504"/>
      <c r="DO252" s="504"/>
      <c r="DP252" s="504"/>
      <c r="DQ252" s="504"/>
      <c r="DR252" s="504"/>
      <c r="DS252" s="504"/>
      <c r="DT252" s="504"/>
      <c r="DU252" s="504"/>
      <c r="DV252" s="504"/>
      <c r="DW252" s="504"/>
      <c r="DX252" s="504"/>
      <c r="DY252" s="504"/>
      <c r="DZ252" s="504"/>
      <c r="EA252" s="504"/>
      <c r="EB252" s="504"/>
      <c r="EC252" s="504"/>
      <c r="ED252" s="504"/>
      <c r="EE252" s="504"/>
      <c r="EF252" s="504"/>
      <c r="EG252" s="504"/>
      <c r="EH252" s="504"/>
      <c r="EI252" s="504"/>
      <c r="EJ252" s="504"/>
      <c r="EK252" s="504"/>
      <c r="EL252" s="504"/>
      <c r="EM252" s="504"/>
      <c r="EN252" s="504"/>
      <c r="EO252" s="504"/>
      <c r="EP252" s="504"/>
      <c r="EQ252" s="504"/>
      <c r="ER252" s="504"/>
      <c r="ES252" s="504"/>
      <c r="ET252" s="504"/>
      <c r="EU252" s="504"/>
      <c r="EV252" s="504"/>
      <c r="EW252" s="504"/>
      <c r="EX252" s="504"/>
      <c r="EY252" s="504"/>
      <c r="EZ252" s="504"/>
      <c r="FA252" s="504"/>
      <c r="FB252" s="504"/>
      <c r="FC252" s="504"/>
      <c r="FD252" s="504"/>
      <c r="FE252" s="504"/>
      <c r="FF252" s="504"/>
      <c r="FG252" s="504"/>
      <c r="FH252" s="504"/>
      <c r="FI252" s="504"/>
      <c r="FJ252" s="504"/>
      <c r="FK252" s="504"/>
      <c r="FL252" s="504"/>
      <c r="FM252" s="504"/>
      <c r="FN252" s="504"/>
      <c r="FO252" s="504"/>
      <c r="FP252" s="504"/>
      <c r="FQ252" s="504"/>
      <c r="FR252" s="504"/>
      <c r="FS252" s="504"/>
      <c r="FT252" s="504"/>
      <c r="FU252" s="504"/>
      <c r="FV252" s="504"/>
      <c r="FW252" s="504"/>
      <c r="FX252" s="504"/>
      <c r="FY252" s="504"/>
      <c r="FZ252" s="504"/>
      <c r="GA252" s="504"/>
      <c r="GB252" s="504"/>
      <c r="GC252" s="504"/>
      <c r="GD252" s="504"/>
      <c r="GE252" s="504"/>
      <c r="GF252" s="504"/>
      <c r="GG252" s="504"/>
      <c r="GH252" s="504"/>
      <c r="GI252" s="504"/>
      <c r="GJ252" s="504"/>
      <c r="GK252" s="504"/>
      <c r="GL252" s="504"/>
      <c r="GM252" s="504"/>
      <c r="GN252" s="504"/>
      <c r="GO252" s="504"/>
      <c r="GP252" s="504"/>
      <c r="GQ252" s="504"/>
      <c r="GR252" s="504"/>
      <c r="GS252" s="504"/>
      <c r="GT252" s="504"/>
      <c r="GU252" s="504"/>
      <c r="GV252" s="504"/>
      <c r="GW252" s="504"/>
      <c r="GX252" s="504"/>
      <c r="GY252" s="504"/>
      <c r="GZ252" s="504"/>
      <c r="HA252" s="504"/>
      <c r="HB252" s="504"/>
      <c r="HC252" s="504"/>
      <c r="HD252" s="504"/>
      <c r="HE252" s="504"/>
      <c r="HF252" s="504"/>
      <c r="HG252" s="504"/>
      <c r="HH252" s="504"/>
      <c r="HI252" s="504"/>
      <c r="HJ252" s="504"/>
      <c r="HK252" s="504"/>
      <c r="HL252" s="504"/>
      <c r="HM252" s="504"/>
      <c r="HN252" s="504"/>
      <c r="HO252" s="504"/>
      <c r="HP252" s="504"/>
      <c r="HQ252" s="504"/>
      <c r="HR252" s="504"/>
      <c r="HS252" s="504"/>
      <c r="HT252" s="504"/>
      <c r="HU252" s="504"/>
      <c r="HV252" s="504"/>
      <c r="HW252" s="504"/>
      <c r="HX252" s="504"/>
      <c r="HY252" s="504"/>
      <c r="HZ252" s="504"/>
      <c r="IA252" s="504"/>
      <c r="IB252" s="504"/>
      <c r="IC252" s="504"/>
      <c r="ID252" s="504"/>
      <c r="IE252" s="504"/>
      <c r="IF252" s="504"/>
      <c r="IG252" s="504"/>
      <c r="IH252" s="504"/>
      <c r="II252" s="504"/>
      <c r="IJ252" s="504"/>
      <c r="IK252" s="504"/>
      <c r="IL252" s="504"/>
      <c r="IM252" s="504"/>
      <c r="IN252" s="504"/>
      <c r="IO252" s="504"/>
      <c r="IP252" s="504"/>
      <c r="IQ252" s="504"/>
      <c r="IR252" s="504"/>
      <c r="IS252" s="504"/>
      <c r="IT252" s="504"/>
      <c r="IU252" s="504"/>
      <c r="IV252" s="504"/>
      <c r="IW252" s="504"/>
      <c r="IX252" s="504"/>
      <c r="IY252" s="504"/>
      <c r="IZ252" s="504"/>
      <c r="JA252" s="504"/>
      <c r="JB252" s="504"/>
      <c r="JC252" s="504"/>
      <c r="JD252" s="504"/>
      <c r="JE252" s="504"/>
      <c r="JF252" s="504"/>
      <c r="JG252" s="504"/>
      <c r="JH252" s="504"/>
      <c r="JI252" s="504"/>
      <c r="JJ252" s="504"/>
      <c r="JK252" s="504"/>
      <c r="JL252" s="504"/>
      <c r="JM252" s="504"/>
      <c r="JN252" s="504"/>
      <c r="JO252" s="504"/>
      <c r="JP252" s="504"/>
      <c r="JQ252" s="504"/>
      <c r="JR252" s="504"/>
      <c r="JS252" s="504"/>
      <c r="JT252" s="504"/>
      <c r="JU252" s="504"/>
      <c r="JV252" s="504"/>
      <c r="JW252" s="504"/>
      <c r="JX252" s="504"/>
      <c r="JY252" s="504"/>
      <c r="JZ252" s="504"/>
      <c r="KA252" s="504"/>
      <c r="KB252" s="504"/>
      <c r="KC252" s="504"/>
      <c r="KD252" s="504"/>
      <c r="KE252" s="504"/>
      <c r="KF252" s="504"/>
      <c r="KG252" s="504"/>
      <c r="KH252" s="504"/>
      <c r="KI252" s="504"/>
      <c r="KJ252" s="504"/>
      <c r="KK252" s="504"/>
      <c r="KL252" s="504"/>
      <c r="KM252" s="504"/>
      <c r="KN252" s="504"/>
      <c r="KO252" s="504"/>
      <c r="KP252" s="504"/>
      <c r="KQ252" s="504"/>
      <c r="KR252" s="504"/>
      <c r="KS252" s="504"/>
      <c r="KT252" s="504"/>
      <c r="KU252" s="504"/>
      <c r="KV252" s="504"/>
      <c r="KW252" s="504"/>
      <c r="KX252" s="504"/>
      <c r="KY252" s="504"/>
      <c r="KZ252" s="504"/>
      <c r="LA252" s="504"/>
      <c r="LB252" s="504"/>
      <c r="LC252" s="504"/>
      <c r="LD252" s="504"/>
      <c r="LE252" s="504"/>
      <c r="LF252" s="504"/>
      <c r="LG252" s="504"/>
      <c r="LH252" s="504"/>
      <c r="LI252" s="504"/>
      <c r="LJ252" s="504"/>
      <c r="LK252" s="504"/>
      <c r="LL252" s="504"/>
      <c r="LM252" s="504"/>
      <c r="LN252" s="504"/>
      <c r="LO252" s="504"/>
      <c r="LP252" s="504"/>
      <c r="LQ252" s="504"/>
      <c r="LR252" s="504"/>
      <c r="LS252" s="504"/>
      <c r="LT252" s="504"/>
      <c r="LU252" s="504"/>
      <c r="LV252" s="504"/>
      <c r="LW252" s="504"/>
      <c r="LX252" s="504"/>
      <c r="LY252" s="504"/>
      <c r="LZ252" s="504"/>
      <c r="MA252" s="504"/>
      <c r="MB252" s="504"/>
      <c r="MC252" s="504"/>
      <c r="MD252" s="504"/>
      <c r="ME252" s="504"/>
      <c r="MF252" s="504"/>
      <c r="MG252" s="504"/>
      <c r="MH252" s="504"/>
      <c r="MI252" s="504"/>
      <c r="MJ252" s="504"/>
      <c r="MK252" s="504"/>
      <c r="ML252" s="504"/>
      <c r="MM252" s="504"/>
      <c r="MN252" s="504"/>
      <c r="MO252" s="504"/>
      <c r="MP252" s="504"/>
      <c r="MQ252" s="504"/>
      <c r="MR252" s="504"/>
      <c r="MS252" s="504"/>
      <c r="MT252" s="504"/>
      <c r="MU252" s="504"/>
      <c r="MV252" s="504"/>
      <c r="MW252" s="504"/>
      <c r="MX252" s="504"/>
      <c r="MY252" s="504"/>
      <c r="MZ252" s="504"/>
      <c r="NA252" s="504"/>
      <c r="NB252" s="504"/>
      <c r="NC252" s="504"/>
      <c r="ND252" s="504"/>
      <c r="NE252" s="504"/>
      <c r="NF252" s="504"/>
      <c r="NG252" s="504"/>
      <c r="NH252" s="504"/>
      <c r="NI252" s="504"/>
      <c r="NJ252" s="504"/>
      <c r="NK252" s="504"/>
      <c r="NL252" s="504"/>
      <c r="NM252" s="504"/>
      <c r="NN252" s="504"/>
      <c r="NO252" s="504"/>
      <c r="NP252" s="504"/>
      <c r="NQ252" s="504"/>
      <c r="NR252" s="504"/>
      <c r="NS252" s="504"/>
      <c r="NT252" s="504"/>
      <c r="NU252" s="504"/>
      <c r="NV252" s="504"/>
      <c r="NW252" s="504"/>
      <c r="NX252" s="504"/>
      <c r="NY252" s="504"/>
      <c r="NZ252" s="504"/>
      <c r="OA252" s="504"/>
      <c r="OB252" s="504"/>
      <c r="OC252" s="504"/>
      <c r="OD252" s="504"/>
      <c r="OE252" s="504"/>
      <c r="OF252" s="504"/>
      <c r="OG252" s="504"/>
      <c r="OH252" s="504"/>
      <c r="OI252" s="504"/>
      <c r="OJ252" s="504"/>
      <c r="OK252" s="504"/>
      <c r="OL252" s="504"/>
      <c r="OM252" s="504"/>
      <c r="ON252" s="504"/>
      <c r="OO252" s="504"/>
      <c r="OP252" s="504"/>
      <c r="OQ252" s="504"/>
      <c r="OR252" s="504"/>
      <c r="OS252" s="504"/>
      <c r="OT252" s="504"/>
      <c r="OU252" s="504"/>
      <c r="OV252" s="504"/>
      <c r="OW252" s="504"/>
      <c r="OX252" s="504"/>
      <c r="OY252" s="504"/>
      <c r="OZ252" s="504"/>
      <c r="PA252" s="504"/>
      <c r="PB252" s="504"/>
      <c r="PC252" s="504"/>
      <c r="PD252" s="504"/>
      <c r="PE252" s="504"/>
      <c r="PF252" s="504"/>
      <c r="PG252" s="504"/>
      <c r="PH252" s="504"/>
      <c r="PI252" s="504"/>
      <c r="PJ252" s="504"/>
      <c r="PK252" s="504"/>
      <c r="PL252" s="504"/>
      <c r="PM252" s="504"/>
      <c r="PN252" s="504"/>
      <c r="PO252" s="504"/>
      <c r="PP252" s="504"/>
      <c r="PQ252" s="504"/>
      <c r="PR252" s="504"/>
      <c r="PS252" s="504"/>
      <c r="PT252" s="504"/>
      <c r="PU252" s="504"/>
      <c r="PV252" s="504"/>
      <c r="PW252" s="504"/>
      <c r="PX252" s="504"/>
      <c r="PY252" s="504"/>
      <c r="PZ252" s="504"/>
      <c r="QA252" s="504"/>
      <c r="QB252" s="504"/>
      <c r="QC252" s="504"/>
      <c r="QD252" s="504"/>
      <c r="QE252" s="504"/>
      <c r="QF252" s="504"/>
      <c r="QG252" s="504"/>
      <c r="QH252" s="504"/>
      <c r="QI252" s="504"/>
      <c r="QJ252" s="504"/>
      <c r="QK252" s="504"/>
      <c r="QL252" s="504"/>
      <c r="QM252" s="504"/>
      <c r="QN252" s="504"/>
      <c r="QO252" s="504"/>
      <c r="QP252" s="504"/>
      <c r="QQ252" s="504"/>
      <c r="QR252" s="504"/>
      <c r="QS252" s="504"/>
      <c r="QT252" s="504"/>
      <c r="QU252" s="504"/>
      <c r="QV252" s="504"/>
      <c r="QW252" s="504"/>
      <c r="QX252" s="504"/>
      <c r="QY252" s="504"/>
      <c r="QZ252" s="504"/>
      <c r="RA252" s="504"/>
      <c r="RB252" s="504"/>
      <c r="RC252" s="504"/>
      <c r="RD252" s="504"/>
      <c r="RE252" s="504"/>
      <c r="RF252" s="504"/>
      <c r="RG252" s="504"/>
      <c r="RH252" s="504"/>
      <c r="RI252" s="504"/>
      <c r="RJ252" s="504"/>
      <c r="RK252" s="504"/>
      <c r="RL252" s="504"/>
      <c r="RM252" s="504"/>
      <c r="RN252" s="504"/>
      <c r="RO252" s="504"/>
      <c r="RP252" s="504"/>
      <c r="RQ252" s="504"/>
      <c r="RR252" s="504"/>
      <c r="RS252" s="504"/>
      <c r="RT252" s="504"/>
      <c r="RU252" s="504"/>
      <c r="RV252" s="504"/>
      <c r="RW252" s="504"/>
      <c r="RX252" s="504"/>
      <c r="RY252" s="504"/>
      <c r="RZ252" s="504"/>
      <c r="SA252" s="504"/>
      <c r="SB252" s="504"/>
      <c r="SC252" s="504"/>
      <c r="SD252" s="504"/>
      <c r="SE252" s="504"/>
      <c r="SF252" s="504"/>
      <c r="SG252" s="504"/>
      <c r="SH252" s="504"/>
      <c r="SI252" s="504"/>
      <c r="SJ252" s="504"/>
      <c r="SK252" s="504"/>
      <c r="SL252" s="504"/>
      <c r="SM252" s="504"/>
      <c r="SN252" s="504"/>
      <c r="SO252" s="504"/>
      <c r="SP252" s="504"/>
      <c r="SQ252" s="504"/>
      <c r="SR252" s="504"/>
      <c r="SS252" s="504"/>
      <c r="ST252" s="504"/>
      <c r="SU252" s="504"/>
      <c r="SV252" s="504"/>
      <c r="SW252" s="504"/>
      <c r="SX252" s="504"/>
      <c r="SY252" s="504"/>
      <c r="SZ252" s="504"/>
      <c r="TA252" s="504"/>
      <c r="TB252" s="504"/>
      <c r="TC252" s="504"/>
      <c r="TD252" s="504"/>
      <c r="TE252" s="504"/>
      <c r="TF252" s="504"/>
      <c r="TG252" s="504"/>
      <c r="TH252" s="504"/>
      <c r="TI252" s="504"/>
      <c r="TJ252" s="504"/>
      <c r="TK252" s="504"/>
      <c r="TL252" s="504"/>
      <c r="TM252" s="504"/>
      <c r="TN252" s="504"/>
      <c r="TO252" s="504"/>
      <c r="TP252" s="504"/>
      <c r="TQ252" s="504"/>
      <c r="TR252" s="504"/>
      <c r="TS252" s="504"/>
      <c r="TT252" s="504"/>
      <c r="TU252" s="504"/>
      <c r="TV252" s="504"/>
      <c r="TW252" s="504"/>
      <c r="TX252" s="504"/>
      <c r="TY252" s="504"/>
      <c r="TZ252" s="504"/>
      <c r="UA252" s="504"/>
      <c r="UB252" s="504"/>
      <c r="UC252" s="504"/>
      <c r="UD252" s="504"/>
      <c r="UE252" s="504"/>
      <c r="UF252" s="504"/>
      <c r="UG252" s="504"/>
      <c r="UH252" s="504"/>
      <c r="UI252" s="504"/>
      <c r="UJ252" s="504"/>
      <c r="UK252" s="504"/>
      <c r="UL252" s="504"/>
      <c r="UM252" s="504"/>
      <c r="UN252" s="504"/>
      <c r="UO252" s="504"/>
      <c r="UP252" s="504"/>
      <c r="UQ252" s="504"/>
      <c r="UR252" s="504"/>
      <c r="US252" s="504"/>
      <c r="UT252" s="504"/>
      <c r="UU252" s="504"/>
      <c r="UV252" s="504"/>
      <c r="UW252" s="504"/>
      <c r="UX252" s="504"/>
      <c r="UY252" s="504"/>
      <c r="UZ252" s="504"/>
      <c r="VA252" s="504"/>
      <c r="VB252" s="504"/>
      <c r="VC252" s="504"/>
      <c r="VD252" s="504"/>
      <c r="VE252" s="504"/>
      <c r="VF252" s="504"/>
      <c r="VG252" s="504"/>
      <c r="VH252" s="504"/>
      <c r="VI252" s="504"/>
      <c r="VJ252" s="504"/>
      <c r="VK252" s="504"/>
      <c r="VL252" s="504"/>
      <c r="VM252" s="504"/>
      <c r="VN252" s="504"/>
      <c r="VO252" s="504"/>
      <c r="VP252" s="504"/>
      <c r="VQ252" s="504"/>
      <c r="VR252" s="504"/>
      <c r="VS252" s="504"/>
      <c r="VT252" s="504"/>
      <c r="VU252" s="504"/>
      <c r="VV252" s="504"/>
      <c r="VW252" s="504"/>
      <c r="VX252" s="504"/>
      <c r="VY252" s="504"/>
      <c r="VZ252" s="504"/>
      <c r="WA252" s="504"/>
      <c r="WB252" s="504"/>
      <c r="WC252" s="504"/>
      <c r="WD252" s="504"/>
      <c r="WE252" s="504"/>
      <c r="WF252" s="504"/>
      <c r="WG252" s="504"/>
      <c r="WH252" s="504"/>
      <c r="WI252" s="504"/>
      <c r="WJ252" s="504"/>
      <c r="WK252" s="504"/>
      <c r="WL252" s="504"/>
      <c r="WM252" s="504"/>
      <c r="WN252" s="504"/>
      <c r="WO252" s="504"/>
      <c r="WP252" s="504"/>
      <c r="WQ252" s="504"/>
      <c r="WR252" s="504"/>
      <c r="WS252" s="504"/>
      <c r="WT252" s="504"/>
      <c r="WU252" s="504"/>
      <c r="WV252" s="504"/>
      <c r="WW252" s="504"/>
      <c r="WX252" s="504"/>
      <c r="WY252" s="504"/>
      <c r="WZ252" s="504"/>
      <c r="XA252" s="504"/>
      <c r="XB252" s="504"/>
      <c r="XC252" s="504"/>
      <c r="XD252" s="504"/>
      <c r="XE252" s="504"/>
      <c r="XF252" s="504"/>
      <c r="XG252" s="504"/>
      <c r="XH252" s="504"/>
      <c r="XI252" s="504"/>
      <c r="XJ252" s="504"/>
      <c r="XK252" s="504"/>
      <c r="XL252" s="504"/>
      <c r="XM252" s="504"/>
      <c r="XN252" s="504"/>
      <c r="XO252" s="504"/>
      <c r="XP252" s="504"/>
      <c r="XQ252" s="504"/>
      <c r="XR252" s="504"/>
      <c r="XS252" s="504"/>
      <c r="XT252" s="504"/>
      <c r="XU252" s="504"/>
      <c r="XV252" s="504"/>
      <c r="XW252" s="504"/>
      <c r="XX252" s="504"/>
      <c r="XY252" s="504"/>
      <c r="XZ252" s="504"/>
      <c r="YA252" s="504"/>
      <c r="YB252" s="504"/>
      <c r="YC252" s="504"/>
      <c r="YD252" s="504"/>
      <c r="YE252" s="504"/>
      <c r="YF252" s="504"/>
      <c r="YG252" s="504"/>
      <c r="YH252" s="504"/>
      <c r="YI252" s="504"/>
      <c r="YJ252" s="504"/>
      <c r="YK252" s="504"/>
      <c r="YL252" s="504"/>
      <c r="YM252" s="504"/>
      <c r="YN252" s="504"/>
      <c r="YO252" s="504"/>
      <c r="YP252" s="504"/>
      <c r="YQ252" s="504"/>
      <c r="YR252" s="504"/>
      <c r="YS252" s="504"/>
      <c r="YT252" s="504"/>
      <c r="YU252" s="504"/>
      <c r="YV252" s="504"/>
      <c r="YW252" s="504"/>
      <c r="YX252" s="504"/>
      <c r="YY252" s="504"/>
      <c r="YZ252" s="504"/>
      <c r="ZA252" s="504"/>
      <c r="ZB252" s="504"/>
      <c r="ZC252" s="504"/>
      <c r="ZD252" s="504"/>
      <c r="ZE252" s="504"/>
      <c r="ZF252" s="504"/>
      <c r="ZG252" s="504"/>
      <c r="ZH252" s="504"/>
      <c r="ZI252" s="504"/>
      <c r="ZJ252" s="504"/>
      <c r="ZK252" s="504"/>
      <c r="ZL252" s="504"/>
      <c r="ZM252" s="504"/>
      <c r="ZN252" s="504"/>
      <c r="ZO252" s="504"/>
      <c r="ZP252" s="504"/>
      <c r="ZQ252" s="504"/>
      <c r="ZR252" s="504"/>
      <c r="ZS252" s="504"/>
      <c r="ZT252" s="504"/>
      <c r="ZU252" s="504"/>
      <c r="ZV252" s="504"/>
      <c r="ZW252" s="504"/>
      <c r="ZX252" s="504"/>
      <c r="ZY252" s="504"/>
      <c r="ZZ252" s="504"/>
      <c r="AAA252" s="504"/>
      <c r="AAB252" s="504"/>
      <c r="AAC252" s="504"/>
      <c r="AAD252" s="504"/>
      <c r="AAE252" s="504"/>
      <c r="AAF252" s="504"/>
      <c r="AAG252" s="504"/>
      <c r="AAH252" s="504"/>
      <c r="AAI252" s="504"/>
      <c r="AAJ252" s="504"/>
      <c r="AAK252" s="504"/>
      <c r="AAL252" s="504"/>
      <c r="AAM252" s="504"/>
      <c r="AAN252" s="504"/>
      <c r="AAO252" s="504"/>
      <c r="AAP252" s="504"/>
      <c r="AAQ252" s="504"/>
      <c r="AAR252" s="504"/>
      <c r="AAS252" s="504"/>
      <c r="AAT252" s="504"/>
      <c r="AAU252" s="504"/>
      <c r="AAV252" s="504"/>
      <c r="AAW252" s="504"/>
      <c r="AAX252" s="504"/>
      <c r="AAY252" s="504"/>
      <c r="AAZ252" s="504"/>
      <c r="ABA252" s="504"/>
      <c r="ABB252" s="504"/>
      <c r="ABC252" s="504"/>
      <c r="ABD252" s="504"/>
      <c r="ABE252" s="504"/>
      <c r="ABF252" s="504"/>
      <c r="ABG252" s="504"/>
      <c r="ABH252" s="504"/>
      <c r="ABI252" s="504"/>
      <c r="ABJ252" s="504"/>
      <c r="ABK252" s="504"/>
      <c r="ABL252" s="504"/>
      <c r="ABM252" s="504"/>
      <c r="ABN252" s="504"/>
      <c r="ABO252" s="504"/>
      <c r="ABP252" s="504"/>
      <c r="ABQ252" s="504"/>
      <c r="ABR252" s="504"/>
      <c r="ABS252" s="504"/>
      <c r="ABT252" s="504"/>
      <c r="ABU252" s="504"/>
      <c r="ABV252" s="504"/>
      <c r="ABW252" s="504"/>
      <c r="ABX252" s="504"/>
      <c r="ABY252" s="504"/>
      <c r="ABZ252" s="504"/>
      <c r="ACA252" s="504"/>
      <c r="ACB252" s="504"/>
      <c r="ACC252" s="504"/>
      <c r="ACD252" s="504"/>
      <c r="ACE252" s="504"/>
      <c r="ACF252" s="504"/>
      <c r="ACG252" s="504"/>
      <c r="ACH252" s="504"/>
      <c r="ACI252" s="504"/>
      <c r="ACJ252" s="504"/>
      <c r="ACK252" s="504"/>
      <c r="ACL252" s="504"/>
      <c r="ACM252" s="504"/>
      <c r="ACN252" s="504"/>
      <c r="ACO252" s="504"/>
      <c r="ACP252" s="504"/>
      <c r="ACQ252" s="504"/>
      <c r="ACR252" s="504"/>
      <c r="ACS252" s="504"/>
      <c r="ACT252" s="504"/>
      <c r="ACU252" s="504"/>
      <c r="ACV252" s="504"/>
      <c r="ACW252" s="504"/>
      <c r="ACX252" s="504"/>
      <c r="ACY252" s="504"/>
      <c r="ACZ252" s="504"/>
      <c r="ADA252" s="504"/>
      <c r="ADB252" s="504"/>
      <c r="ADC252" s="504"/>
      <c r="ADD252" s="504"/>
      <c r="ADE252" s="504"/>
      <c r="ADF252" s="504"/>
      <c r="ADG252" s="504"/>
      <c r="ADH252" s="504"/>
      <c r="ADI252" s="504"/>
      <c r="ADJ252" s="504"/>
      <c r="ADK252" s="504"/>
      <c r="ADL252" s="504"/>
      <c r="ADM252" s="504"/>
      <c r="ADN252" s="504"/>
      <c r="ADO252" s="504"/>
      <c r="ADP252" s="504"/>
      <c r="ADQ252" s="504"/>
      <c r="ADR252" s="504"/>
      <c r="ADS252" s="504"/>
      <c r="ADT252" s="504"/>
      <c r="ADU252" s="504"/>
      <c r="ADV252" s="504"/>
      <c r="ADW252" s="504"/>
      <c r="ADX252" s="504"/>
      <c r="ADY252" s="504"/>
      <c r="ADZ252" s="504"/>
      <c r="AEA252" s="504"/>
      <c r="AEB252" s="504"/>
      <c r="AEC252" s="504"/>
      <c r="AED252" s="504"/>
      <c r="AEE252" s="504"/>
      <c r="AEF252" s="504"/>
      <c r="AEG252" s="504"/>
      <c r="AEH252" s="504"/>
      <c r="AEI252" s="504"/>
      <c r="AEJ252" s="504"/>
      <c r="AEK252" s="504"/>
      <c r="AEL252" s="504"/>
      <c r="AEM252" s="504"/>
      <c r="AEN252" s="504"/>
      <c r="AEO252" s="504"/>
      <c r="AEP252" s="504"/>
      <c r="AEQ252" s="504"/>
      <c r="AER252" s="504"/>
      <c r="AES252" s="504"/>
      <c r="AET252" s="504"/>
      <c r="AEU252" s="504"/>
      <c r="AEV252" s="504"/>
      <c r="AEW252" s="504"/>
      <c r="AEX252" s="504"/>
      <c r="AEY252" s="504"/>
      <c r="AEZ252" s="504"/>
      <c r="AFA252" s="504"/>
      <c r="AFB252" s="504"/>
      <c r="AFC252" s="504"/>
      <c r="AFD252" s="504"/>
      <c r="AFE252" s="504"/>
      <c r="AFF252" s="504"/>
      <c r="AFG252" s="504"/>
      <c r="AFH252" s="504"/>
      <c r="AFI252" s="504"/>
      <c r="AFJ252" s="504"/>
      <c r="AFK252" s="504"/>
      <c r="AFL252" s="504"/>
      <c r="AFM252" s="504"/>
      <c r="AFN252" s="504"/>
      <c r="AFO252" s="504"/>
      <c r="AFP252" s="504"/>
      <c r="AFQ252" s="504"/>
      <c r="AFR252" s="504"/>
      <c r="AFS252" s="504"/>
      <c r="AFT252" s="504"/>
      <c r="AFU252" s="504"/>
      <c r="AFV252" s="504"/>
      <c r="AFW252" s="504"/>
      <c r="AFX252" s="504"/>
      <c r="AFY252" s="504"/>
      <c r="AFZ252" s="504"/>
      <c r="AGA252" s="504"/>
      <c r="AGB252" s="504"/>
      <c r="AGC252" s="504"/>
      <c r="AGD252" s="504"/>
      <c r="AGE252" s="504"/>
      <c r="AGF252" s="504"/>
      <c r="AGG252" s="504"/>
      <c r="AGH252" s="504"/>
      <c r="AGI252" s="504"/>
      <c r="AGJ252" s="504"/>
      <c r="AGK252" s="504"/>
      <c r="AGL252" s="504"/>
      <c r="AGM252" s="504"/>
      <c r="AGN252" s="504"/>
      <c r="AGO252" s="504"/>
      <c r="AGP252" s="504"/>
      <c r="AGQ252" s="504"/>
      <c r="AGR252" s="504"/>
      <c r="AGS252" s="504"/>
      <c r="AGT252" s="504"/>
      <c r="AGU252" s="504"/>
      <c r="AGV252" s="504"/>
      <c r="AGW252" s="504"/>
      <c r="AGX252" s="504"/>
      <c r="AGY252" s="504"/>
      <c r="AGZ252" s="504"/>
      <c r="AHA252" s="504"/>
      <c r="AHB252" s="504"/>
      <c r="AHC252" s="504"/>
      <c r="AHD252" s="504"/>
      <c r="AHE252" s="504"/>
      <c r="AHF252" s="504"/>
      <c r="AHG252" s="504"/>
      <c r="AHH252" s="504"/>
      <c r="AHI252" s="504"/>
      <c r="AHJ252" s="504"/>
      <c r="AHK252" s="504"/>
      <c r="AHL252" s="504"/>
      <c r="AHM252" s="504"/>
      <c r="AHN252" s="504"/>
      <c r="AHO252" s="504"/>
      <c r="AHP252" s="504"/>
      <c r="AHQ252" s="504"/>
      <c r="AHR252" s="504"/>
      <c r="AHS252" s="504"/>
      <c r="AHT252" s="504"/>
      <c r="AHU252" s="504"/>
      <c r="AHV252" s="504"/>
      <c r="AHW252" s="504"/>
      <c r="AHX252" s="504"/>
      <c r="AHY252" s="504"/>
      <c r="AHZ252" s="504"/>
      <c r="AIA252" s="504"/>
      <c r="AIB252" s="504"/>
      <c r="AIC252" s="504"/>
      <c r="AID252" s="504"/>
      <c r="AIE252" s="504"/>
      <c r="AIF252" s="504"/>
      <c r="AIG252" s="504"/>
      <c r="AIH252" s="504"/>
      <c r="AII252" s="504"/>
      <c r="AIJ252" s="504"/>
      <c r="AIK252" s="504"/>
      <c r="AIL252" s="504"/>
      <c r="AIM252" s="504"/>
      <c r="AIN252" s="504"/>
      <c r="AIO252" s="504"/>
      <c r="AIP252" s="504"/>
      <c r="AIQ252" s="504"/>
      <c r="AIR252" s="504"/>
      <c r="AIS252" s="504"/>
      <c r="AIT252" s="504"/>
      <c r="AIU252" s="504"/>
      <c r="AIV252" s="504"/>
      <c r="AIW252" s="504"/>
      <c r="AIX252" s="504"/>
      <c r="AIY252" s="504"/>
      <c r="AIZ252" s="504"/>
      <c r="AJA252" s="504"/>
      <c r="AJB252" s="504"/>
      <c r="AJC252" s="504"/>
      <c r="AJD252" s="504"/>
      <c r="AJE252" s="504"/>
      <c r="AJF252" s="504"/>
      <c r="AJG252" s="504"/>
      <c r="AJH252" s="504"/>
      <c r="AJI252" s="504"/>
      <c r="AJJ252" s="504"/>
      <c r="AJK252" s="504"/>
      <c r="AJL252" s="504"/>
      <c r="AJM252" s="504"/>
      <c r="AJN252" s="504"/>
      <c r="AJO252" s="504"/>
      <c r="AJP252" s="504"/>
      <c r="AJQ252" s="504"/>
      <c r="AJR252" s="504"/>
      <c r="AJS252" s="504"/>
      <c r="AJT252" s="504"/>
      <c r="AJU252" s="504"/>
      <c r="AJV252" s="504"/>
      <c r="AJW252" s="504"/>
      <c r="AJX252" s="504"/>
      <c r="AJY252" s="504"/>
      <c r="AJZ252" s="504"/>
      <c r="AKA252" s="504"/>
      <c r="AKB252" s="504"/>
      <c r="AKC252" s="504"/>
      <c r="AKD252" s="504"/>
      <c r="AKE252" s="504"/>
      <c r="AKF252" s="504"/>
      <c r="AKG252" s="504"/>
      <c r="AKH252" s="504"/>
      <c r="AKI252" s="504"/>
      <c r="AKJ252" s="504"/>
      <c r="AKK252" s="504"/>
      <c r="AKL252" s="504"/>
      <c r="AKM252" s="504"/>
      <c r="AKN252" s="504"/>
      <c r="AKO252" s="504"/>
      <c r="AKP252" s="504"/>
      <c r="AKQ252" s="504"/>
      <c r="AKR252" s="504"/>
      <c r="AKS252" s="504"/>
      <c r="AKT252" s="504"/>
      <c r="AKU252" s="504"/>
      <c r="AKV252" s="504"/>
      <c r="AKW252" s="504"/>
      <c r="AKX252" s="504"/>
      <c r="AKY252" s="504"/>
      <c r="AKZ252" s="504"/>
      <c r="ALA252" s="504"/>
      <c r="ALB252" s="504"/>
      <c r="ALC252" s="504"/>
      <c r="ALD252" s="504"/>
      <c r="ALE252" s="504"/>
      <c r="ALF252" s="504"/>
      <c r="ALG252" s="504"/>
      <c r="ALH252" s="504"/>
      <c r="ALI252" s="504"/>
      <c r="ALJ252" s="504"/>
      <c r="ALK252" s="504"/>
      <c r="ALL252" s="504"/>
      <c r="ALM252" s="504"/>
      <c r="ALN252" s="504"/>
      <c r="ALO252" s="504"/>
      <c r="ALP252" s="504"/>
      <c r="ALQ252" s="504"/>
      <c r="ALR252" s="504"/>
      <c r="ALS252" s="504"/>
      <c r="ALT252" s="504"/>
      <c r="ALU252" s="504"/>
      <c r="ALV252" s="504"/>
      <c r="ALW252" s="504"/>
      <c r="ALX252" s="504"/>
      <c r="ALY252" s="504"/>
      <c r="ALZ252" s="504"/>
      <c r="AMA252" s="504"/>
      <c r="AMB252" s="504"/>
      <c r="AMC252" s="504"/>
      <c r="AMD252" s="504"/>
      <c r="AME252" s="504"/>
      <c r="AMF252" s="504"/>
      <c r="AMG252" s="504"/>
      <c r="AMH252" s="504"/>
      <c r="AMI252" s="504"/>
      <c r="AMJ252" s="504"/>
      <c r="AMK252" s="504"/>
      <c r="AML252" s="504"/>
      <c r="AMM252" s="504"/>
      <c r="AMN252" s="504"/>
      <c r="AMO252" s="504"/>
      <c r="AMP252" s="504"/>
      <c r="AMQ252" s="504"/>
      <c r="AMR252" s="504"/>
      <c r="AMS252" s="504"/>
      <c r="AMT252" s="504"/>
      <c r="AMU252" s="504"/>
      <c r="AMV252" s="504"/>
      <c r="AMW252" s="504"/>
      <c r="AMX252" s="504"/>
      <c r="AMY252" s="504"/>
      <c r="AMZ252" s="504"/>
      <c r="ANA252" s="504"/>
      <c r="ANB252" s="504"/>
      <c r="ANC252" s="504"/>
      <c r="AND252" s="504"/>
      <c r="ANE252" s="504"/>
      <c r="ANF252" s="504"/>
      <c r="ANG252" s="504"/>
      <c r="ANH252" s="504"/>
      <c r="ANI252" s="504"/>
      <c r="ANJ252" s="504"/>
      <c r="ANK252" s="504"/>
      <c r="ANL252" s="504"/>
      <c r="ANM252" s="504"/>
      <c r="ANN252" s="504"/>
      <c r="ANO252" s="504"/>
      <c r="ANP252" s="504"/>
      <c r="ANQ252" s="504"/>
      <c r="ANR252" s="504"/>
      <c r="ANS252" s="504"/>
      <c r="ANT252" s="504"/>
      <c r="ANU252" s="504"/>
      <c r="ANV252" s="504"/>
      <c r="ANW252" s="504"/>
      <c r="ANX252" s="504"/>
      <c r="ANY252" s="504"/>
      <c r="ANZ252" s="504"/>
      <c r="AOA252" s="504"/>
      <c r="AOB252" s="504"/>
      <c r="AOC252" s="504"/>
      <c r="AOD252" s="504"/>
      <c r="AOE252" s="504"/>
      <c r="AOF252" s="504"/>
      <c r="AOG252" s="504"/>
      <c r="AOH252" s="504"/>
      <c r="AOI252" s="504"/>
      <c r="AOJ252" s="504"/>
      <c r="AOK252" s="504"/>
      <c r="AOL252" s="504"/>
      <c r="AOM252" s="504"/>
      <c r="AON252" s="504"/>
      <c r="AOO252" s="504"/>
      <c r="AOP252" s="504"/>
      <c r="AOQ252" s="504"/>
      <c r="AOR252" s="504"/>
      <c r="AOS252" s="504"/>
      <c r="AOT252" s="504"/>
      <c r="AOU252" s="504"/>
      <c r="AOV252" s="504"/>
      <c r="AOW252" s="504"/>
      <c r="AOX252" s="504"/>
      <c r="AOY252" s="504"/>
      <c r="AOZ252" s="504"/>
      <c r="APA252" s="504"/>
      <c r="APB252" s="504"/>
      <c r="APC252" s="504"/>
      <c r="APD252" s="504"/>
      <c r="APE252" s="504"/>
      <c r="APF252" s="504"/>
      <c r="APG252" s="504"/>
      <c r="APH252" s="504"/>
      <c r="API252" s="504"/>
      <c r="APJ252" s="504"/>
      <c r="APK252" s="504"/>
      <c r="APL252" s="504"/>
      <c r="APM252" s="504"/>
      <c r="APN252" s="504"/>
      <c r="APO252" s="504"/>
      <c r="APP252" s="504"/>
      <c r="APQ252" s="504"/>
      <c r="APR252" s="504"/>
      <c r="APS252" s="504"/>
      <c r="APT252" s="504"/>
      <c r="APU252" s="504"/>
      <c r="APV252" s="504"/>
      <c r="APW252" s="504"/>
      <c r="APX252" s="504"/>
      <c r="APY252" s="504"/>
      <c r="APZ252" s="504"/>
      <c r="AQA252" s="504"/>
      <c r="AQB252" s="504"/>
      <c r="AQC252" s="504"/>
      <c r="AQD252" s="504"/>
      <c r="AQE252" s="504"/>
      <c r="AQF252" s="504"/>
      <c r="AQG252" s="504"/>
      <c r="AQH252" s="504"/>
      <c r="AQI252" s="504"/>
      <c r="AQJ252" s="504"/>
      <c r="AQK252" s="504"/>
      <c r="AQL252" s="504"/>
      <c r="AQM252" s="504"/>
      <c r="AQN252" s="504"/>
      <c r="AQO252" s="504"/>
      <c r="AQP252" s="504"/>
      <c r="AQQ252" s="504"/>
      <c r="AQR252" s="504"/>
      <c r="AQS252" s="504"/>
      <c r="AQT252" s="504"/>
      <c r="AQU252" s="504"/>
      <c r="AQV252" s="504"/>
      <c r="AQW252" s="504"/>
      <c r="AQX252" s="504"/>
      <c r="AQY252" s="504"/>
      <c r="AQZ252" s="504"/>
      <c r="ARA252" s="504"/>
      <c r="ARB252" s="504"/>
      <c r="ARC252" s="504"/>
      <c r="ARD252" s="504"/>
      <c r="ARE252" s="504"/>
      <c r="ARF252" s="504"/>
      <c r="ARG252" s="504"/>
      <c r="ARH252" s="504"/>
      <c r="ARI252" s="504"/>
      <c r="ARJ252" s="504"/>
      <c r="ARK252" s="504"/>
      <c r="ARL252" s="504"/>
      <c r="ARM252" s="504"/>
      <c r="ARN252" s="504"/>
      <c r="ARO252" s="504"/>
      <c r="ARP252" s="504"/>
      <c r="ARQ252" s="504"/>
      <c r="ARR252" s="504"/>
      <c r="ARS252" s="504"/>
      <c r="ART252" s="504"/>
      <c r="ARU252" s="504"/>
      <c r="ARV252" s="504"/>
      <c r="ARW252" s="504"/>
      <c r="ARX252" s="504"/>
      <c r="ARY252" s="504"/>
      <c r="ARZ252" s="504"/>
      <c r="ASA252" s="504"/>
      <c r="ASB252" s="504"/>
      <c r="ASC252" s="504"/>
      <c r="ASD252" s="504"/>
      <c r="ASE252" s="504"/>
      <c r="ASF252" s="504"/>
      <c r="ASG252" s="504"/>
      <c r="ASH252" s="504"/>
      <c r="ASI252" s="504"/>
      <c r="ASJ252" s="504"/>
      <c r="ASK252" s="504"/>
      <c r="ASL252" s="504"/>
      <c r="ASM252" s="504"/>
      <c r="ASN252" s="504"/>
      <c r="ASO252" s="504"/>
      <c r="ASP252" s="504"/>
      <c r="ASQ252" s="504"/>
      <c r="ASR252" s="504"/>
      <c r="ASS252" s="504"/>
      <c r="AST252" s="504"/>
      <c r="ASU252" s="504"/>
      <c r="ASV252" s="504"/>
      <c r="ASW252" s="504"/>
      <c r="ASX252" s="504"/>
      <c r="ASY252" s="504"/>
      <c r="ASZ252" s="504"/>
      <c r="ATA252" s="504"/>
      <c r="ATB252" s="504"/>
      <c r="ATC252" s="504"/>
      <c r="ATD252" s="504"/>
      <c r="ATE252" s="504"/>
      <c r="ATF252" s="504"/>
      <c r="ATG252" s="504"/>
      <c r="ATH252" s="504"/>
      <c r="ATI252" s="504"/>
      <c r="ATJ252" s="504"/>
      <c r="ATK252" s="504"/>
      <c r="ATL252" s="504"/>
      <c r="ATM252" s="504"/>
      <c r="ATN252" s="504"/>
      <c r="ATO252" s="504"/>
      <c r="ATP252" s="504"/>
      <c r="ATQ252" s="504"/>
      <c r="ATR252" s="504"/>
      <c r="ATS252" s="504"/>
      <c r="ATT252" s="504"/>
      <c r="ATU252" s="504"/>
      <c r="ATV252" s="504"/>
      <c r="ATW252" s="504"/>
      <c r="ATX252" s="504"/>
      <c r="ATY252" s="504"/>
      <c r="ATZ252" s="504"/>
      <c r="AUA252" s="504"/>
      <c r="AUB252" s="504"/>
      <c r="AUC252" s="504"/>
      <c r="AUD252" s="504"/>
      <c r="AUE252" s="504"/>
      <c r="AUF252" s="504"/>
      <c r="AUG252" s="504"/>
      <c r="AUH252" s="504"/>
      <c r="AUI252" s="504"/>
      <c r="AUJ252" s="504"/>
      <c r="AUK252" s="504"/>
      <c r="AUL252" s="504"/>
      <c r="AUM252" s="504"/>
      <c r="AUN252" s="504"/>
      <c r="AUO252" s="504"/>
      <c r="AUP252" s="504"/>
      <c r="AUQ252" s="504"/>
      <c r="AUR252" s="504"/>
      <c r="AUS252" s="504"/>
      <c r="AUT252" s="504"/>
      <c r="AUU252" s="504"/>
      <c r="AUV252" s="504"/>
      <c r="AUW252" s="504"/>
      <c r="AUX252" s="504"/>
      <c r="AUY252" s="504"/>
      <c r="AUZ252" s="504"/>
      <c r="AVA252" s="504"/>
      <c r="AVB252" s="504"/>
      <c r="AVC252" s="504"/>
      <c r="AVD252" s="504"/>
      <c r="AVE252" s="504"/>
      <c r="AVF252" s="504"/>
      <c r="AVG252" s="504"/>
      <c r="AVH252" s="504"/>
      <c r="AVI252" s="504"/>
      <c r="AVJ252" s="504"/>
      <c r="AVK252" s="504"/>
      <c r="AVL252" s="504"/>
      <c r="AVM252" s="504"/>
      <c r="AVN252" s="504"/>
      <c r="AVO252" s="504"/>
      <c r="AVP252" s="504"/>
      <c r="AVQ252" s="504"/>
      <c r="AVR252" s="504"/>
      <c r="AVS252" s="504"/>
      <c r="AVT252" s="504"/>
      <c r="AVU252" s="504"/>
      <c r="AVV252" s="504"/>
      <c r="AVW252" s="504"/>
      <c r="AVX252" s="504"/>
      <c r="AVY252" s="504"/>
      <c r="AVZ252" s="504"/>
      <c r="AWA252" s="504"/>
      <c r="AWB252" s="504"/>
      <c r="AWC252" s="504"/>
      <c r="AWD252" s="504"/>
      <c r="AWE252" s="504"/>
      <c r="AWF252" s="504"/>
      <c r="AWG252" s="504"/>
      <c r="AWH252" s="504"/>
      <c r="AWI252" s="504"/>
      <c r="AWJ252" s="504"/>
      <c r="AWK252" s="504"/>
      <c r="AWL252" s="504"/>
      <c r="AWM252" s="504"/>
      <c r="AWN252" s="504"/>
      <c r="AWO252" s="504"/>
      <c r="AWP252" s="504"/>
      <c r="AWQ252" s="504"/>
      <c r="AWR252" s="504"/>
      <c r="AWS252" s="504"/>
      <c r="AWT252" s="504"/>
      <c r="AWU252" s="504"/>
      <c r="AWV252" s="504"/>
      <c r="AWW252" s="504"/>
      <c r="AWX252" s="504"/>
      <c r="AWY252" s="504"/>
      <c r="AWZ252" s="504"/>
      <c r="AXA252" s="504"/>
      <c r="AXB252" s="504"/>
      <c r="AXC252" s="504"/>
      <c r="AXD252" s="504"/>
      <c r="AXE252" s="504"/>
      <c r="AXF252" s="504"/>
      <c r="AXG252" s="504"/>
      <c r="AXH252" s="504"/>
      <c r="AXI252" s="504"/>
      <c r="AXJ252" s="504"/>
      <c r="AXK252" s="504"/>
      <c r="AXL252" s="504"/>
      <c r="AXM252" s="504"/>
      <c r="AXN252" s="504"/>
      <c r="AXO252" s="504"/>
      <c r="AXP252" s="504"/>
      <c r="AXQ252" s="504"/>
      <c r="AXR252" s="504"/>
      <c r="AXS252" s="504"/>
      <c r="AXT252" s="504"/>
      <c r="AXU252" s="504"/>
      <c r="AXV252" s="504"/>
      <c r="AXW252" s="504"/>
      <c r="AXX252" s="504"/>
      <c r="AXY252" s="504"/>
      <c r="AXZ252" s="504"/>
      <c r="AYA252" s="504"/>
      <c r="AYB252" s="504"/>
      <c r="AYC252" s="504"/>
      <c r="AYD252" s="504"/>
      <c r="AYE252" s="504"/>
      <c r="AYF252" s="504"/>
      <c r="AYG252" s="504"/>
      <c r="AYH252" s="504"/>
      <c r="AYI252" s="504"/>
      <c r="AYJ252" s="504"/>
      <c r="AYK252" s="504"/>
      <c r="AYL252" s="504"/>
      <c r="AYM252" s="504"/>
      <c r="AYN252" s="504"/>
      <c r="AYO252" s="504"/>
      <c r="AYP252" s="504"/>
      <c r="AYQ252" s="504"/>
      <c r="AYR252" s="504"/>
      <c r="AYS252" s="504"/>
      <c r="AYT252" s="504"/>
      <c r="AYU252" s="504"/>
      <c r="AYV252" s="504"/>
      <c r="AYW252" s="504"/>
      <c r="AYX252" s="504"/>
      <c r="AYY252" s="504"/>
      <c r="AYZ252" s="504"/>
      <c r="AZA252" s="504"/>
      <c r="AZB252" s="504"/>
      <c r="AZC252" s="504"/>
      <c r="AZD252" s="504"/>
      <c r="AZE252" s="504"/>
      <c r="AZF252" s="504"/>
      <c r="AZG252" s="504"/>
      <c r="AZH252" s="504"/>
      <c r="AZI252" s="504"/>
      <c r="AZJ252" s="504"/>
      <c r="AZK252" s="504"/>
      <c r="AZL252" s="504"/>
      <c r="AZM252" s="504"/>
      <c r="AZN252" s="504"/>
      <c r="AZO252" s="504"/>
      <c r="AZP252" s="504"/>
      <c r="AZQ252" s="504"/>
      <c r="AZR252" s="504"/>
      <c r="AZS252" s="504"/>
      <c r="AZT252" s="504"/>
      <c r="AZU252" s="504"/>
      <c r="AZV252" s="504"/>
      <c r="AZW252" s="504"/>
      <c r="AZX252" s="504"/>
      <c r="AZY252" s="504"/>
      <c r="AZZ252" s="504"/>
      <c r="BAA252" s="504"/>
      <c r="BAB252" s="504"/>
      <c r="BAC252" s="504"/>
      <c r="BAD252" s="504"/>
      <c r="BAE252" s="504"/>
      <c r="BAF252" s="504"/>
      <c r="BAG252" s="504"/>
      <c r="BAH252" s="504"/>
      <c r="BAI252" s="504"/>
      <c r="BAJ252" s="504"/>
      <c r="BAK252" s="504"/>
      <c r="BAL252" s="504"/>
      <c r="BAM252" s="504"/>
      <c r="BAN252" s="504"/>
      <c r="BAO252" s="504"/>
      <c r="BAP252" s="504"/>
      <c r="BAQ252" s="504"/>
      <c r="BAR252" s="504"/>
      <c r="BAS252" s="504"/>
      <c r="BAT252" s="504"/>
      <c r="BAU252" s="504"/>
      <c r="BAV252" s="504"/>
      <c r="BAW252" s="504"/>
      <c r="BAX252" s="504"/>
      <c r="BAY252" s="504"/>
      <c r="BAZ252" s="504"/>
      <c r="BBA252" s="504"/>
      <c r="BBB252" s="504"/>
      <c r="BBC252" s="504"/>
      <c r="BBD252" s="504"/>
      <c r="BBE252" s="504"/>
      <c r="BBF252" s="504"/>
      <c r="BBG252" s="504"/>
      <c r="BBH252" s="504"/>
      <c r="BBI252" s="504"/>
      <c r="BBJ252" s="504"/>
      <c r="BBK252" s="504"/>
      <c r="BBL252" s="504"/>
      <c r="BBM252" s="504"/>
      <c r="BBN252" s="504"/>
      <c r="BBO252" s="504"/>
      <c r="BBP252" s="504"/>
      <c r="BBQ252" s="504"/>
      <c r="BBR252" s="504"/>
      <c r="BBS252" s="504"/>
      <c r="BBT252" s="504"/>
      <c r="BBU252" s="504"/>
      <c r="BBV252" s="504"/>
      <c r="BBW252" s="504"/>
      <c r="BBX252" s="504"/>
      <c r="BBY252" s="504"/>
      <c r="BBZ252" s="504"/>
      <c r="BCA252" s="504"/>
      <c r="BCB252" s="504"/>
      <c r="BCC252" s="504"/>
      <c r="BCD252" s="504"/>
      <c r="BCE252" s="504"/>
      <c r="BCF252" s="504"/>
      <c r="BCG252" s="504"/>
      <c r="BCH252" s="504"/>
      <c r="BCI252" s="504"/>
      <c r="BCJ252" s="504"/>
      <c r="BCK252" s="504"/>
      <c r="BCL252" s="504"/>
      <c r="BCM252" s="504"/>
      <c r="BCN252" s="504"/>
      <c r="BCO252" s="504"/>
      <c r="BCP252" s="504"/>
      <c r="BCQ252" s="504"/>
      <c r="BCR252" s="504"/>
      <c r="BCS252" s="504"/>
      <c r="BCT252" s="504"/>
      <c r="BCU252" s="504"/>
      <c r="BCV252" s="504"/>
      <c r="BCW252" s="504"/>
      <c r="BCX252" s="504"/>
      <c r="BCY252" s="504"/>
      <c r="BCZ252" s="504"/>
      <c r="BDA252" s="504"/>
      <c r="BDB252" s="504"/>
      <c r="BDC252" s="504"/>
      <c r="BDD252" s="504"/>
      <c r="BDE252" s="504"/>
      <c r="BDF252" s="504"/>
      <c r="BDG252" s="504"/>
      <c r="BDH252" s="504"/>
      <c r="BDI252" s="504"/>
      <c r="BDJ252" s="504"/>
      <c r="BDK252" s="504"/>
      <c r="BDL252" s="504"/>
      <c r="BDM252" s="504"/>
      <c r="BDN252" s="504"/>
      <c r="BDO252" s="504"/>
      <c r="BDP252" s="504"/>
      <c r="BDQ252" s="504"/>
      <c r="BDR252" s="504"/>
      <c r="BDS252" s="504"/>
      <c r="BDT252" s="504"/>
      <c r="BDU252" s="504"/>
      <c r="BDV252" s="504"/>
      <c r="BDW252" s="504"/>
      <c r="BDX252" s="504"/>
      <c r="BDY252" s="504"/>
      <c r="BDZ252" s="504"/>
      <c r="BEA252" s="504"/>
      <c r="BEB252" s="504"/>
      <c r="BEC252" s="504"/>
      <c r="BED252" s="504"/>
      <c r="BEE252" s="504"/>
      <c r="BEF252" s="504"/>
      <c r="BEG252" s="504"/>
      <c r="BEH252" s="504"/>
      <c r="BEI252" s="504"/>
      <c r="BEJ252" s="504"/>
      <c r="BEK252" s="504"/>
      <c r="BEL252" s="504"/>
      <c r="BEM252" s="504"/>
      <c r="BEN252" s="504"/>
      <c r="BEO252" s="504"/>
      <c r="BEP252" s="504"/>
      <c r="BEQ252" s="504"/>
      <c r="BER252" s="504"/>
      <c r="BES252" s="504"/>
      <c r="BET252" s="504"/>
      <c r="BEU252" s="504"/>
      <c r="BEV252" s="504"/>
      <c r="BEW252" s="504"/>
      <c r="BEX252" s="504"/>
      <c r="BEY252" s="504"/>
      <c r="BEZ252" s="504"/>
      <c r="BFA252" s="504"/>
      <c r="BFB252" s="504"/>
      <c r="BFC252" s="504"/>
      <c r="BFD252" s="504"/>
      <c r="BFE252" s="504"/>
      <c r="BFF252" s="504"/>
      <c r="BFG252" s="504"/>
      <c r="BFH252" s="504"/>
      <c r="BFI252" s="504"/>
      <c r="BFJ252" s="504"/>
      <c r="BFK252" s="504"/>
      <c r="BFL252" s="504"/>
      <c r="BFM252" s="504"/>
      <c r="BFN252" s="504"/>
      <c r="BFO252" s="504"/>
      <c r="BFP252" s="504"/>
      <c r="BFQ252" s="504"/>
      <c r="BFR252" s="504"/>
      <c r="BFS252" s="504"/>
      <c r="BFT252" s="504"/>
      <c r="BFU252" s="504"/>
      <c r="BFV252" s="504"/>
      <c r="BFW252" s="504"/>
      <c r="BFX252" s="504"/>
      <c r="BFY252" s="504"/>
      <c r="BFZ252" s="504"/>
      <c r="BGA252" s="504"/>
      <c r="BGB252" s="504"/>
      <c r="BGC252" s="504"/>
      <c r="BGD252" s="504"/>
      <c r="BGE252" s="504"/>
      <c r="BGF252" s="504"/>
      <c r="BGG252" s="504"/>
      <c r="BGH252" s="504"/>
      <c r="BGI252" s="504"/>
      <c r="BGJ252" s="504"/>
      <c r="BGK252" s="504"/>
      <c r="BGL252" s="504"/>
      <c r="BGM252" s="504"/>
      <c r="BGN252" s="504"/>
      <c r="BGO252" s="504"/>
      <c r="BGP252" s="504"/>
      <c r="BGQ252" s="504"/>
      <c r="BGR252" s="504"/>
      <c r="BGS252" s="504"/>
      <c r="BGT252" s="504"/>
      <c r="BGU252" s="504"/>
      <c r="BGV252" s="504"/>
      <c r="BGW252" s="504"/>
      <c r="BGX252" s="504"/>
      <c r="BGY252" s="504"/>
      <c r="BGZ252" s="504"/>
      <c r="BHA252" s="504"/>
      <c r="BHB252" s="504"/>
      <c r="BHC252" s="504"/>
      <c r="BHD252" s="504"/>
      <c r="BHE252" s="504"/>
      <c r="BHF252" s="504"/>
      <c r="BHG252" s="504"/>
      <c r="BHH252" s="504"/>
      <c r="BHI252" s="504"/>
      <c r="BHJ252" s="504"/>
      <c r="BHK252" s="504"/>
      <c r="BHL252" s="504"/>
      <c r="BHM252" s="504"/>
      <c r="BHN252" s="504"/>
      <c r="BHO252" s="504"/>
      <c r="BHP252" s="504"/>
      <c r="BHQ252" s="504"/>
      <c r="BHR252" s="504"/>
      <c r="BHS252" s="504"/>
      <c r="BHT252" s="504"/>
      <c r="BHU252" s="504"/>
      <c r="BHV252" s="504"/>
      <c r="BHW252" s="504"/>
      <c r="BHX252" s="504"/>
      <c r="BHY252" s="504"/>
      <c r="BHZ252" s="504"/>
      <c r="BIA252" s="504"/>
      <c r="BIB252" s="504"/>
      <c r="BIC252" s="504"/>
      <c r="BID252" s="504"/>
      <c r="BIE252" s="504"/>
      <c r="BIF252" s="504"/>
      <c r="BIG252" s="504"/>
      <c r="BIH252" s="504"/>
      <c r="BII252" s="504"/>
      <c r="BIJ252" s="504"/>
      <c r="BIK252" s="504"/>
      <c r="BIL252" s="504"/>
      <c r="BIM252" s="504"/>
      <c r="BIN252" s="504"/>
      <c r="BIO252" s="504"/>
      <c r="BIP252" s="504"/>
      <c r="BIQ252" s="504"/>
      <c r="BIR252" s="504"/>
      <c r="BIS252" s="504"/>
      <c r="BIT252" s="504"/>
      <c r="BIU252" s="504"/>
      <c r="BIV252" s="504"/>
      <c r="BIW252" s="504"/>
      <c r="BIX252" s="504"/>
      <c r="BIY252" s="504"/>
      <c r="BIZ252" s="504"/>
      <c r="BJA252" s="504"/>
      <c r="BJB252" s="504"/>
      <c r="BJC252" s="504"/>
      <c r="BJD252" s="504"/>
      <c r="BJE252" s="504"/>
      <c r="BJF252" s="504"/>
      <c r="BJG252" s="504"/>
      <c r="BJH252" s="504"/>
      <c r="BJI252" s="504"/>
      <c r="BJJ252" s="504"/>
      <c r="BJK252" s="504"/>
      <c r="BJL252" s="504"/>
      <c r="BJM252" s="504"/>
      <c r="BJN252" s="504"/>
      <c r="BJO252" s="504"/>
      <c r="BJP252" s="504"/>
      <c r="BJQ252" s="504"/>
      <c r="BJR252" s="504"/>
      <c r="BJS252" s="504"/>
      <c r="BJT252" s="504"/>
      <c r="BJU252" s="504"/>
      <c r="BJV252" s="504"/>
      <c r="BJW252" s="504"/>
      <c r="BJX252" s="504"/>
      <c r="BJY252" s="504"/>
      <c r="BJZ252" s="504"/>
      <c r="BKA252" s="504"/>
      <c r="BKB252" s="504"/>
      <c r="BKC252" s="504"/>
      <c r="BKD252" s="504"/>
      <c r="BKE252" s="504"/>
      <c r="BKF252" s="504"/>
      <c r="BKG252" s="504"/>
      <c r="BKH252" s="504"/>
      <c r="BKI252" s="504"/>
      <c r="BKJ252" s="504"/>
      <c r="BKK252" s="504"/>
      <c r="BKL252" s="504"/>
      <c r="BKM252" s="504"/>
      <c r="BKN252" s="504"/>
      <c r="BKO252" s="504"/>
      <c r="BKP252" s="504"/>
      <c r="BKQ252" s="504"/>
      <c r="BKR252" s="504"/>
      <c r="BKS252" s="504"/>
      <c r="BKT252" s="504"/>
      <c r="BKU252" s="504"/>
      <c r="BKV252" s="504"/>
      <c r="BKW252" s="504"/>
      <c r="BKX252" s="504"/>
      <c r="BKY252" s="504"/>
      <c r="BKZ252" s="504"/>
      <c r="BLA252" s="504"/>
      <c r="BLB252" s="504"/>
      <c r="BLC252" s="504"/>
      <c r="BLD252" s="504"/>
      <c r="BLE252" s="504"/>
      <c r="BLF252" s="504"/>
      <c r="BLG252" s="504"/>
      <c r="BLH252" s="504"/>
      <c r="BLI252" s="504"/>
      <c r="BLJ252" s="504"/>
      <c r="BLK252" s="504"/>
      <c r="BLL252" s="504"/>
      <c r="BLM252" s="504"/>
      <c r="BLN252" s="504"/>
      <c r="BLO252" s="504"/>
      <c r="BLP252" s="504"/>
      <c r="BLQ252" s="504"/>
      <c r="BLR252" s="504"/>
      <c r="BLS252" s="504"/>
      <c r="BLT252" s="504"/>
      <c r="BLU252" s="504"/>
      <c r="BLV252" s="504"/>
      <c r="BLW252" s="504"/>
      <c r="BLX252" s="504"/>
      <c r="BLY252" s="504"/>
      <c r="BLZ252" s="504"/>
      <c r="BMA252" s="504"/>
      <c r="BMB252" s="504"/>
      <c r="BMC252" s="504"/>
      <c r="BMD252" s="504"/>
      <c r="BME252" s="504"/>
      <c r="BMF252" s="504"/>
      <c r="BMG252" s="504"/>
      <c r="BMH252" s="504"/>
      <c r="BMI252" s="504"/>
      <c r="BMJ252" s="504"/>
      <c r="BMK252" s="504"/>
      <c r="BML252" s="504"/>
      <c r="BMM252" s="504"/>
      <c r="BMN252" s="504"/>
      <c r="BMO252" s="504"/>
      <c r="BMP252" s="504"/>
      <c r="BMQ252" s="504"/>
      <c r="BMR252" s="504"/>
      <c r="BMS252" s="504"/>
      <c r="BMT252" s="504"/>
      <c r="BMU252" s="504"/>
      <c r="BMV252" s="504"/>
      <c r="BMW252" s="504"/>
      <c r="BMX252" s="504"/>
      <c r="BMY252" s="504"/>
      <c r="BMZ252" s="504"/>
      <c r="BNA252" s="504"/>
      <c r="BNB252" s="504"/>
      <c r="BNC252" s="504"/>
      <c r="BND252" s="504"/>
      <c r="BNE252" s="504"/>
      <c r="BNF252" s="504"/>
      <c r="BNG252" s="504"/>
      <c r="BNH252" s="504"/>
      <c r="BNI252" s="504"/>
      <c r="BNJ252" s="504"/>
      <c r="BNK252" s="504"/>
      <c r="BNL252" s="504"/>
      <c r="BNM252" s="504"/>
      <c r="BNN252" s="504"/>
      <c r="BNO252" s="504"/>
      <c r="BNP252" s="504"/>
      <c r="BNQ252" s="504"/>
      <c r="BNR252" s="504"/>
      <c r="BNS252" s="504"/>
      <c r="BNT252" s="504"/>
      <c r="BNU252" s="504"/>
      <c r="BNV252" s="504"/>
      <c r="BNW252" s="504"/>
      <c r="BNX252" s="504"/>
      <c r="BNY252" s="504"/>
      <c r="BNZ252" s="504"/>
      <c r="BOA252" s="504"/>
      <c r="BOB252" s="504"/>
      <c r="BOC252" s="504"/>
      <c r="BOD252" s="504"/>
      <c r="BOE252" s="504"/>
      <c r="BOF252" s="504"/>
      <c r="BOG252" s="504"/>
      <c r="BOH252" s="504"/>
      <c r="BOI252" s="504"/>
      <c r="BOJ252" s="504"/>
      <c r="BOK252" s="504"/>
      <c r="BOL252" s="504"/>
      <c r="BOM252" s="504"/>
      <c r="BON252" s="504"/>
      <c r="BOO252" s="504"/>
      <c r="BOP252" s="504"/>
      <c r="BOQ252" s="504"/>
      <c r="BOR252" s="504"/>
      <c r="BOS252" s="504"/>
      <c r="BOT252" s="504"/>
      <c r="BOU252" s="504"/>
      <c r="BOV252" s="504"/>
      <c r="BOW252" s="504"/>
      <c r="BOX252" s="504"/>
      <c r="BOY252" s="504"/>
      <c r="BOZ252" s="504"/>
      <c r="BPA252" s="504"/>
      <c r="BPB252" s="504"/>
      <c r="BPC252" s="504"/>
      <c r="BPD252" s="504"/>
      <c r="BPE252" s="504"/>
      <c r="BPF252" s="504"/>
      <c r="BPG252" s="504"/>
      <c r="BPH252" s="504"/>
      <c r="BPI252" s="504"/>
      <c r="BPJ252" s="504"/>
      <c r="BPK252" s="504"/>
      <c r="BPL252" s="504"/>
      <c r="BPM252" s="504"/>
      <c r="BPN252" s="504"/>
      <c r="BPO252" s="504"/>
      <c r="BPP252" s="504"/>
      <c r="BPQ252" s="504"/>
      <c r="BPR252" s="504"/>
      <c r="BPS252" s="504"/>
      <c r="BPT252" s="504"/>
      <c r="BPU252" s="504"/>
      <c r="BPV252" s="504"/>
      <c r="BPW252" s="504"/>
      <c r="BPX252" s="504"/>
      <c r="BPY252" s="504"/>
      <c r="BPZ252" s="504"/>
      <c r="BQA252" s="504"/>
      <c r="BQB252" s="504"/>
      <c r="BQC252" s="504"/>
      <c r="BQD252" s="504"/>
      <c r="BQE252" s="504"/>
      <c r="BQF252" s="504"/>
      <c r="BQG252" s="504"/>
      <c r="BQH252" s="504"/>
      <c r="BQI252" s="504"/>
      <c r="BQJ252" s="504"/>
      <c r="BQK252" s="504"/>
      <c r="BQL252" s="504"/>
      <c r="BQM252" s="504"/>
      <c r="BQN252" s="504"/>
      <c r="BQO252" s="504"/>
      <c r="BQP252" s="504"/>
      <c r="BQQ252" s="504"/>
      <c r="BQR252" s="504"/>
      <c r="BQS252" s="504"/>
      <c r="BQT252" s="504"/>
      <c r="BQU252" s="504"/>
      <c r="BQV252" s="504"/>
      <c r="BQW252" s="504"/>
      <c r="BQX252" s="504"/>
      <c r="BQY252" s="504"/>
      <c r="BQZ252" s="504"/>
      <c r="BRA252" s="504"/>
      <c r="BRB252" s="504"/>
      <c r="BRC252" s="504"/>
      <c r="BRD252" s="504"/>
      <c r="BRE252" s="504"/>
      <c r="BRF252" s="504"/>
      <c r="BRG252" s="504"/>
      <c r="BRH252" s="504"/>
      <c r="BRI252" s="504"/>
      <c r="BRJ252" s="504"/>
      <c r="BRK252" s="504"/>
      <c r="BRL252" s="504"/>
      <c r="BRM252" s="504"/>
      <c r="BRN252" s="504"/>
      <c r="BRO252" s="504"/>
      <c r="BRP252" s="504"/>
      <c r="BRQ252" s="504"/>
      <c r="BRR252" s="504"/>
      <c r="BRS252" s="504"/>
      <c r="BRT252" s="504"/>
      <c r="BRU252" s="504"/>
      <c r="BRV252" s="504"/>
      <c r="BRW252" s="504"/>
      <c r="BRX252" s="504"/>
      <c r="BRY252" s="504"/>
      <c r="BRZ252" s="504"/>
      <c r="BSA252" s="504"/>
      <c r="BSB252" s="504"/>
      <c r="BSC252" s="504"/>
      <c r="BSD252" s="504"/>
      <c r="BSE252" s="504"/>
      <c r="BSF252" s="504"/>
      <c r="BSG252" s="504"/>
      <c r="BSH252" s="504"/>
      <c r="BSI252" s="504"/>
      <c r="BSJ252" s="504"/>
      <c r="BSK252" s="504"/>
      <c r="BSL252" s="504"/>
      <c r="BSM252" s="504"/>
      <c r="BSN252" s="504"/>
      <c r="BSO252" s="504"/>
      <c r="BSP252" s="504"/>
      <c r="BSQ252" s="504"/>
      <c r="BSR252" s="504"/>
      <c r="BSS252" s="504"/>
      <c r="BST252" s="504"/>
      <c r="BSU252" s="504"/>
      <c r="BSV252" s="504"/>
      <c r="BSW252" s="504"/>
      <c r="BSX252" s="504"/>
      <c r="BSY252" s="504"/>
      <c r="BSZ252" s="504"/>
      <c r="BTA252" s="504"/>
      <c r="BTB252" s="504"/>
      <c r="BTC252" s="504"/>
      <c r="BTD252" s="504"/>
      <c r="BTE252" s="504"/>
      <c r="BTF252" s="504"/>
      <c r="BTG252" s="504"/>
      <c r="BTH252" s="504"/>
      <c r="BTI252" s="504"/>
    </row>
    <row r="253" spans="1:1881" s="503" customFormat="1" ht="21" thickBot="1" x14ac:dyDescent="0.3">
      <c r="A253" s="591"/>
      <c r="B253" s="594"/>
      <c r="C253" s="588"/>
      <c r="D253" s="593" t="s">
        <v>962</v>
      </c>
      <c r="E253" s="589"/>
      <c r="F253" s="874"/>
      <c r="G253" s="590"/>
      <c r="H253" s="592"/>
      <c r="I253"/>
      <c r="J253"/>
      <c r="K253"/>
      <c r="L253"/>
      <c r="M253"/>
      <c r="N253"/>
      <c r="O253"/>
      <c r="P253" s="504"/>
      <c r="Q253" s="504"/>
      <c r="R253" s="504"/>
      <c r="S253" s="504"/>
      <c r="T253" s="504"/>
      <c r="U253" s="504"/>
      <c r="V253" s="504"/>
      <c r="W253" s="504"/>
      <c r="X253" s="504"/>
      <c r="Y253" s="504"/>
      <c r="Z253" s="504"/>
      <c r="AA253" s="504"/>
      <c r="AB253" s="504"/>
      <c r="AC253" s="504"/>
      <c r="AD253" s="504"/>
      <c r="AE253" s="504"/>
      <c r="AF253" s="504"/>
      <c r="AG253" s="504"/>
      <c r="AH253" s="504"/>
      <c r="AI253" s="504"/>
      <c r="AJ253" s="504"/>
      <c r="AK253" s="504"/>
      <c r="AL253" s="504"/>
      <c r="AM253" s="504"/>
      <c r="AN253" s="504"/>
      <c r="AO253" s="504"/>
      <c r="AP253" s="504"/>
      <c r="AQ253" s="504"/>
      <c r="AR253" s="504"/>
      <c r="AS253" s="504"/>
      <c r="AT253" s="504"/>
      <c r="AU253" s="504"/>
      <c r="AV253" s="504"/>
      <c r="AW253" s="504"/>
      <c r="AX253" s="504"/>
      <c r="AY253" s="504"/>
      <c r="AZ253" s="504"/>
      <c r="BA253" s="504"/>
      <c r="BB253" s="504"/>
      <c r="BC253" s="504"/>
      <c r="BD253" s="504"/>
      <c r="BE253" s="504"/>
      <c r="BF253" s="504"/>
      <c r="BG253" s="504"/>
      <c r="BH253" s="504"/>
      <c r="BI253" s="504"/>
      <c r="BJ253" s="504"/>
      <c r="BK253" s="504"/>
      <c r="BL253" s="504"/>
      <c r="BM253" s="504"/>
      <c r="BN253" s="504"/>
      <c r="BO253" s="504"/>
      <c r="BP253" s="504"/>
      <c r="BQ253" s="504"/>
      <c r="BR253" s="504"/>
      <c r="BS253" s="504"/>
      <c r="BT253" s="504"/>
      <c r="BU253" s="504"/>
      <c r="BV253" s="504"/>
      <c r="BW253" s="504"/>
      <c r="BX253" s="504"/>
      <c r="BY253" s="504"/>
      <c r="BZ253" s="504"/>
      <c r="CA253" s="504"/>
      <c r="CB253" s="504"/>
      <c r="CC253" s="504"/>
      <c r="CD253" s="504"/>
      <c r="CE253" s="504"/>
      <c r="CF253" s="504"/>
      <c r="CG253" s="504"/>
      <c r="CH253" s="504"/>
      <c r="CI253" s="504"/>
      <c r="CJ253" s="504"/>
      <c r="CK253" s="504"/>
      <c r="CL253" s="504"/>
      <c r="CM253" s="504"/>
      <c r="CN253" s="504"/>
      <c r="CO253" s="504"/>
      <c r="CP253" s="504"/>
      <c r="CQ253" s="504"/>
      <c r="CR253" s="504"/>
      <c r="CS253" s="504"/>
      <c r="CT253" s="504"/>
      <c r="CU253" s="504"/>
      <c r="CV253" s="504"/>
      <c r="CW253" s="504"/>
      <c r="CX253" s="504"/>
      <c r="CY253" s="504"/>
      <c r="CZ253" s="504"/>
      <c r="DA253" s="504"/>
      <c r="DB253" s="504"/>
      <c r="DC253" s="504"/>
      <c r="DD253" s="504"/>
      <c r="DE253" s="504"/>
      <c r="DF253" s="504"/>
      <c r="DG253" s="504"/>
      <c r="DH253" s="504"/>
      <c r="DI253" s="504"/>
      <c r="DJ253" s="504"/>
      <c r="DK253" s="504"/>
      <c r="DL253" s="504"/>
      <c r="DM253" s="504"/>
      <c r="DN253" s="504"/>
      <c r="DO253" s="504"/>
      <c r="DP253" s="504"/>
      <c r="DQ253" s="504"/>
      <c r="DR253" s="504"/>
      <c r="DS253" s="504"/>
      <c r="DT253" s="504"/>
      <c r="DU253" s="504"/>
      <c r="DV253" s="504"/>
      <c r="DW253" s="504"/>
      <c r="DX253" s="504"/>
      <c r="DY253" s="504"/>
      <c r="DZ253" s="504"/>
      <c r="EA253" s="504"/>
      <c r="EB253" s="504"/>
      <c r="EC253" s="504"/>
      <c r="ED253" s="504"/>
      <c r="EE253" s="504"/>
      <c r="EF253" s="504"/>
      <c r="EG253" s="504"/>
      <c r="EH253" s="504"/>
      <c r="EI253" s="504"/>
      <c r="EJ253" s="504"/>
      <c r="EK253" s="504"/>
      <c r="EL253" s="504"/>
      <c r="EM253" s="504"/>
      <c r="EN253" s="504"/>
      <c r="EO253" s="504"/>
      <c r="EP253" s="504"/>
      <c r="EQ253" s="504"/>
      <c r="ER253" s="504"/>
      <c r="ES253" s="504"/>
      <c r="ET253" s="504"/>
      <c r="EU253" s="504"/>
      <c r="EV253" s="504"/>
      <c r="EW253" s="504"/>
      <c r="EX253" s="504"/>
      <c r="EY253" s="504"/>
      <c r="EZ253" s="504"/>
      <c r="FA253" s="504"/>
      <c r="FB253" s="504"/>
      <c r="FC253" s="504"/>
      <c r="FD253" s="504"/>
      <c r="FE253" s="504"/>
      <c r="FF253" s="504"/>
      <c r="FG253" s="504"/>
      <c r="FH253" s="504"/>
      <c r="FI253" s="504"/>
      <c r="FJ253" s="504"/>
      <c r="FK253" s="504"/>
      <c r="FL253" s="504"/>
      <c r="FM253" s="504"/>
      <c r="FN253" s="504"/>
      <c r="FO253" s="504"/>
      <c r="FP253" s="504"/>
      <c r="FQ253" s="504"/>
      <c r="FR253" s="504"/>
      <c r="FS253" s="504"/>
      <c r="FT253" s="504"/>
      <c r="FU253" s="504"/>
      <c r="FV253" s="504"/>
      <c r="FW253" s="504"/>
      <c r="FX253" s="504"/>
      <c r="FY253" s="504"/>
      <c r="FZ253" s="504"/>
      <c r="GA253" s="504"/>
      <c r="GB253" s="504"/>
      <c r="GC253" s="504"/>
      <c r="GD253" s="504"/>
      <c r="GE253" s="504"/>
      <c r="GF253" s="504"/>
      <c r="GG253" s="504"/>
      <c r="GH253" s="504"/>
      <c r="GI253" s="504"/>
      <c r="GJ253" s="504"/>
      <c r="GK253" s="504"/>
      <c r="GL253" s="504"/>
      <c r="GM253" s="504"/>
      <c r="GN253" s="504"/>
      <c r="GO253" s="504"/>
      <c r="GP253" s="504"/>
      <c r="GQ253" s="504"/>
      <c r="GR253" s="504"/>
      <c r="GS253" s="504"/>
      <c r="GT253" s="504"/>
      <c r="GU253" s="504"/>
      <c r="GV253" s="504"/>
      <c r="GW253" s="504"/>
      <c r="GX253" s="504"/>
      <c r="GY253" s="504"/>
      <c r="GZ253" s="504"/>
      <c r="HA253" s="504"/>
      <c r="HB253" s="504"/>
      <c r="HC253" s="504"/>
      <c r="HD253" s="504"/>
      <c r="HE253" s="504"/>
      <c r="HF253" s="504"/>
      <c r="HG253" s="504"/>
      <c r="HH253" s="504"/>
      <c r="HI253" s="504"/>
      <c r="HJ253" s="504"/>
      <c r="HK253" s="504"/>
      <c r="HL253" s="504"/>
      <c r="HM253" s="504"/>
      <c r="HN253" s="504"/>
      <c r="HO253" s="504"/>
      <c r="HP253" s="504"/>
      <c r="HQ253" s="504"/>
      <c r="HR253" s="504"/>
      <c r="HS253" s="504"/>
      <c r="HT253" s="504"/>
      <c r="HU253" s="504"/>
      <c r="HV253" s="504"/>
      <c r="HW253" s="504"/>
      <c r="HX253" s="504"/>
      <c r="HY253" s="504"/>
      <c r="HZ253" s="504"/>
      <c r="IA253" s="504"/>
      <c r="IB253" s="504"/>
      <c r="IC253" s="504"/>
      <c r="ID253" s="504"/>
      <c r="IE253" s="504"/>
      <c r="IF253" s="504"/>
      <c r="IG253" s="504"/>
      <c r="IH253" s="504"/>
      <c r="II253" s="504"/>
      <c r="IJ253" s="504"/>
      <c r="IK253" s="504"/>
      <c r="IL253" s="504"/>
      <c r="IM253" s="504"/>
      <c r="IN253" s="504"/>
      <c r="IO253" s="504"/>
      <c r="IP253" s="504"/>
      <c r="IQ253" s="504"/>
      <c r="IR253" s="504"/>
      <c r="IS253" s="504"/>
      <c r="IT253" s="504"/>
      <c r="IU253" s="504"/>
      <c r="IV253" s="504"/>
      <c r="IW253" s="504"/>
      <c r="IX253" s="504"/>
      <c r="IY253" s="504"/>
      <c r="IZ253" s="504"/>
      <c r="JA253" s="504"/>
      <c r="JB253" s="504"/>
      <c r="JC253" s="504"/>
      <c r="JD253" s="504"/>
      <c r="JE253" s="504"/>
      <c r="JF253" s="504"/>
      <c r="JG253" s="504"/>
      <c r="JH253" s="504"/>
      <c r="JI253" s="504"/>
      <c r="JJ253" s="504"/>
      <c r="JK253" s="504"/>
      <c r="JL253" s="504"/>
      <c r="JM253" s="504"/>
      <c r="JN253" s="504"/>
      <c r="JO253" s="504"/>
      <c r="JP253" s="504"/>
      <c r="JQ253" s="504"/>
      <c r="JR253" s="504"/>
      <c r="JS253" s="504"/>
      <c r="JT253" s="504"/>
      <c r="JU253" s="504"/>
      <c r="JV253" s="504"/>
      <c r="JW253" s="504"/>
      <c r="JX253" s="504"/>
      <c r="JY253" s="504"/>
      <c r="JZ253" s="504"/>
      <c r="KA253" s="504"/>
      <c r="KB253" s="504"/>
      <c r="KC253" s="504"/>
      <c r="KD253" s="504"/>
      <c r="KE253" s="504"/>
      <c r="KF253" s="504"/>
      <c r="KG253" s="504"/>
      <c r="KH253" s="504"/>
      <c r="KI253" s="504"/>
      <c r="KJ253" s="504"/>
      <c r="KK253" s="504"/>
      <c r="KL253" s="504"/>
      <c r="KM253" s="504"/>
      <c r="KN253" s="504"/>
      <c r="KO253" s="504"/>
      <c r="KP253" s="504"/>
      <c r="KQ253" s="504"/>
      <c r="KR253" s="504"/>
      <c r="KS253" s="504"/>
      <c r="KT253" s="504"/>
      <c r="KU253" s="504"/>
      <c r="KV253" s="504"/>
      <c r="KW253" s="504"/>
      <c r="KX253" s="504"/>
      <c r="KY253" s="504"/>
      <c r="KZ253" s="504"/>
      <c r="LA253" s="504"/>
      <c r="LB253" s="504"/>
      <c r="LC253" s="504"/>
      <c r="LD253" s="504"/>
      <c r="LE253" s="504"/>
      <c r="LF253" s="504"/>
      <c r="LG253" s="504"/>
      <c r="LH253" s="504"/>
      <c r="LI253" s="504"/>
      <c r="LJ253" s="504"/>
      <c r="LK253" s="504"/>
      <c r="LL253" s="504"/>
      <c r="LM253" s="504"/>
      <c r="LN253" s="504"/>
      <c r="LO253" s="504"/>
      <c r="LP253" s="504"/>
      <c r="LQ253" s="504"/>
      <c r="LR253" s="504"/>
      <c r="LS253" s="504"/>
      <c r="LT253" s="504"/>
      <c r="LU253" s="504"/>
      <c r="LV253" s="504"/>
      <c r="LW253" s="504"/>
      <c r="LX253" s="504"/>
      <c r="LY253" s="504"/>
      <c r="LZ253" s="504"/>
      <c r="MA253" s="504"/>
      <c r="MB253" s="504"/>
      <c r="MC253" s="504"/>
      <c r="MD253" s="504"/>
      <c r="ME253" s="504"/>
      <c r="MF253" s="504"/>
      <c r="MG253" s="504"/>
      <c r="MH253" s="504"/>
      <c r="MI253" s="504"/>
      <c r="MJ253" s="504"/>
      <c r="MK253" s="504"/>
      <c r="ML253" s="504"/>
      <c r="MM253" s="504"/>
      <c r="MN253" s="504"/>
      <c r="MO253" s="504"/>
      <c r="MP253" s="504"/>
      <c r="MQ253" s="504"/>
      <c r="MR253" s="504"/>
      <c r="MS253" s="504"/>
      <c r="MT253" s="504"/>
      <c r="MU253" s="504"/>
      <c r="MV253" s="504"/>
      <c r="MW253" s="504"/>
      <c r="MX253" s="504"/>
      <c r="MY253" s="504"/>
      <c r="MZ253" s="504"/>
      <c r="NA253" s="504"/>
      <c r="NB253" s="504"/>
      <c r="NC253" s="504"/>
      <c r="ND253" s="504"/>
      <c r="NE253" s="504"/>
      <c r="NF253" s="504"/>
      <c r="NG253" s="504"/>
      <c r="NH253" s="504"/>
      <c r="NI253" s="504"/>
      <c r="NJ253" s="504"/>
      <c r="NK253" s="504"/>
      <c r="NL253" s="504"/>
      <c r="NM253" s="504"/>
      <c r="NN253" s="504"/>
      <c r="NO253" s="504"/>
      <c r="NP253" s="504"/>
      <c r="NQ253" s="504"/>
      <c r="NR253" s="504"/>
      <c r="NS253" s="504"/>
      <c r="NT253" s="504"/>
      <c r="NU253" s="504"/>
      <c r="NV253" s="504"/>
      <c r="NW253" s="504"/>
      <c r="NX253" s="504"/>
      <c r="NY253" s="504"/>
      <c r="NZ253" s="504"/>
      <c r="OA253" s="504"/>
      <c r="OB253" s="504"/>
      <c r="OC253" s="504"/>
      <c r="OD253" s="504"/>
      <c r="OE253" s="504"/>
      <c r="OF253" s="504"/>
      <c r="OG253" s="504"/>
      <c r="OH253" s="504"/>
      <c r="OI253" s="504"/>
      <c r="OJ253" s="504"/>
      <c r="OK253" s="504"/>
      <c r="OL253" s="504"/>
      <c r="OM253" s="504"/>
      <c r="ON253" s="504"/>
      <c r="OO253" s="504"/>
      <c r="OP253" s="504"/>
      <c r="OQ253" s="504"/>
      <c r="OR253" s="504"/>
      <c r="OS253" s="504"/>
      <c r="OT253" s="504"/>
      <c r="OU253" s="504"/>
      <c r="OV253" s="504"/>
      <c r="OW253" s="504"/>
      <c r="OX253" s="504"/>
      <c r="OY253" s="504"/>
      <c r="OZ253" s="504"/>
      <c r="PA253" s="504"/>
      <c r="PB253" s="504"/>
      <c r="PC253" s="504"/>
      <c r="PD253" s="504"/>
      <c r="PE253" s="504"/>
      <c r="PF253" s="504"/>
      <c r="PG253" s="504"/>
      <c r="PH253" s="504"/>
      <c r="PI253" s="504"/>
      <c r="PJ253" s="504"/>
      <c r="PK253" s="504"/>
      <c r="PL253" s="504"/>
      <c r="PM253" s="504"/>
      <c r="PN253" s="504"/>
      <c r="PO253" s="504"/>
      <c r="PP253" s="504"/>
      <c r="PQ253" s="504"/>
      <c r="PR253" s="504"/>
      <c r="PS253" s="504"/>
      <c r="PT253" s="504"/>
      <c r="PU253" s="504"/>
      <c r="PV253" s="504"/>
      <c r="PW253" s="504"/>
      <c r="PX253" s="504"/>
      <c r="PY253" s="504"/>
      <c r="PZ253" s="504"/>
      <c r="QA253" s="504"/>
      <c r="QB253" s="504"/>
      <c r="QC253" s="504"/>
      <c r="QD253" s="504"/>
      <c r="QE253" s="504"/>
      <c r="QF253" s="504"/>
      <c r="QG253" s="504"/>
      <c r="QH253" s="504"/>
      <c r="QI253" s="504"/>
      <c r="QJ253" s="504"/>
      <c r="QK253" s="504"/>
      <c r="QL253" s="504"/>
      <c r="QM253" s="504"/>
      <c r="QN253" s="504"/>
      <c r="QO253" s="504"/>
      <c r="QP253" s="504"/>
      <c r="QQ253" s="504"/>
      <c r="QR253" s="504"/>
      <c r="QS253" s="504"/>
      <c r="QT253" s="504"/>
      <c r="QU253" s="504"/>
      <c r="QV253" s="504"/>
      <c r="QW253" s="504"/>
      <c r="QX253" s="504"/>
      <c r="QY253" s="504"/>
      <c r="QZ253" s="504"/>
      <c r="RA253" s="504"/>
      <c r="RB253" s="504"/>
      <c r="RC253" s="504"/>
      <c r="RD253" s="504"/>
      <c r="RE253" s="504"/>
      <c r="RF253" s="504"/>
      <c r="RG253" s="504"/>
      <c r="RH253" s="504"/>
      <c r="RI253" s="504"/>
      <c r="RJ253" s="504"/>
      <c r="RK253" s="504"/>
      <c r="RL253" s="504"/>
      <c r="RM253" s="504"/>
      <c r="RN253" s="504"/>
      <c r="RO253" s="504"/>
      <c r="RP253" s="504"/>
      <c r="RQ253" s="504"/>
      <c r="RR253" s="504"/>
      <c r="RS253" s="504"/>
      <c r="RT253" s="504"/>
      <c r="RU253" s="504"/>
      <c r="RV253" s="504"/>
      <c r="RW253" s="504"/>
      <c r="RX253" s="504"/>
      <c r="RY253" s="504"/>
      <c r="RZ253" s="504"/>
      <c r="SA253" s="504"/>
      <c r="SB253" s="504"/>
      <c r="SC253" s="504"/>
      <c r="SD253" s="504"/>
      <c r="SE253" s="504"/>
      <c r="SF253" s="504"/>
      <c r="SG253" s="504"/>
      <c r="SH253" s="504"/>
      <c r="SI253" s="504"/>
      <c r="SJ253" s="504"/>
      <c r="SK253" s="504"/>
      <c r="SL253" s="504"/>
      <c r="SM253" s="504"/>
      <c r="SN253" s="504"/>
      <c r="SO253" s="504"/>
      <c r="SP253" s="504"/>
      <c r="SQ253" s="504"/>
      <c r="SR253" s="504"/>
      <c r="SS253" s="504"/>
      <c r="ST253" s="504"/>
      <c r="SU253" s="504"/>
      <c r="SV253" s="504"/>
      <c r="SW253" s="504"/>
      <c r="SX253" s="504"/>
      <c r="SY253" s="504"/>
      <c r="SZ253" s="504"/>
      <c r="TA253" s="504"/>
      <c r="TB253" s="504"/>
      <c r="TC253" s="504"/>
      <c r="TD253" s="504"/>
      <c r="TE253" s="504"/>
      <c r="TF253" s="504"/>
      <c r="TG253" s="504"/>
      <c r="TH253" s="504"/>
      <c r="TI253" s="504"/>
      <c r="TJ253" s="504"/>
      <c r="TK253" s="504"/>
      <c r="TL253" s="504"/>
      <c r="TM253" s="504"/>
      <c r="TN253" s="504"/>
      <c r="TO253" s="504"/>
      <c r="TP253" s="504"/>
      <c r="TQ253" s="504"/>
      <c r="TR253" s="504"/>
      <c r="TS253" s="504"/>
      <c r="TT253" s="504"/>
      <c r="TU253" s="504"/>
      <c r="TV253" s="504"/>
      <c r="TW253" s="504"/>
      <c r="TX253" s="504"/>
      <c r="TY253" s="504"/>
      <c r="TZ253" s="504"/>
      <c r="UA253" s="504"/>
      <c r="UB253" s="504"/>
      <c r="UC253" s="504"/>
      <c r="UD253" s="504"/>
      <c r="UE253" s="504"/>
      <c r="UF253" s="504"/>
      <c r="UG253" s="504"/>
      <c r="UH253" s="504"/>
      <c r="UI253" s="504"/>
      <c r="UJ253" s="504"/>
      <c r="UK253" s="504"/>
      <c r="UL253" s="504"/>
      <c r="UM253" s="504"/>
      <c r="UN253" s="504"/>
      <c r="UO253" s="504"/>
      <c r="UP253" s="504"/>
      <c r="UQ253" s="504"/>
      <c r="UR253" s="504"/>
      <c r="US253" s="504"/>
      <c r="UT253" s="504"/>
      <c r="UU253" s="504"/>
      <c r="UV253" s="504"/>
      <c r="UW253" s="504"/>
      <c r="UX253" s="504"/>
      <c r="UY253" s="504"/>
      <c r="UZ253" s="504"/>
      <c r="VA253" s="504"/>
      <c r="VB253" s="504"/>
      <c r="VC253" s="504"/>
      <c r="VD253" s="504"/>
      <c r="VE253" s="504"/>
      <c r="VF253" s="504"/>
      <c r="VG253" s="504"/>
      <c r="VH253" s="504"/>
      <c r="VI253" s="504"/>
      <c r="VJ253" s="504"/>
      <c r="VK253" s="504"/>
      <c r="VL253" s="504"/>
      <c r="VM253" s="504"/>
      <c r="VN253" s="504"/>
      <c r="VO253" s="504"/>
      <c r="VP253" s="504"/>
      <c r="VQ253" s="504"/>
      <c r="VR253" s="504"/>
      <c r="VS253" s="504"/>
      <c r="VT253" s="504"/>
      <c r="VU253" s="504"/>
      <c r="VV253" s="504"/>
      <c r="VW253" s="504"/>
      <c r="VX253" s="504"/>
      <c r="VY253" s="504"/>
      <c r="VZ253" s="504"/>
      <c r="WA253" s="504"/>
      <c r="WB253" s="504"/>
      <c r="WC253" s="504"/>
      <c r="WD253" s="504"/>
      <c r="WE253" s="504"/>
      <c r="WF253" s="504"/>
      <c r="WG253" s="504"/>
      <c r="WH253" s="504"/>
      <c r="WI253" s="504"/>
      <c r="WJ253" s="504"/>
      <c r="WK253" s="504"/>
      <c r="WL253" s="504"/>
      <c r="WM253" s="504"/>
      <c r="WN253" s="504"/>
      <c r="WO253" s="504"/>
      <c r="WP253" s="504"/>
      <c r="WQ253" s="504"/>
      <c r="WR253" s="504"/>
      <c r="WS253" s="504"/>
      <c r="WT253" s="504"/>
      <c r="WU253" s="504"/>
      <c r="WV253" s="504"/>
      <c r="WW253" s="504"/>
      <c r="WX253" s="504"/>
      <c r="WY253" s="504"/>
      <c r="WZ253" s="504"/>
      <c r="XA253" s="504"/>
      <c r="XB253" s="504"/>
      <c r="XC253" s="504"/>
      <c r="XD253" s="504"/>
      <c r="XE253" s="504"/>
      <c r="XF253" s="504"/>
      <c r="XG253" s="504"/>
      <c r="XH253" s="504"/>
      <c r="XI253" s="504"/>
      <c r="XJ253" s="504"/>
      <c r="XK253" s="504"/>
      <c r="XL253" s="504"/>
      <c r="XM253" s="504"/>
      <c r="XN253" s="504"/>
      <c r="XO253" s="504"/>
      <c r="XP253" s="504"/>
      <c r="XQ253" s="504"/>
      <c r="XR253" s="504"/>
      <c r="XS253" s="504"/>
      <c r="XT253" s="504"/>
      <c r="XU253" s="504"/>
      <c r="XV253" s="504"/>
      <c r="XW253" s="504"/>
      <c r="XX253" s="504"/>
      <c r="XY253" s="504"/>
      <c r="XZ253" s="504"/>
      <c r="YA253" s="504"/>
      <c r="YB253" s="504"/>
      <c r="YC253" s="504"/>
      <c r="YD253" s="504"/>
      <c r="YE253" s="504"/>
      <c r="YF253" s="504"/>
      <c r="YG253" s="504"/>
      <c r="YH253" s="504"/>
      <c r="YI253" s="504"/>
      <c r="YJ253" s="504"/>
      <c r="YK253" s="504"/>
      <c r="YL253" s="504"/>
      <c r="YM253" s="504"/>
      <c r="YN253" s="504"/>
      <c r="YO253" s="504"/>
      <c r="YP253" s="504"/>
      <c r="YQ253" s="504"/>
      <c r="YR253" s="504"/>
      <c r="YS253" s="504"/>
      <c r="YT253" s="504"/>
      <c r="YU253" s="504"/>
      <c r="YV253" s="504"/>
      <c r="YW253" s="504"/>
      <c r="YX253" s="504"/>
      <c r="YY253" s="504"/>
      <c r="YZ253" s="504"/>
      <c r="ZA253" s="504"/>
      <c r="ZB253" s="504"/>
      <c r="ZC253" s="504"/>
      <c r="ZD253" s="504"/>
      <c r="ZE253" s="504"/>
      <c r="ZF253" s="504"/>
      <c r="ZG253" s="504"/>
      <c r="ZH253" s="504"/>
      <c r="ZI253" s="504"/>
      <c r="ZJ253" s="504"/>
      <c r="ZK253" s="504"/>
      <c r="ZL253" s="504"/>
      <c r="ZM253" s="504"/>
      <c r="ZN253" s="504"/>
      <c r="ZO253" s="504"/>
      <c r="ZP253" s="504"/>
      <c r="ZQ253" s="504"/>
      <c r="ZR253" s="504"/>
      <c r="ZS253" s="504"/>
      <c r="ZT253" s="504"/>
      <c r="ZU253" s="504"/>
      <c r="ZV253" s="504"/>
      <c r="ZW253" s="504"/>
      <c r="ZX253" s="504"/>
      <c r="ZY253" s="504"/>
      <c r="ZZ253" s="504"/>
      <c r="AAA253" s="504"/>
      <c r="AAB253" s="504"/>
      <c r="AAC253" s="504"/>
      <c r="AAD253" s="504"/>
      <c r="AAE253" s="504"/>
      <c r="AAF253" s="504"/>
      <c r="AAG253" s="504"/>
      <c r="AAH253" s="504"/>
      <c r="AAI253" s="504"/>
      <c r="AAJ253" s="504"/>
      <c r="AAK253" s="504"/>
      <c r="AAL253" s="504"/>
      <c r="AAM253" s="504"/>
      <c r="AAN253" s="504"/>
      <c r="AAO253" s="504"/>
      <c r="AAP253" s="504"/>
      <c r="AAQ253" s="504"/>
      <c r="AAR253" s="504"/>
      <c r="AAS253" s="504"/>
      <c r="AAT253" s="504"/>
      <c r="AAU253" s="504"/>
      <c r="AAV253" s="504"/>
      <c r="AAW253" s="504"/>
      <c r="AAX253" s="504"/>
      <c r="AAY253" s="504"/>
      <c r="AAZ253" s="504"/>
      <c r="ABA253" s="504"/>
      <c r="ABB253" s="504"/>
      <c r="ABC253" s="504"/>
      <c r="ABD253" s="504"/>
      <c r="ABE253" s="504"/>
      <c r="ABF253" s="504"/>
      <c r="ABG253" s="504"/>
      <c r="ABH253" s="504"/>
      <c r="ABI253" s="504"/>
      <c r="ABJ253" s="504"/>
      <c r="ABK253" s="504"/>
      <c r="ABL253" s="504"/>
      <c r="ABM253" s="504"/>
      <c r="ABN253" s="504"/>
      <c r="ABO253" s="504"/>
      <c r="ABP253" s="504"/>
      <c r="ABQ253" s="504"/>
      <c r="ABR253" s="504"/>
      <c r="ABS253" s="504"/>
      <c r="ABT253" s="504"/>
      <c r="ABU253" s="504"/>
      <c r="ABV253" s="504"/>
      <c r="ABW253" s="504"/>
      <c r="ABX253" s="504"/>
      <c r="ABY253" s="504"/>
      <c r="ABZ253" s="504"/>
      <c r="ACA253" s="504"/>
      <c r="ACB253" s="504"/>
      <c r="ACC253" s="504"/>
      <c r="ACD253" s="504"/>
      <c r="ACE253" s="504"/>
      <c r="ACF253" s="504"/>
      <c r="ACG253" s="504"/>
      <c r="ACH253" s="504"/>
      <c r="ACI253" s="504"/>
      <c r="ACJ253" s="504"/>
      <c r="ACK253" s="504"/>
      <c r="ACL253" s="504"/>
      <c r="ACM253" s="504"/>
      <c r="ACN253" s="504"/>
      <c r="ACO253" s="504"/>
      <c r="ACP253" s="504"/>
      <c r="ACQ253" s="504"/>
      <c r="ACR253" s="504"/>
      <c r="ACS253" s="504"/>
      <c r="ACT253" s="504"/>
      <c r="ACU253" s="504"/>
      <c r="ACV253" s="504"/>
      <c r="ACW253" s="504"/>
      <c r="ACX253" s="504"/>
      <c r="ACY253" s="504"/>
      <c r="ACZ253" s="504"/>
      <c r="ADA253" s="504"/>
      <c r="ADB253" s="504"/>
      <c r="ADC253" s="504"/>
      <c r="ADD253" s="504"/>
      <c r="ADE253" s="504"/>
      <c r="ADF253" s="504"/>
      <c r="ADG253" s="504"/>
      <c r="ADH253" s="504"/>
      <c r="ADI253" s="504"/>
      <c r="ADJ253" s="504"/>
      <c r="ADK253" s="504"/>
      <c r="ADL253" s="504"/>
      <c r="ADM253" s="504"/>
      <c r="ADN253" s="504"/>
      <c r="ADO253" s="504"/>
      <c r="ADP253" s="504"/>
      <c r="ADQ253" s="504"/>
      <c r="ADR253" s="504"/>
      <c r="ADS253" s="504"/>
      <c r="ADT253" s="504"/>
      <c r="ADU253" s="504"/>
      <c r="ADV253" s="504"/>
      <c r="ADW253" s="504"/>
      <c r="ADX253" s="504"/>
      <c r="ADY253" s="504"/>
      <c r="ADZ253" s="504"/>
      <c r="AEA253" s="504"/>
      <c r="AEB253" s="504"/>
      <c r="AEC253" s="504"/>
      <c r="AED253" s="504"/>
      <c r="AEE253" s="504"/>
      <c r="AEF253" s="504"/>
      <c r="AEG253" s="504"/>
      <c r="AEH253" s="504"/>
      <c r="AEI253" s="504"/>
      <c r="AEJ253" s="504"/>
      <c r="AEK253" s="504"/>
      <c r="AEL253" s="504"/>
      <c r="AEM253" s="504"/>
      <c r="AEN253" s="504"/>
      <c r="AEO253" s="504"/>
      <c r="AEP253" s="504"/>
      <c r="AEQ253" s="504"/>
      <c r="AER253" s="504"/>
      <c r="AES253" s="504"/>
      <c r="AET253" s="504"/>
      <c r="AEU253" s="504"/>
      <c r="AEV253" s="504"/>
      <c r="AEW253" s="504"/>
      <c r="AEX253" s="504"/>
      <c r="AEY253" s="504"/>
      <c r="AEZ253" s="504"/>
      <c r="AFA253" s="504"/>
      <c r="AFB253" s="504"/>
      <c r="AFC253" s="504"/>
      <c r="AFD253" s="504"/>
      <c r="AFE253" s="504"/>
      <c r="AFF253" s="504"/>
      <c r="AFG253" s="504"/>
      <c r="AFH253" s="504"/>
      <c r="AFI253" s="504"/>
      <c r="AFJ253" s="504"/>
      <c r="AFK253" s="504"/>
      <c r="AFL253" s="504"/>
      <c r="AFM253" s="504"/>
      <c r="AFN253" s="504"/>
      <c r="AFO253" s="504"/>
      <c r="AFP253" s="504"/>
      <c r="AFQ253" s="504"/>
      <c r="AFR253" s="504"/>
      <c r="AFS253" s="504"/>
      <c r="AFT253" s="504"/>
      <c r="AFU253" s="504"/>
      <c r="AFV253" s="504"/>
      <c r="AFW253" s="504"/>
      <c r="AFX253" s="504"/>
      <c r="AFY253" s="504"/>
      <c r="AFZ253" s="504"/>
      <c r="AGA253" s="504"/>
      <c r="AGB253" s="504"/>
      <c r="AGC253" s="504"/>
      <c r="AGD253" s="504"/>
      <c r="AGE253" s="504"/>
      <c r="AGF253" s="504"/>
      <c r="AGG253" s="504"/>
      <c r="AGH253" s="504"/>
      <c r="AGI253" s="504"/>
      <c r="AGJ253" s="504"/>
      <c r="AGK253" s="504"/>
      <c r="AGL253" s="504"/>
      <c r="AGM253" s="504"/>
      <c r="AGN253" s="504"/>
      <c r="AGO253" s="504"/>
      <c r="AGP253" s="504"/>
      <c r="AGQ253" s="504"/>
      <c r="AGR253" s="504"/>
      <c r="AGS253" s="504"/>
      <c r="AGT253" s="504"/>
      <c r="AGU253" s="504"/>
      <c r="AGV253" s="504"/>
      <c r="AGW253" s="504"/>
      <c r="AGX253" s="504"/>
      <c r="AGY253" s="504"/>
      <c r="AGZ253" s="504"/>
      <c r="AHA253" s="504"/>
      <c r="AHB253" s="504"/>
      <c r="AHC253" s="504"/>
      <c r="AHD253" s="504"/>
      <c r="AHE253" s="504"/>
      <c r="AHF253" s="504"/>
      <c r="AHG253" s="504"/>
      <c r="AHH253" s="504"/>
      <c r="AHI253" s="504"/>
      <c r="AHJ253" s="504"/>
      <c r="AHK253" s="504"/>
      <c r="AHL253" s="504"/>
      <c r="AHM253" s="504"/>
      <c r="AHN253" s="504"/>
      <c r="AHO253" s="504"/>
      <c r="AHP253" s="504"/>
      <c r="AHQ253" s="504"/>
      <c r="AHR253" s="504"/>
      <c r="AHS253" s="504"/>
      <c r="AHT253" s="504"/>
      <c r="AHU253" s="504"/>
      <c r="AHV253" s="504"/>
      <c r="AHW253" s="504"/>
      <c r="AHX253" s="504"/>
      <c r="AHY253" s="504"/>
      <c r="AHZ253" s="504"/>
      <c r="AIA253" s="504"/>
      <c r="AIB253" s="504"/>
      <c r="AIC253" s="504"/>
      <c r="AID253" s="504"/>
      <c r="AIE253" s="504"/>
      <c r="AIF253" s="504"/>
      <c r="AIG253" s="504"/>
      <c r="AIH253" s="504"/>
      <c r="AII253" s="504"/>
      <c r="AIJ253" s="504"/>
      <c r="AIK253" s="504"/>
      <c r="AIL253" s="504"/>
      <c r="AIM253" s="504"/>
      <c r="AIN253" s="504"/>
      <c r="AIO253" s="504"/>
      <c r="AIP253" s="504"/>
      <c r="AIQ253" s="504"/>
      <c r="AIR253" s="504"/>
      <c r="AIS253" s="504"/>
      <c r="AIT253" s="504"/>
      <c r="AIU253" s="504"/>
      <c r="AIV253" s="504"/>
      <c r="AIW253" s="504"/>
      <c r="AIX253" s="504"/>
      <c r="AIY253" s="504"/>
      <c r="AIZ253" s="504"/>
      <c r="AJA253" s="504"/>
      <c r="AJB253" s="504"/>
      <c r="AJC253" s="504"/>
      <c r="AJD253" s="504"/>
      <c r="AJE253" s="504"/>
      <c r="AJF253" s="504"/>
      <c r="AJG253" s="504"/>
      <c r="AJH253" s="504"/>
      <c r="AJI253" s="504"/>
      <c r="AJJ253" s="504"/>
      <c r="AJK253" s="504"/>
      <c r="AJL253" s="504"/>
      <c r="AJM253" s="504"/>
      <c r="AJN253" s="504"/>
      <c r="AJO253" s="504"/>
      <c r="AJP253" s="504"/>
      <c r="AJQ253" s="504"/>
      <c r="AJR253" s="504"/>
      <c r="AJS253" s="504"/>
      <c r="AJT253" s="504"/>
      <c r="AJU253" s="504"/>
      <c r="AJV253" s="504"/>
      <c r="AJW253" s="504"/>
      <c r="AJX253" s="504"/>
      <c r="AJY253" s="504"/>
      <c r="AJZ253" s="504"/>
      <c r="AKA253" s="504"/>
      <c r="AKB253" s="504"/>
      <c r="AKC253" s="504"/>
      <c r="AKD253" s="504"/>
      <c r="AKE253" s="504"/>
      <c r="AKF253" s="504"/>
      <c r="AKG253" s="504"/>
      <c r="AKH253" s="504"/>
      <c r="AKI253" s="504"/>
      <c r="AKJ253" s="504"/>
      <c r="AKK253" s="504"/>
      <c r="AKL253" s="504"/>
      <c r="AKM253" s="504"/>
      <c r="AKN253" s="504"/>
      <c r="AKO253" s="504"/>
      <c r="AKP253" s="504"/>
      <c r="AKQ253" s="504"/>
      <c r="AKR253" s="504"/>
      <c r="AKS253" s="504"/>
      <c r="AKT253" s="504"/>
      <c r="AKU253" s="504"/>
      <c r="AKV253" s="504"/>
      <c r="AKW253" s="504"/>
      <c r="AKX253" s="504"/>
      <c r="AKY253" s="504"/>
      <c r="AKZ253" s="504"/>
      <c r="ALA253" s="504"/>
      <c r="ALB253" s="504"/>
      <c r="ALC253" s="504"/>
      <c r="ALD253" s="504"/>
      <c r="ALE253" s="504"/>
      <c r="ALF253" s="504"/>
      <c r="ALG253" s="504"/>
      <c r="ALH253" s="504"/>
      <c r="ALI253" s="504"/>
      <c r="ALJ253" s="504"/>
      <c r="ALK253" s="504"/>
      <c r="ALL253" s="504"/>
      <c r="ALM253" s="504"/>
      <c r="ALN253" s="504"/>
      <c r="ALO253" s="504"/>
      <c r="ALP253" s="504"/>
      <c r="ALQ253" s="504"/>
      <c r="ALR253" s="504"/>
      <c r="ALS253" s="504"/>
      <c r="ALT253" s="504"/>
      <c r="ALU253" s="504"/>
      <c r="ALV253" s="504"/>
      <c r="ALW253" s="504"/>
      <c r="ALX253" s="504"/>
      <c r="ALY253" s="504"/>
      <c r="ALZ253" s="504"/>
      <c r="AMA253" s="504"/>
      <c r="AMB253" s="504"/>
      <c r="AMC253" s="504"/>
      <c r="AMD253" s="504"/>
      <c r="AME253" s="504"/>
      <c r="AMF253" s="504"/>
      <c r="AMG253" s="504"/>
      <c r="AMH253" s="504"/>
      <c r="AMI253" s="504"/>
      <c r="AMJ253" s="504"/>
      <c r="AMK253" s="504"/>
      <c r="AML253" s="504"/>
      <c r="AMM253" s="504"/>
      <c r="AMN253" s="504"/>
      <c r="AMO253" s="504"/>
      <c r="AMP253" s="504"/>
      <c r="AMQ253" s="504"/>
      <c r="AMR253" s="504"/>
      <c r="AMS253" s="504"/>
      <c r="AMT253" s="504"/>
      <c r="AMU253" s="504"/>
      <c r="AMV253" s="504"/>
      <c r="AMW253" s="504"/>
      <c r="AMX253" s="504"/>
      <c r="AMY253" s="504"/>
      <c r="AMZ253" s="504"/>
      <c r="ANA253" s="504"/>
      <c r="ANB253" s="504"/>
      <c r="ANC253" s="504"/>
      <c r="AND253" s="504"/>
      <c r="ANE253" s="504"/>
      <c r="ANF253" s="504"/>
      <c r="ANG253" s="504"/>
      <c r="ANH253" s="504"/>
      <c r="ANI253" s="504"/>
      <c r="ANJ253" s="504"/>
      <c r="ANK253" s="504"/>
      <c r="ANL253" s="504"/>
      <c r="ANM253" s="504"/>
      <c r="ANN253" s="504"/>
      <c r="ANO253" s="504"/>
      <c r="ANP253" s="504"/>
      <c r="ANQ253" s="504"/>
      <c r="ANR253" s="504"/>
      <c r="ANS253" s="504"/>
      <c r="ANT253" s="504"/>
      <c r="ANU253" s="504"/>
      <c r="ANV253" s="504"/>
      <c r="ANW253" s="504"/>
      <c r="ANX253" s="504"/>
      <c r="ANY253" s="504"/>
      <c r="ANZ253" s="504"/>
      <c r="AOA253" s="504"/>
      <c r="AOB253" s="504"/>
      <c r="AOC253" s="504"/>
      <c r="AOD253" s="504"/>
      <c r="AOE253" s="504"/>
      <c r="AOF253" s="504"/>
      <c r="AOG253" s="504"/>
      <c r="AOH253" s="504"/>
      <c r="AOI253" s="504"/>
      <c r="AOJ253" s="504"/>
      <c r="AOK253" s="504"/>
      <c r="AOL253" s="504"/>
      <c r="AOM253" s="504"/>
      <c r="AON253" s="504"/>
      <c r="AOO253" s="504"/>
      <c r="AOP253" s="504"/>
      <c r="AOQ253" s="504"/>
      <c r="AOR253" s="504"/>
      <c r="AOS253" s="504"/>
      <c r="AOT253" s="504"/>
      <c r="AOU253" s="504"/>
      <c r="AOV253" s="504"/>
      <c r="AOW253" s="504"/>
      <c r="AOX253" s="504"/>
      <c r="AOY253" s="504"/>
      <c r="AOZ253" s="504"/>
      <c r="APA253" s="504"/>
      <c r="APB253" s="504"/>
      <c r="APC253" s="504"/>
      <c r="APD253" s="504"/>
      <c r="APE253" s="504"/>
      <c r="APF253" s="504"/>
      <c r="APG253" s="504"/>
      <c r="APH253" s="504"/>
      <c r="API253" s="504"/>
      <c r="APJ253" s="504"/>
      <c r="APK253" s="504"/>
      <c r="APL253" s="504"/>
      <c r="APM253" s="504"/>
      <c r="APN253" s="504"/>
      <c r="APO253" s="504"/>
      <c r="APP253" s="504"/>
      <c r="APQ253" s="504"/>
      <c r="APR253" s="504"/>
      <c r="APS253" s="504"/>
      <c r="APT253" s="504"/>
      <c r="APU253" s="504"/>
      <c r="APV253" s="504"/>
      <c r="APW253" s="504"/>
      <c r="APX253" s="504"/>
      <c r="APY253" s="504"/>
      <c r="APZ253" s="504"/>
      <c r="AQA253" s="504"/>
      <c r="AQB253" s="504"/>
      <c r="AQC253" s="504"/>
      <c r="AQD253" s="504"/>
      <c r="AQE253" s="504"/>
      <c r="AQF253" s="504"/>
      <c r="AQG253" s="504"/>
      <c r="AQH253" s="504"/>
      <c r="AQI253" s="504"/>
      <c r="AQJ253" s="504"/>
      <c r="AQK253" s="504"/>
      <c r="AQL253" s="504"/>
      <c r="AQM253" s="504"/>
      <c r="AQN253" s="504"/>
      <c r="AQO253" s="504"/>
      <c r="AQP253" s="504"/>
      <c r="AQQ253" s="504"/>
      <c r="AQR253" s="504"/>
      <c r="AQS253" s="504"/>
      <c r="AQT253" s="504"/>
      <c r="AQU253" s="504"/>
      <c r="AQV253" s="504"/>
      <c r="AQW253" s="504"/>
      <c r="AQX253" s="504"/>
      <c r="AQY253" s="504"/>
      <c r="AQZ253" s="504"/>
      <c r="ARA253" s="504"/>
      <c r="ARB253" s="504"/>
      <c r="ARC253" s="504"/>
      <c r="ARD253" s="504"/>
      <c r="ARE253" s="504"/>
      <c r="ARF253" s="504"/>
      <c r="ARG253" s="504"/>
      <c r="ARH253" s="504"/>
      <c r="ARI253" s="504"/>
      <c r="ARJ253" s="504"/>
      <c r="ARK253" s="504"/>
      <c r="ARL253" s="504"/>
      <c r="ARM253" s="504"/>
      <c r="ARN253" s="504"/>
      <c r="ARO253" s="504"/>
      <c r="ARP253" s="504"/>
      <c r="ARQ253" s="504"/>
      <c r="ARR253" s="504"/>
      <c r="ARS253" s="504"/>
      <c r="ART253" s="504"/>
      <c r="ARU253" s="504"/>
      <c r="ARV253" s="504"/>
      <c r="ARW253" s="504"/>
      <c r="ARX253" s="504"/>
      <c r="ARY253" s="504"/>
      <c r="ARZ253" s="504"/>
      <c r="ASA253" s="504"/>
      <c r="ASB253" s="504"/>
      <c r="ASC253" s="504"/>
      <c r="ASD253" s="504"/>
      <c r="ASE253" s="504"/>
      <c r="ASF253" s="504"/>
      <c r="ASG253" s="504"/>
      <c r="ASH253" s="504"/>
      <c r="ASI253" s="504"/>
      <c r="ASJ253" s="504"/>
      <c r="ASK253" s="504"/>
      <c r="ASL253" s="504"/>
      <c r="ASM253" s="504"/>
      <c r="ASN253" s="504"/>
      <c r="ASO253" s="504"/>
      <c r="ASP253" s="504"/>
      <c r="ASQ253" s="504"/>
      <c r="ASR253" s="504"/>
      <c r="ASS253" s="504"/>
      <c r="AST253" s="504"/>
      <c r="ASU253" s="504"/>
      <c r="ASV253" s="504"/>
      <c r="ASW253" s="504"/>
      <c r="ASX253" s="504"/>
      <c r="ASY253" s="504"/>
      <c r="ASZ253" s="504"/>
      <c r="ATA253" s="504"/>
      <c r="ATB253" s="504"/>
      <c r="ATC253" s="504"/>
      <c r="ATD253" s="504"/>
      <c r="ATE253" s="504"/>
      <c r="ATF253" s="504"/>
      <c r="ATG253" s="504"/>
      <c r="ATH253" s="504"/>
      <c r="ATI253" s="504"/>
      <c r="ATJ253" s="504"/>
      <c r="ATK253" s="504"/>
      <c r="ATL253" s="504"/>
      <c r="ATM253" s="504"/>
      <c r="ATN253" s="504"/>
      <c r="ATO253" s="504"/>
      <c r="ATP253" s="504"/>
      <c r="ATQ253" s="504"/>
      <c r="ATR253" s="504"/>
      <c r="ATS253" s="504"/>
      <c r="ATT253" s="504"/>
      <c r="ATU253" s="504"/>
      <c r="ATV253" s="504"/>
      <c r="ATW253" s="504"/>
      <c r="ATX253" s="504"/>
      <c r="ATY253" s="504"/>
      <c r="ATZ253" s="504"/>
      <c r="AUA253" s="504"/>
      <c r="AUB253" s="504"/>
      <c r="AUC253" s="504"/>
      <c r="AUD253" s="504"/>
      <c r="AUE253" s="504"/>
      <c r="AUF253" s="504"/>
      <c r="AUG253" s="504"/>
      <c r="AUH253" s="504"/>
      <c r="AUI253" s="504"/>
      <c r="AUJ253" s="504"/>
      <c r="AUK253" s="504"/>
      <c r="AUL253" s="504"/>
      <c r="AUM253" s="504"/>
      <c r="AUN253" s="504"/>
      <c r="AUO253" s="504"/>
      <c r="AUP253" s="504"/>
      <c r="AUQ253" s="504"/>
      <c r="AUR253" s="504"/>
      <c r="AUS253" s="504"/>
      <c r="AUT253" s="504"/>
      <c r="AUU253" s="504"/>
      <c r="AUV253" s="504"/>
      <c r="AUW253" s="504"/>
      <c r="AUX253" s="504"/>
      <c r="AUY253" s="504"/>
      <c r="AUZ253" s="504"/>
      <c r="AVA253" s="504"/>
      <c r="AVB253" s="504"/>
      <c r="AVC253" s="504"/>
      <c r="AVD253" s="504"/>
      <c r="AVE253" s="504"/>
      <c r="AVF253" s="504"/>
      <c r="AVG253" s="504"/>
      <c r="AVH253" s="504"/>
      <c r="AVI253" s="504"/>
      <c r="AVJ253" s="504"/>
      <c r="AVK253" s="504"/>
      <c r="AVL253" s="504"/>
      <c r="AVM253" s="504"/>
      <c r="AVN253" s="504"/>
      <c r="AVO253" s="504"/>
      <c r="AVP253" s="504"/>
      <c r="AVQ253" s="504"/>
      <c r="AVR253" s="504"/>
      <c r="AVS253" s="504"/>
      <c r="AVT253" s="504"/>
      <c r="AVU253" s="504"/>
      <c r="AVV253" s="504"/>
      <c r="AVW253" s="504"/>
      <c r="AVX253" s="504"/>
      <c r="AVY253" s="504"/>
      <c r="AVZ253" s="504"/>
      <c r="AWA253" s="504"/>
      <c r="AWB253" s="504"/>
      <c r="AWC253" s="504"/>
      <c r="AWD253" s="504"/>
      <c r="AWE253" s="504"/>
      <c r="AWF253" s="504"/>
      <c r="AWG253" s="504"/>
      <c r="AWH253" s="504"/>
      <c r="AWI253" s="504"/>
      <c r="AWJ253" s="504"/>
      <c r="AWK253" s="504"/>
      <c r="AWL253" s="504"/>
      <c r="AWM253" s="504"/>
      <c r="AWN253" s="504"/>
      <c r="AWO253" s="504"/>
      <c r="AWP253" s="504"/>
      <c r="AWQ253" s="504"/>
      <c r="AWR253" s="504"/>
      <c r="AWS253" s="504"/>
      <c r="AWT253" s="504"/>
      <c r="AWU253" s="504"/>
      <c r="AWV253" s="504"/>
      <c r="AWW253" s="504"/>
      <c r="AWX253" s="504"/>
      <c r="AWY253" s="504"/>
      <c r="AWZ253" s="504"/>
      <c r="AXA253" s="504"/>
      <c r="AXB253" s="504"/>
      <c r="AXC253" s="504"/>
      <c r="AXD253" s="504"/>
      <c r="AXE253" s="504"/>
      <c r="AXF253" s="504"/>
      <c r="AXG253" s="504"/>
      <c r="AXH253" s="504"/>
      <c r="AXI253" s="504"/>
      <c r="AXJ253" s="504"/>
      <c r="AXK253" s="504"/>
      <c r="AXL253" s="504"/>
      <c r="AXM253" s="504"/>
      <c r="AXN253" s="504"/>
      <c r="AXO253" s="504"/>
      <c r="AXP253" s="504"/>
      <c r="AXQ253" s="504"/>
      <c r="AXR253" s="504"/>
      <c r="AXS253" s="504"/>
      <c r="AXT253" s="504"/>
      <c r="AXU253" s="504"/>
      <c r="AXV253" s="504"/>
      <c r="AXW253" s="504"/>
      <c r="AXX253" s="504"/>
      <c r="AXY253" s="504"/>
      <c r="AXZ253" s="504"/>
      <c r="AYA253" s="504"/>
      <c r="AYB253" s="504"/>
      <c r="AYC253" s="504"/>
      <c r="AYD253" s="504"/>
      <c r="AYE253" s="504"/>
      <c r="AYF253" s="504"/>
      <c r="AYG253" s="504"/>
      <c r="AYH253" s="504"/>
      <c r="AYI253" s="504"/>
      <c r="AYJ253" s="504"/>
      <c r="AYK253" s="504"/>
      <c r="AYL253" s="504"/>
      <c r="AYM253" s="504"/>
      <c r="AYN253" s="504"/>
      <c r="AYO253" s="504"/>
      <c r="AYP253" s="504"/>
      <c r="AYQ253" s="504"/>
      <c r="AYR253" s="504"/>
      <c r="AYS253" s="504"/>
      <c r="AYT253" s="504"/>
      <c r="AYU253" s="504"/>
      <c r="AYV253" s="504"/>
      <c r="AYW253" s="504"/>
      <c r="AYX253" s="504"/>
      <c r="AYY253" s="504"/>
      <c r="AYZ253" s="504"/>
      <c r="AZA253" s="504"/>
      <c r="AZB253" s="504"/>
      <c r="AZC253" s="504"/>
      <c r="AZD253" s="504"/>
      <c r="AZE253" s="504"/>
      <c r="AZF253" s="504"/>
      <c r="AZG253" s="504"/>
      <c r="AZH253" s="504"/>
      <c r="AZI253" s="504"/>
      <c r="AZJ253" s="504"/>
      <c r="AZK253" s="504"/>
      <c r="AZL253" s="504"/>
      <c r="AZM253" s="504"/>
      <c r="AZN253" s="504"/>
      <c r="AZO253" s="504"/>
      <c r="AZP253" s="504"/>
      <c r="AZQ253" s="504"/>
      <c r="AZR253" s="504"/>
      <c r="AZS253" s="504"/>
      <c r="AZT253" s="504"/>
      <c r="AZU253" s="504"/>
      <c r="AZV253" s="504"/>
      <c r="AZW253" s="504"/>
      <c r="AZX253" s="504"/>
      <c r="AZY253" s="504"/>
      <c r="AZZ253" s="504"/>
      <c r="BAA253" s="504"/>
      <c r="BAB253" s="504"/>
      <c r="BAC253" s="504"/>
      <c r="BAD253" s="504"/>
      <c r="BAE253" s="504"/>
      <c r="BAF253" s="504"/>
      <c r="BAG253" s="504"/>
      <c r="BAH253" s="504"/>
      <c r="BAI253" s="504"/>
      <c r="BAJ253" s="504"/>
      <c r="BAK253" s="504"/>
      <c r="BAL253" s="504"/>
      <c r="BAM253" s="504"/>
      <c r="BAN253" s="504"/>
      <c r="BAO253" s="504"/>
      <c r="BAP253" s="504"/>
      <c r="BAQ253" s="504"/>
      <c r="BAR253" s="504"/>
      <c r="BAS253" s="504"/>
      <c r="BAT253" s="504"/>
      <c r="BAU253" s="504"/>
      <c r="BAV253" s="504"/>
      <c r="BAW253" s="504"/>
      <c r="BAX253" s="504"/>
      <c r="BAY253" s="504"/>
      <c r="BAZ253" s="504"/>
      <c r="BBA253" s="504"/>
      <c r="BBB253" s="504"/>
      <c r="BBC253" s="504"/>
      <c r="BBD253" s="504"/>
      <c r="BBE253" s="504"/>
      <c r="BBF253" s="504"/>
      <c r="BBG253" s="504"/>
      <c r="BBH253" s="504"/>
      <c r="BBI253" s="504"/>
      <c r="BBJ253" s="504"/>
      <c r="BBK253" s="504"/>
      <c r="BBL253" s="504"/>
      <c r="BBM253" s="504"/>
      <c r="BBN253" s="504"/>
      <c r="BBO253" s="504"/>
      <c r="BBP253" s="504"/>
      <c r="BBQ253" s="504"/>
      <c r="BBR253" s="504"/>
      <c r="BBS253" s="504"/>
      <c r="BBT253" s="504"/>
      <c r="BBU253" s="504"/>
      <c r="BBV253" s="504"/>
      <c r="BBW253" s="504"/>
      <c r="BBX253" s="504"/>
      <c r="BBY253" s="504"/>
      <c r="BBZ253" s="504"/>
      <c r="BCA253" s="504"/>
      <c r="BCB253" s="504"/>
      <c r="BCC253" s="504"/>
      <c r="BCD253" s="504"/>
      <c r="BCE253" s="504"/>
      <c r="BCF253" s="504"/>
      <c r="BCG253" s="504"/>
      <c r="BCH253" s="504"/>
      <c r="BCI253" s="504"/>
      <c r="BCJ253" s="504"/>
      <c r="BCK253" s="504"/>
      <c r="BCL253" s="504"/>
      <c r="BCM253" s="504"/>
      <c r="BCN253" s="504"/>
      <c r="BCO253" s="504"/>
      <c r="BCP253" s="504"/>
      <c r="BCQ253" s="504"/>
      <c r="BCR253" s="504"/>
      <c r="BCS253" s="504"/>
      <c r="BCT253" s="504"/>
      <c r="BCU253" s="504"/>
      <c r="BCV253" s="504"/>
      <c r="BCW253" s="504"/>
      <c r="BCX253" s="504"/>
      <c r="BCY253" s="504"/>
      <c r="BCZ253" s="504"/>
      <c r="BDA253" s="504"/>
      <c r="BDB253" s="504"/>
      <c r="BDC253" s="504"/>
      <c r="BDD253" s="504"/>
      <c r="BDE253" s="504"/>
      <c r="BDF253" s="504"/>
      <c r="BDG253" s="504"/>
      <c r="BDH253" s="504"/>
      <c r="BDI253" s="504"/>
      <c r="BDJ253" s="504"/>
      <c r="BDK253" s="504"/>
      <c r="BDL253" s="504"/>
      <c r="BDM253" s="504"/>
      <c r="BDN253" s="504"/>
      <c r="BDO253" s="504"/>
      <c r="BDP253" s="504"/>
      <c r="BDQ253" s="504"/>
      <c r="BDR253" s="504"/>
      <c r="BDS253" s="504"/>
      <c r="BDT253" s="504"/>
      <c r="BDU253" s="504"/>
      <c r="BDV253" s="504"/>
      <c r="BDW253" s="504"/>
      <c r="BDX253" s="504"/>
      <c r="BDY253" s="504"/>
      <c r="BDZ253" s="504"/>
      <c r="BEA253" s="504"/>
      <c r="BEB253" s="504"/>
      <c r="BEC253" s="504"/>
      <c r="BED253" s="504"/>
      <c r="BEE253" s="504"/>
      <c r="BEF253" s="504"/>
      <c r="BEG253" s="504"/>
      <c r="BEH253" s="504"/>
      <c r="BEI253" s="504"/>
      <c r="BEJ253" s="504"/>
      <c r="BEK253" s="504"/>
      <c r="BEL253" s="504"/>
      <c r="BEM253" s="504"/>
      <c r="BEN253" s="504"/>
      <c r="BEO253" s="504"/>
      <c r="BEP253" s="504"/>
      <c r="BEQ253" s="504"/>
      <c r="BER253" s="504"/>
      <c r="BES253" s="504"/>
      <c r="BET253" s="504"/>
      <c r="BEU253" s="504"/>
      <c r="BEV253" s="504"/>
      <c r="BEW253" s="504"/>
      <c r="BEX253" s="504"/>
      <c r="BEY253" s="504"/>
      <c r="BEZ253" s="504"/>
      <c r="BFA253" s="504"/>
      <c r="BFB253" s="504"/>
      <c r="BFC253" s="504"/>
      <c r="BFD253" s="504"/>
      <c r="BFE253" s="504"/>
      <c r="BFF253" s="504"/>
      <c r="BFG253" s="504"/>
      <c r="BFH253" s="504"/>
      <c r="BFI253" s="504"/>
      <c r="BFJ253" s="504"/>
      <c r="BFK253" s="504"/>
      <c r="BFL253" s="504"/>
      <c r="BFM253" s="504"/>
      <c r="BFN253" s="504"/>
      <c r="BFO253" s="504"/>
      <c r="BFP253" s="504"/>
      <c r="BFQ253" s="504"/>
      <c r="BFR253" s="504"/>
      <c r="BFS253" s="504"/>
      <c r="BFT253" s="504"/>
      <c r="BFU253" s="504"/>
      <c r="BFV253" s="504"/>
      <c r="BFW253" s="504"/>
      <c r="BFX253" s="504"/>
      <c r="BFY253" s="504"/>
      <c r="BFZ253" s="504"/>
      <c r="BGA253" s="504"/>
      <c r="BGB253" s="504"/>
      <c r="BGC253" s="504"/>
      <c r="BGD253" s="504"/>
      <c r="BGE253" s="504"/>
      <c r="BGF253" s="504"/>
      <c r="BGG253" s="504"/>
      <c r="BGH253" s="504"/>
      <c r="BGI253" s="504"/>
      <c r="BGJ253" s="504"/>
      <c r="BGK253" s="504"/>
      <c r="BGL253" s="504"/>
      <c r="BGM253" s="504"/>
      <c r="BGN253" s="504"/>
      <c r="BGO253" s="504"/>
      <c r="BGP253" s="504"/>
      <c r="BGQ253" s="504"/>
      <c r="BGR253" s="504"/>
      <c r="BGS253" s="504"/>
      <c r="BGT253" s="504"/>
      <c r="BGU253" s="504"/>
      <c r="BGV253" s="504"/>
      <c r="BGW253" s="504"/>
      <c r="BGX253" s="504"/>
      <c r="BGY253" s="504"/>
      <c r="BGZ253" s="504"/>
      <c r="BHA253" s="504"/>
      <c r="BHB253" s="504"/>
      <c r="BHC253" s="504"/>
      <c r="BHD253" s="504"/>
      <c r="BHE253" s="504"/>
      <c r="BHF253" s="504"/>
      <c r="BHG253" s="504"/>
      <c r="BHH253" s="504"/>
      <c r="BHI253" s="504"/>
      <c r="BHJ253" s="504"/>
      <c r="BHK253" s="504"/>
      <c r="BHL253" s="504"/>
      <c r="BHM253" s="504"/>
      <c r="BHN253" s="504"/>
      <c r="BHO253" s="504"/>
      <c r="BHP253" s="504"/>
      <c r="BHQ253" s="504"/>
      <c r="BHR253" s="504"/>
      <c r="BHS253" s="504"/>
      <c r="BHT253" s="504"/>
      <c r="BHU253" s="504"/>
      <c r="BHV253" s="504"/>
      <c r="BHW253" s="504"/>
      <c r="BHX253" s="504"/>
      <c r="BHY253" s="504"/>
      <c r="BHZ253" s="504"/>
      <c r="BIA253" s="504"/>
      <c r="BIB253" s="504"/>
      <c r="BIC253" s="504"/>
      <c r="BID253" s="504"/>
      <c r="BIE253" s="504"/>
      <c r="BIF253" s="504"/>
      <c r="BIG253" s="504"/>
      <c r="BIH253" s="504"/>
      <c r="BII253" s="504"/>
      <c r="BIJ253" s="504"/>
      <c r="BIK253" s="504"/>
      <c r="BIL253" s="504"/>
      <c r="BIM253" s="504"/>
      <c r="BIN253" s="504"/>
      <c r="BIO253" s="504"/>
      <c r="BIP253" s="504"/>
      <c r="BIQ253" s="504"/>
      <c r="BIR253" s="504"/>
      <c r="BIS253" s="504"/>
      <c r="BIT253" s="504"/>
      <c r="BIU253" s="504"/>
      <c r="BIV253" s="504"/>
      <c r="BIW253" s="504"/>
      <c r="BIX253" s="504"/>
      <c r="BIY253" s="504"/>
      <c r="BIZ253" s="504"/>
      <c r="BJA253" s="504"/>
      <c r="BJB253" s="504"/>
      <c r="BJC253" s="504"/>
      <c r="BJD253" s="504"/>
      <c r="BJE253" s="504"/>
      <c r="BJF253" s="504"/>
      <c r="BJG253" s="504"/>
      <c r="BJH253" s="504"/>
      <c r="BJI253" s="504"/>
      <c r="BJJ253" s="504"/>
      <c r="BJK253" s="504"/>
      <c r="BJL253" s="504"/>
      <c r="BJM253" s="504"/>
      <c r="BJN253" s="504"/>
      <c r="BJO253" s="504"/>
      <c r="BJP253" s="504"/>
      <c r="BJQ253" s="504"/>
      <c r="BJR253" s="504"/>
      <c r="BJS253" s="504"/>
      <c r="BJT253" s="504"/>
      <c r="BJU253" s="504"/>
      <c r="BJV253" s="504"/>
      <c r="BJW253" s="504"/>
      <c r="BJX253" s="504"/>
      <c r="BJY253" s="504"/>
      <c r="BJZ253" s="504"/>
      <c r="BKA253" s="504"/>
      <c r="BKB253" s="504"/>
      <c r="BKC253" s="504"/>
      <c r="BKD253" s="504"/>
      <c r="BKE253" s="504"/>
      <c r="BKF253" s="504"/>
      <c r="BKG253" s="504"/>
      <c r="BKH253" s="504"/>
      <c r="BKI253" s="504"/>
      <c r="BKJ253" s="504"/>
      <c r="BKK253" s="504"/>
      <c r="BKL253" s="504"/>
      <c r="BKM253" s="504"/>
      <c r="BKN253" s="504"/>
      <c r="BKO253" s="504"/>
      <c r="BKP253" s="504"/>
      <c r="BKQ253" s="504"/>
      <c r="BKR253" s="504"/>
      <c r="BKS253" s="504"/>
      <c r="BKT253" s="504"/>
      <c r="BKU253" s="504"/>
      <c r="BKV253" s="504"/>
      <c r="BKW253" s="504"/>
      <c r="BKX253" s="504"/>
      <c r="BKY253" s="504"/>
      <c r="BKZ253" s="504"/>
      <c r="BLA253" s="504"/>
      <c r="BLB253" s="504"/>
      <c r="BLC253" s="504"/>
      <c r="BLD253" s="504"/>
      <c r="BLE253" s="504"/>
      <c r="BLF253" s="504"/>
      <c r="BLG253" s="504"/>
      <c r="BLH253" s="504"/>
      <c r="BLI253" s="504"/>
      <c r="BLJ253" s="504"/>
      <c r="BLK253" s="504"/>
      <c r="BLL253" s="504"/>
      <c r="BLM253" s="504"/>
      <c r="BLN253" s="504"/>
      <c r="BLO253" s="504"/>
      <c r="BLP253" s="504"/>
      <c r="BLQ253" s="504"/>
      <c r="BLR253" s="504"/>
      <c r="BLS253" s="504"/>
      <c r="BLT253" s="504"/>
      <c r="BLU253" s="504"/>
      <c r="BLV253" s="504"/>
      <c r="BLW253" s="504"/>
      <c r="BLX253" s="504"/>
      <c r="BLY253" s="504"/>
      <c r="BLZ253" s="504"/>
      <c r="BMA253" s="504"/>
      <c r="BMB253" s="504"/>
      <c r="BMC253" s="504"/>
      <c r="BMD253" s="504"/>
      <c r="BME253" s="504"/>
      <c r="BMF253" s="504"/>
      <c r="BMG253" s="504"/>
      <c r="BMH253" s="504"/>
      <c r="BMI253" s="504"/>
      <c r="BMJ253" s="504"/>
      <c r="BMK253" s="504"/>
      <c r="BML253" s="504"/>
      <c r="BMM253" s="504"/>
      <c r="BMN253" s="504"/>
      <c r="BMO253" s="504"/>
      <c r="BMP253" s="504"/>
      <c r="BMQ253" s="504"/>
      <c r="BMR253" s="504"/>
      <c r="BMS253" s="504"/>
      <c r="BMT253" s="504"/>
      <c r="BMU253" s="504"/>
      <c r="BMV253" s="504"/>
      <c r="BMW253" s="504"/>
      <c r="BMX253" s="504"/>
      <c r="BMY253" s="504"/>
      <c r="BMZ253" s="504"/>
      <c r="BNA253" s="504"/>
      <c r="BNB253" s="504"/>
      <c r="BNC253" s="504"/>
      <c r="BND253" s="504"/>
      <c r="BNE253" s="504"/>
      <c r="BNF253" s="504"/>
      <c r="BNG253" s="504"/>
      <c r="BNH253" s="504"/>
      <c r="BNI253" s="504"/>
      <c r="BNJ253" s="504"/>
      <c r="BNK253" s="504"/>
      <c r="BNL253" s="504"/>
      <c r="BNM253" s="504"/>
      <c r="BNN253" s="504"/>
      <c r="BNO253" s="504"/>
      <c r="BNP253" s="504"/>
      <c r="BNQ253" s="504"/>
      <c r="BNR253" s="504"/>
      <c r="BNS253" s="504"/>
      <c r="BNT253" s="504"/>
      <c r="BNU253" s="504"/>
      <c r="BNV253" s="504"/>
      <c r="BNW253" s="504"/>
      <c r="BNX253" s="504"/>
      <c r="BNY253" s="504"/>
      <c r="BNZ253" s="504"/>
      <c r="BOA253" s="504"/>
      <c r="BOB253" s="504"/>
      <c r="BOC253" s="504"/>
      <c r="BOD253" s="504"/>
      <c r="BOE253" s="504"/>
      <c r="BOF253" s="504"/>
      <c r="BOG253" s="504"/>
      <c r="BOH253" s="504"/>
      <c r="BOI253" s="504"/>
      <c r="BOJ253" s="504"/>
      <c r="BOK253" s="504"/>
      <c r="BOL253" s="504"/>
      <c r="BOM253" s="504"/>
      <c r="BON253" s="504"/>
      <c r="BOO253" s="504"/>
      <c r="BOP253" s="504"/>
      <c r="BOQ253" s="504"/>
      <c r="BOR253" s="504"/>
      <c r="BOS253" s="504"/>
      <c r="BOT253" s="504"/>
      <c r="BOU253" s="504"/>
      <c r="BOV253" s="504"/>
      <c r="BOW253" s="504"/>
      <c r="BOX253" s="504"/>
      <c r="BOY253" s="504"/>
      <c r="BOZ253" s="504"/>
      <c r="BPA253" s="504"/>
      <c r="BPB253" s="504"/>
      <c r="BPC253" s="504"/>
      <c r="BPD253" s="504"/>
      <c r="BPE253" s="504"/>
      <c r="BPF253" s="504"/>
      <c r="BPG253" s="504"/>
      <c r="BPH253" s="504"/>
      <c r="BPI253" s="504"/>
      <c r="BPJ253" s="504"/>
      <c r="BPK253" s="504"/>
      <c r="BPL253" s="504"/>
      <c r="BPM253" s="504"/>
      <c r="BPN253" s="504"/>
      <c r="BPO253" s="504"/>
      <c r="BPP253" s="504"/>
      <c r="BPQ253" s="504"/>
      <c r="BPR253" s="504"/>
      <c r="BPS253" s="504"/>
      <c r="BPT253" s="504"/>
      <c r="BPU253" s="504"/>
      <c r="BPV253" s="504"/>
      <c r="BPW253" s="504"/>
      <c r="BPX253" s="504"/>
      <c r="BPY253" s="504"/>
      <c r="BPZ253" s="504"/>
      <c r="BQA253" s="504"/>
      <c r="BQB253" s="504"/>
      <c r="BQC253" s="504"/>
      <c r="BQD253" s="504"/>
      <c r="BQE253" s="504"/>
      <c r="BQF253" s="504"/>
      <c r="BQG253" s="504"/>
      <c r="BQH253" s="504"/>
      <c r="BQI253" s="504"/>
      <c r="BQJ253" s="504"/>
      <c r="BQK253" s="504"/>
      <c r="BQL253" s="504"/>
      <c r="BQM253" s="504"/>
      <c r="BQN253" s="504"/>
      <c r="BQO253" s="504"/>
      <c r="BQP253" s="504"/>
      <c r="BQQ253" s="504"/>
      <c r="BQR253" s="504"/>
      <c r="BQS253" s="504"/>
      <c r="BQT253" s="504"/>
      <c r="BQU253" s="504"/>
      <c r="BQV253" s="504"/>
      <c r="BQW253" s="504"/>
      <c r="BQX253" s="504"/>
      <c r="BQY253" s="504"/>
      <c r="BQZ253" s="504"/>
      <c r="BRA253" s="504"/>
      <c r="BRB253" s="504"/>
      <c r="BRC253" s="504"/>
      <c r="BRD253" s="504"/>
      <c r="BRE253" s="504"/>
      <c r="BRF253" s="504"/>
      <c r="BRG253" s="504"/>
      <c r="BRH253" s="504"/>
      <c r="BRI253" s="504"/>
      <c r="BRJ253" s="504"/>
      <c r="BRK253" s="504"/>
      <c r="BRL253" s="504"/>
      <c r="BRM253" s="504"/>
      <c r="BRN253" s="504"/>
      <c r="BRO253" s="504"/>
      <c r="BRP253" s="504"/>
      <c r="BRQ253" s="504"/>
      <c r="BRR253" s="504"/>
      <c r="BRS253" s="504"/>
      <c r="BRT253" s="504"/>
      <c r="BRU253" s="504"/>
      <c r="BRV253" s="504"/>
      <c r="BRW253" s="504"/>
      <c r="BRX253" s="504"/>
      <c r="BRY253" s="504"/>
      <c r="BRZ253" s="504"/>
      <c r="BSA253" s="504"/>
      <c r="BSB253" s="504"/>
      <c r="BSC253" s="504"/>
      <c r="BSD253" s="504"/>
      <c r="BSE253" s="504"/>
      <c r="BSF253" s="504"/>
      <c r="BSG253" s="504"/>
      <c r="BSH253" s="504"/>
      <c r="BSI253" s="504"/>
      <c r="BSJ253" s="504"/>
      <c r="BSK253" s="504"/>
      <c r="BSL253" s="504"/>
      <c r="BSM253" s="504"/>
      <c r="BSN253" s="504"/>
      <c r="BSO253" s="504"/>
      <c r="BSP253" s="504"/>
      <c r="BSQ253" s="504"/>
      <c r="BSR253" s="504"/>
      <c r="BSS253" s="504"/>
      <c r="BST253" s="504"/>
      <c r="BSU253" s="504"/>
      <c r="BSV253" s="504"/>
      <c r="BSW253" s="504"/>
      <c r="BSX253" s="504"/>
      <c r="BSY253" s="504"/>
      <c r="BSZ253" s="504"/>
      <c r="BTA253" s="504"/>
      <c r="BTB253" s="504"/>
      <c r="BTC253" s="504"/>
      <c r="BTD253" s="504"/>
      <c r="BTE253" s="504"/>
      <c r="BTF253" s="504"/>
      <c r="BTG253" s="504"/>
      <c r="BTH253" s="504"/>
      <c r="BTI253" s="504"/>
    </row>
    <row r="254" spans="1:1881" s="499" customFormat="1" ht="21.75" thickBot="1" x14ac:dyDescent="0.4">
      <c r="B254" s="961" t="s">
        <v>1252</v>
      </c>
      <c r="C254" s="962"/>
      <c r="D254" s="962"/>
      <c r="E254" s="963"/>
      <c r="F254" s="636"/>
      <c r="G254" s="583"/>
      <c r="H254" s="501"/>
      <c r="I254" s="423"/>
      <c r="J254" s="500"/>
      <c r="K254" s="500"/>
      <c r="L254" s="500"/>
      <c r="M254" s="500"/>
      <c r="N254"/>
      <c r="O254" s="500"/>
      <c r="P254" s="500"/>
      <c r="Q254" s="500"/>
      <c r="R254" s="500"/>
      <c r="S254" s="500"/>
      <c r="T254" s="500"/>
      <c r="U254" s="500"/>
      <c r="V254" s="500"/>
      <c r="W254" s="500"/>
      <c r="X254" s="500"/>
      <c r="Y254" s="500"/>
      <c r="Z254" s="500"/>
      <c r="AA254" s="500"/>
      <c r="AB254" s="500"/>
      <c r="AC254" s="500"/>
      <c r="AD254" s="500"/>
      <c r="AE254" s="500"/>
      <c r="AF254" s="500"/>
      <c r="AG254" s="500"/>
      <c r="AH254" s="500"/>
      <c r="AI254" s="500"/>
      <c r="AJ254" s="500"/>
      <c r="AK254" s="500"/>
      <c r="AL254" s="500"/>
      <c r="AM254" s="500"/>
      <c r="AN254" s="500"/>
      <c r="AO254" s="500"/>
      <c r="AP254" s="500"/>
      <c r="AQ254" s="500"/>
      <c r="AR254" s="500"/>
      <c r="AS254" s="500"/>
      <c r="AT254" s="500"/>
      <c r="AU254" s="500"/>
      <c r="AV254" s="500"/>
      <c r="AW254" s="500"/>
      <c r="AX254" s="500"/>
      <c r="AY254" s="500"/>
      <c r="AZ254" s="500"/>
      <c r="BA254" s="500"/>
      <c r="BB254" s="500"/>
      <c r="BC254" s="500"/>
      <c r="BD254" s="500"/>
      <c r="BE254" s="500"/>
      <c r="BF254" s="500"/>
      <c r="BG254" s="500"/>
      <c r="BH254" s="500"/>
      <c r="BI254" s="500"/>
      <c r="BJ254" s="500"/>
      <c r="BK254" s="500"/>
      <c r="BL254" s="500"/>
      <c r="BM254" s="500"/>
      <c r="BN254" s="500"/>
      <c r="BO254" s="500"/>
      <c r="BP254" s="500"/>
      <c r="BQ254" s="500"/>
      <c r="BR254" s="500"/>
      <c r="BS254" s="500"/>
      <c r="BT254" s="500"/>
      <c r="BU254" s="500"/>
      <c r="BV254" s="500"/>
      <c r="BW254" s="500"/>
      <c r="BX254" s="500"/>
      <c r="BY254" s="500"/>
      <c r="BZ254" s="500"/>
      <c r="CA254" s="500"/>
      <c r="CB254" s="500"/>
      <c r="CC254" s="500"/>
      <c r="CD254" s="500"/>
      <c r="CE254" s="500"/>
      <c r="CF254" s="500"/>
      <c r="CG254" s="500"/>
      <c r="CH254" s="500"/>
      <c r="CI254" s="500"/>
      <c r="CJ254" s="500"/>
      <c r="CK254" s="500"/>
      <c r="CL254" s="500"/>
      <c r="CM254" s="500"/>
      <c r="CN254" s="500"/>
      <c r="CO254" s="500"/>
      <c r="CP254" s="500"/>
      <c r="CQ254" s="500"/>
      <c r="CR254" s="500"/>
      <c r="CS254" s="500"/>
      <c r="CT254" s="500"/>
      <c r="CU254" s="500"/>
      <c r="CV254" s="500"/>
      <c r="CW254" s="500"/>
      <c r="CX254" s="500"/>
      <c r="CY254" s="500"/>
      <c r="CZ254" s="500"/>
      <c r="DA254" s="500"/>
      <c r="DB254" s="500"/>
      <c r="DC254" s="500"/>
      <c r="DD254" s="500"/>
      <c r="DE254" s="500"/>
      <c r="DF254" s="500"/>
      <c r="DG254" s="500"/>
      <c r="DH254" s="500"/>
      <c r="DI254" s="500"/>
      <c r="DJ254" s="500"/>
      <c r="DK254" s="500"/>
      <c r="DL254" s="500"/>
      <c r="DM254" s="500"/>
      <c r="DN254" s="500"/>
      <c r="DO254" s="500"/>
      <c r="DP254" s="500"/>
      <c r="DQ254" s="500"/>
      <c r="DR254" s="500"/>
      <c r="DS254" s="500"/>
      <c r="DT254" s="500"/>
      <c r="DU254" s="500"/>
      <c r="DV254" s="500"/>
      <c r="DW254" s="500"/>
      <c r="DX254" s="500"/>
      <c r="DY254" s="500"/>
      <c r="DZ254" s="500"/>
      <c r="EA254" s="500"/>
      <c r="EB254" s="500"/>
      <c r="EC254" s="500"/>
      <c r="ED254" s="500"/>
      <c r="EE254" s="500"/>
      <c r="EF254" s="500"/>
      <c r="EG254" s="500"/>
      <c r="EH254" s="500"/>
      <c r="EI254" s="500"/>
      <c r="EJ254" s="500"/>
      <c r="EK254" s="500"/>
      <c r="EL254" s="500"/>
      <c r="EM254" s="500"/>
      <c r="EN254" s="500"/>
      <c r="EO254" s="500"/>
      <c r="EP254" s="500"/>
      <c r="EQ254" s="500"/>
      <c r="ER254" s="500"/>
      <c r="ES254" s="500"/>
      <c r="ET254" s="500"/>
      <c r="EU254" s="500"/>
      <c r="EV254" s="500"/>
      <c r="EW254" s="500"/>
      <c r="EX254" s="500"/>
      <c r="EY254" s="500"/>
      <c r="EZ254" s="500"/>
      <c r="FA254" s="500"/>
      <c r="FB254" s="500"/>
      <c r="FC254" s="500"/>
      <c r="FD254" s="500"/>
      <c r="FE254" s="500"/>
      <c r="FF254" s="500"/>
      <c r="FG254" s="500"/>
      <c r="FH254" s="500"/>
      <c r="FI254" s="500"/>
      <c r="FJ254" s="500"/>
      <c r="FK254" s="500"/>
      <c r="FL254" s="500"/>
      <c r="FM254" s="500"/>
      <c r="FN254" s="500"/>
      <c r="FO254" s="500"/>
      <c r="FP254" s="500"/>
      <c r="FQ254" s="500"/>
      <c r="FR254" s="500"/>
      <c r="FS254" s="500"/>
      <c r="FT254" s="500"/>
      <c r="FU254" s="500"/>
      <c r="FV254" s="500"/>
      <c r="FW254" s="500"/>
      <c r="FX254" s="500"/>
      <c r="FY254" s="500"/>
      <c r="FZ254" s="500"/>
      <c r="GA254" s="500"/>
      <c r="GB254" s="500"/>
      <c r="GC254" s="500"/>
      <c r="GD254" s="500"/>
      <c r="GE254" s="500"/>
      <c r="GF254" s="500"/>
      <c r="GG254" s="500"/>
      <c r="GH254" s="500"/>
      <c r="GI254" s="500"/>
      <c r="GJ254" s="500"/>
      <c r="GK254" s="500"/>
      <c r="GL254" s="500"/>
      <c r="GM254" s="500"/>
      <c r="GN254" s="500"/>
      <c r="GO254" s="500"/>
      <c r="GP254" s="500"/>
      <c r="GQ254" s="500"/>
      <c r="GR254" s="500"/>
      <c r="GS254" s="500"/>
      <c r="GT254" s="500"/>
      <c r="GU254" s="500"/>
      <c r="GV254" s="500"/>
      <c r="GW254" s="500"/>
      <c r="GX254" s="500"/>
      <c r="GY254" s="500"/>
      <c r="GZ254" s="500"/>
      <c r="HA254" s="500"/>
      <c r="HB254" s="500"/>
      <c r="HC254" s="500"/>
      <c r="HD254" s="500"/>
      <c r="HE254" s="500"/>
      <c r="HF254" s="500"/>
      <c r="HG254" s="500"/>
      <c r="HH254" s="500"/>
      <c r="HI254" s="500"/>
      <c r="HJ254" s="500"/>
      <c r="HK254" s="500"/>
      <c r="HL254" s="500"/>
      <c r="HM254" s="500"/>
      <c r="HN254" s="500"/>
      <c r="HO254" s="500"/>
      <c r="HP254" s="500"/>
      <c r="HQ254" s="500"/>
      <c r="HR254" s="500"/>
      <c r="HS254" s="500"/>
      <c r="HT254" s="500"/>
      <c r="HU254" s="500"/>
      <c r="HV254" s="500"/>
      <c r="HW254" s="500"/>
      <c r="HX254" s="500"/>
      <c r="HY254" s="500"/>
      <c r="HZ254" s="500"/>
      <c r="IA254" s="500"/>
      <c r="IB254" s="500"/>
      <c r="IC254" s="500"/>
      <c r="ID254" s="500"/>
      <c r="IE254" s="500"/>
      <c r="IF254" s="500"/>
      <c r="IG254" s="500"/>
      <c r="IH254" s="500"/>
      <c r="II254" s="500"/>
      <c r="IJ254" s="500"/>
      <c r="IK254" s="500"/>
      <c r="IL254" s="500"/>
      <c r="IM254" s="500"/>
      <c r="IN254" s="500"/>
      <c r="IO254" s="500"/>
      <c r="IP254" s="500"/>
      <c r="IQ254" s="500"/>
      <c r="IR254" s="500"/>
      <c r="IS254" s="500"/>
      <c r="IT254" s="500"/>
      <c r="IU254" s="500"/>
      <c r="IV254" s="500"/>
      <c r="IW254" s="500"/>
      <c r="IX254" s="500"/>
      <c r="IY254" s="500"/>
      <c r="IZ254" s="500"/>
      <c r="JA254" s="500"/>
      <c r="JB254" s="500"/>
      <c r="JC254" s="500"/>
      <c r="JD254" s="500"/>
      <c r="JE254" s="500"/>
      <c r="JF254" s="500"/>
      <c r="JG254" s="500"/>
      <c r="JH254" s="500"/>
      <c r="JI254" s="500"/>
      <c r="JJ254" s="500"/>
      <c r="JK254" s="500"/>
      <c r="JL254" s="500"/>
      <c r="JM254" s="500"/>
      <c r="JN254" s="500"/>
      <c r="JO254" s="500"/>
      <c r="JP254" s="500"/>
      <c r="JQ254" s="500"/>
      <c r="JR254" s="500"/>
      <c r="JS254" s="500"/>
      <c r="JT254" s="500"/>
      <c r="JU254" s="500"/>
      <c r="JV254" s="500"/>
      <c r="JW254" s="500"/>
      <c r="JX254" s="500"/>
      <c r="JY254" s="500"/>
      <c r="JZ254" s="500"/>
      <c r="KA254" s="500"/>
      <c r="KB254" s="500"/>
      <c r="KC254" s="500"/>
      <c r="KD254" s="500"/>
      <c r="KE254" s="500"/>
      <c r="KF254" s="500"/>
      <c r="KG254" s="500"/>
      <c r="KH254" s="500"/>
      <c r="KI254" s="500"/>
      <c r="KJ254" s="500"/>
      <c r="KK254" s="500"/>
      <c r="KL254" s="500"/>
      <c r="KM254" s="500"/>
      <c r="KN254" s="500"/>
      <c r="KO254" s="500"/>
      <c r="KP254" s="500"/>
      <c r="KQ254" s="500"/>
      <c r="KR254" s="500"/>
      <c r="KS254" s="500"/>
      <c r="KT254" s="500"/>
      <c r="KU254" s="500"/>
      <c r="KV254" s="500"/>
      <c r="KW254" s="500"/>
      <c r="KX254" s="500"/>
      <c r="KY254" s="500"/>
      <c r="KZ254" s="500"/>
      <c r="LA254" s="500"/>
      <c r="LB254" s="500"/>
      <c r="LC254" s="500"/>
      <c r="LD254" s="500"/>
      <c r="LE254" s="500"/>
      <c r="LF254" s="500"/>
      <c r="LG254" s="500"/>
      <c r="LH254" s="500"/>
      <c r="LI254" s="500"/>
      <c r="LJ254" s="500"/>
      <c r="LK254" s="500"/>
      <c r="LL254" s="500"/>
      <c r="LM254" s="500"/>
      <c r="LN254" s="500"/>
      <c r="LO254" s="500"/>
      <c r="LP254" s="500"/>
      <c r="LQ254" s="500"/>
      <c r="LR254" s="500"/>
      <c r="LS254" s="500"/>
      <c r="LT254" s="500"/>
      <c r="LU254" s="500"/>
      <c r="LV254" s="500"/>
      <c r="LW254" s="500"/>
      <c r="LX254" s="500"/>
      <c r="LY254" s="500"/>
      <c r="LZ254" s="500"/>
      <c r="MA254" s="500"/>
      <c r="MB254" s="500"/>
      <c r="MC254" s="500"/>
      <c r="MD254" s="500"/>
      <c r="ME254" s="500"/>
      <c r="MF254" s="500"/>
      <c r="MG254" s="500"/>
      <c r="MH254" s="500"/>
      <c r="MI254" s="500"/>
      <c r="MJ254" s="500"/>
      <c r="MK254" s="500"/>
      <c r="ML254" s="500"/>
      <c r="MM254" s="500"/>
      <c r="MN254" s="500"/>
      <c r="MO254" s="500"/>
      <c r="MP254" s="500"/>
      <c r="MQ254" s="500"/>
      <c r="MR254" s="500"/>
      <c r="MS254" s="500"/>
      <c r="MT254" s="500"/>
      <c r="MU254" s="500"/>
      <c r="MV254" s="500"/>
      <c r="MW254" s="500"/>
      <c r="MX254" s="500"/>
      <c r="MY254" s="500"/>
      <c r="MZ254" s="500"/>
      <c r="NA254" s="500"/>
      <c r="NB254" s="500"/>
      <c r="NC254" s="500"/>
      <c r="ND254" s="500"/>
      <c r="NE254" s="500"/>
      <c r="NF254" s="500"/>
      <c r="NG254" s="500"/>
      <c r="NH254" s="500"/>
      <c r="NI254" s="500"/>
      <c r="NJ254" s="500"/>
      <c r="NK254" s="500"/>
      <c r="NL254" s="500"/>
      <c r="NM254" s="500"/>
      <c r="NN254" s="500"/>
      <c r="NO254" s="500"/>
      <c r="NP254" s="500"/>
      <c r="NQ254" s="500"/>
      <c r="NR254" s="500"/>
      <c r="NS254" s="500"/>
      <c r="NT254" s="500"/>
      <c r="NU254" s="500"/>
      <c r="NV254" s="500"/>
      <c r="NW254" s="500"/>
      <c r="NX254" s="500"/>
      <c r="NY254" s="500"/>
      <c r="NZ254" s="500"/>
      <c r="OA254" s="500"/>
      <c r="OB254" s="500"/>
      <c r="OC254" s="500"/>
      <c r="OD254" s="500"/>
      <c r="OE254" s="500"/>
      <c r="OF254" s="500"/>
      <c r="OG254" s="500"/>
      <c r="OH254" s="500"/>
      <c r="OI254" s="500"/>
      <c r="OJ254" s="500"/>
      <c r="OK254" s="500"/>
      <c r="OL254" s="500"/>
      <c r="OM254" s="500"/>
      <c r="ON254" s="500"/>
      <c r="OO254" s="500"/>
      <c r="OP254" s="500"/>
      <c r="OQ254" s="500"/>
      <c r="OR254" s="500"/>
      <c r="OS254" s="500"/>
      <c r="OT254" s="500"/>
      <c r="OU254" s="500"/>
      <c r="OV254" s="500"/>
      <c r="OW254" s="500"/>
      <c r="OX254" s="500"/>
      <c r="OY254" s="500"/>
      <c r="OZ254" s="500"/>
      <c r="PA254" s="500"/>
      <c r="PB254" s="500"/>
      <c r="PC254" s="500"/>
      <c r="PD254" s="500"/>
      <c r="PE254" s="500"/>
      <c r="PF254" s="500"/>
      <c r="PG254" s="500"/>
      <c r="PH254" s="500"/>
      <c r="PI254" s="500"/>
      <c r="PJ254" s="500"/>
      <c r="PK254" s="500"/>
      <c r="PL254" s="500"/>
      <c r="PM254" s="500"/>
      <c r="PN254" s="500"/>
      <c r="PO254" s="500"/>
      <c r="PP254" s="500"/>
      <c r="PQ254" s="500"/>
      <c r="PR254" s="500"/>
      <c r="PS254" s="500"/>
      <c r="PT254" s="500"/>
      <c r="PU254" s="500"/>
      <c r="PV254" s="500"/>
      <c r="PW254" s="500"/>
      <c r="PX254" s="500"/>
      <c r="PY254" s="500"/>
      <c r="PZ254" s="500"/>
      <c r="QA254" s="500"/>
      <c r="QB254" s="500"/>
      <c r="QC254" s="500"/>
      <c r="QD254" s="500"/>
      <c r="QE254" s="500"/>
      <c r="QF254" s="500"/>
      <c r="QG254" s="500"/>
      <c r="QH254" s="500"/>
      <c r="QI254" s="500"/>
      <c r="QJ254" s="500"/>
      <c r="QK254" s="500"/>
      <c r="QL254" s="500"/>
      <c r="QM254" s="500"/>
      <c r="QN254" s="500"/>
      <c r="QO254" s="500"/>
      <c r="QP254" s="500"/>
      <c r="QQ254" s="500"/>
      <c r="QR254" s="500"/>
      <c r="QS254" s="500"/>
      <c r="QT254" s="500"/>
      <c r="QU254" s="500"/>
      <c r="QV254" s="500"/>
      <c r="QW254" s="500"/>
      <c r="QX254" s="500"/>
      <c r="QY254" s="500"/>
      <c r="QZ254" s="500"/>
      <c r="RA254" s="500"/>
      <c r="RB254" s="500"/>
      <c r="RC254" s="500"/>
      <c r="RD254" s="500"/>
      <c r="RE254" s="500"/>
      <c r="RF254" s="500"/>
      <c r="RG254" s="500"/>
      <c r="RH254" s="500"/>
      <c r="RI254" s="500"/>
      <c r="RJ254" s="500"/>
      <c r="RK254" s="500"/>
      <c r="RL254" s="500"/>
      <c r="RM254" s="500"/>
      <c r="RN254" s="500"/>
      <c r="RO254" s="500"/>
      <c r="RP254" s="500"/>
      <c r="RQ254" s="500"/>
      <c r="RR254" s="500"/>
      <c r="RS254" s="500"/>
      <c r="RT254" s="500"/>
      <c r="RU254" s="500"/>
      <c r="RV254" s="500"/>
      <c r="RW254" s="500"/>
      <c r="RX254" s="500"/>
      <c r="RY254" s="500"/>
      <c r="RZ254" s="500"/>
      <c r="SA254" s="500"/>
      <c r="SB254" s="500"/>
      <c r="SC254" s="500"/>
      <c r="SD254" s="500"/>
      <c r="SE254" s="500"/>
      <c r="SF254" s="500"/>
      <c r="SG254" s="500"/>
      <c r="SH254" s="500"/>
      <c r="SI254" s="500"/>
      <c r="SJ254" s="500"/>
      <c r="SK254" s="500"/>
      <c r="SL254" s="500"/>
      <c r="SM254" s="500"/>
      <c r="SN254" s="500"/>
      <c r="SO254" s="500"/>
      <c r="SP254" s="500"/>
      <c r="SQ254" s="500"/>
      <c r="SR254" s="500"/>
      <c r="SS254" s="500"/>
      <c r="ST254" s="500"/>
      <c r="SU254" s="500"/>
      <c r="SV254" s="500"/>
      <c r="SW254" s="500"/>
      <c r="SX254" s="500"/>
      <c r="SY254" s="500"/>
      <c r="SZ254" s="500"/>
      <c r="TA254" s="500"/>
      <c r="TB254" s="500"/>
      <c r="TC254" s="500"/>
      <c r="TD254" s="500"/>
      <c r="TE254" s="500"/>
      <c r="TF254" s="500"/>
      <c r="TG254" s="500"/>
      <c r="TH254" s="500"/>
      <c r="TI254" s="500"/>
      <c r="TJ254" s="500"/>
      <c r="TK254" s="500"/>
      <c r="TL254" s="500"/>
      <c r="TM254" s="500"/>
      <c r="TN254" s="500"/>
      <c r="TO254" s="500"/>
      <c r="TP254" s="500"/>
      <c r="TQ254" s="500"/>
      <c r="TR254" s="500"/>
      <c r="TS254" s="500"/>
      <c r="TT254" s="500"/>
      <c r="TU254" s="500"/>
      <c r="TV254" s="500"/>
      <c r="TW254" s="500"/>
      <c r="TX254" s="500"/>
      <c r="TY254" s="500"/>
      <c r="TZ254" s="500"/>
      <c r="UA254" s="500"/>
      <c r="UB254" s="500"/>
      <c r="UC254" s="500"/>
      <c r="UD254" s="500"/>
      <c r="UE254" s="500"/>
      <c r="UF254" s="500"/>
      <c r="UG254" s="500"/>
      <c r="UH254" s="500"/>
      <c r="UI254" s="500"/>
      <c r="UJ254" s="500"/>
      <c r="UK254" s="500"/>
      <c r="UL254" s="500"/>
      <c r="UM254" s="500"/>
      <c r="UN254" s="500"/>
      <c r="UO254" s="500"/>
      <c r="UP254" s="500"/>
      <c r="UQ254" s="500"/>
      <c r="UR254" s="500"/>
      <c r="US254" s="500"/>
      <c r="UT254" s="500"/>
      <c r="UU254" s="500"/>
      <c r="UV254" s="500"/>
      <c r="UW254" s="500"/>
      <c r="UX254" s="500"/>
      <c r="UY254" s="500"/>
      <c r="UZ254" s="500"/>
      <c r="VA254" s="500"/>
      <c r="VB254" s="500"/>
      <c r="VC254" s="500"/>
      <c r="VD254" s="500"/>
      <c r="VE254" s="500"/>
      <c r="VF254" s="500"/>
      <c r="VG254" s="500"/>
      <c r="VH254" s="500"/>
      <c r="VI254" s="500"/>
      <c r="VJ254" s="500"/>
      <c r="VK254" s="500"/>
      <c r="VL254" s="500"/>
      <c r="VM254" s="500"/>
      <c r="VN254" s="500"/>
      <c r="VO254" s="500"/>
      <c r="VP254" s="500"/>
      <c r="VQ254" s="500"/>
      <c r="VR254" s="500"/>
      <c r="VS254" s="500"/>
      <c r="VT254" s="500"/>
      <c r="VU254" s="500"/>
      <c r="VV254" s="500"/>
      <c r="VW254" s="500"/>
      <c r="VX254" s="500"/>
      <c r="VY254" s="500"/>
      <c r="VZ254" s="500"/>
      <c r="WA254" s="500"/>
      <c r="WB254" s="500"/>
      <c r="WC254" s="500"/>
      <c r="WD254" s="500"/>
      <c r="WE254" s="500"/>
      <c r="WF254" s="500"/>
      <c r="WG254" s="500"/>
      <c r="WH254" s="500"/>
      <c r="WI254" s="500"/>
      <c r="WJ254" s="500"/>
      <c r="WK254" s="500"/>
      <c r="WL254" s="500"/>
      <c r="WM254" s="500"/>
      <c r="WN254" s="500"/>
      <c r="WO254" s="500"/>
      <c r="WP254" s="500"/>
      <c r="WQ254" s="500"/>
      <c r="WR254" s="500"/>
      <c r="WS254" s="500"/>
      <c r="WT254" s="500"/>
      <c r="WU254" s="500"/>
      <c r="WV254" s="500"/>
      <c r="WW254" s="500"/>
      <c r="WX254" s="500"/>
      <c r="WY254" s="500"/>
      <c r="WZ254" s="500"/>
      <c r="XA254" s="500"/>
      <c r="XB254" s="500"/>
      <c r="XC254" s="500"/>
      <c r="XD254" s="500"/>
      <c r="XE254" s="500"/>
      <c r="XF254" s="500"/>
      <c r="XG254" s="500"/>
      <c r="XH254" s="500"/>
      <c r="XI254" s="500"/>
      <c r="XJ254" s="500"/>
      <c r="XK254" s="500"/>
      <c r="XL254" s="500"/>
      <c r="XM254" s="500"/>
      <c r="XN254" s="500"/>
      <c r="XO254" s="500"/>
      <c r="XP254" s="500"/>
      <c r="XQ254" s="500"/>
      <c r="XR254" s="500"/>
      <c r="XS254" s="500"/>
      <c r="XT254" s="500"/>
      <c r="XU254" s="500"/>
      <c r="XV254" s="500"/>
      <c r="XW254" s="500"/>
      <c r="XX254" s="500"/>
      <c r="XY254" s="500"/>
      <c r="XZ254" s="500"/>
      <c r="YA254" s="500"/>
      <c r="YB254" s="500"/>
      <c r="YC254" s="500"/>
      <c r="YD254" s="500"/>
      <c r="YE254" s="500"/>
      <c r="YF254" s="500"/>
      <c r="YG254" s="500"/>
      <c r="YH254" s="500"/>
      <c r="YI254" s="500"/>
      <c r="YJ254" s="500"/>
      <c r="YK254" s="500"/>
      <c r="YL254" s="500"/>
      <c r="YM254" s="500"/>
      <c r="YN254" s="500"/>
      <c r="YO254" s="500"/>
      <c r="YP254" s="500"/>
      <c r="YQ254" s="500"/>
      <c r="YR254" s="500"/>
      <c r="YS254" s="500"/>
      <c r="YT254" s="500"/>
      <c r="YU254" s="500"/>
      <c r="YV254" s="500"/>
      <c r="YW254" s="500"/>
      <c r="YX254" s="500"/>
      <c r="YY254" s="500"/>
      <c r="YZ254" s="500"/>
      <c r="ZA254" s="500"/>
      <c r="ZB254" s="500"/>
      <c r="ZC254" s="500"/>
      <c r="ZD254" s="500"/>
      <c r="ZE254" s="500"/>
      <c r="ZF254" s="500"/>
      <c r="ZG254" s="500"/>
      <c r="ZH254" s="500"/>
      <c r="ZI254" s="500"/>
      <c r="ZJ254" s="500"/>
      <c r="ZK254" s="500"/>
      <c r="ZL254" s="500"/>
      <c r="ZM254" s="500"/>
      <c r="ZN254" s="500"/>
      <c r="ZO254" s="500"/>
      <c r="ZP254" s="500"/>
      <c r="ZQ254" s="500"/>
      <c r="ZR254" s="500"/>
      <c r="ZS254" s="500"/>
      <c r="ZT254" s="500"/>
      <c r="ZU254" s="500"/>
      <c r="ZV254" s="500"/>
      <c r="ZW254" s="500"/>
      <c r="ZX254" s="500"/>
      <c r="ZY254" s="500"/>
      <c r="ZZ254" s="500"/>
      <c r="AAA254" s="500"/>
      <c r="AAB254" s="500"/>
      <c r="AAC254" s="500"/>
      <c r="AAD254" s="500"/>
      <c r="AAE254" s="500"/>
      <c r="AAF254" s="500"/>
      <c r="AAG254" s="500"/>
      <c r="AAH254" s="500"/>
      <c r="AAI254" s="500"/>
      <c r="AAJ254" s="500"/>
      <c r="AAK254" s="500"/>
      <c r="AAL254" s="500"/>
      <c r="AAM254" s="500"/>
      <c r="AAN254" s="500"/>
      <c r="AAO254" s="500"/>
      <c r="AAP254" s="500"/>
      <c r="AAQ254" s="500"/>
      <c r="AAR254" s="500"/>
      <c r="AAS254" s="500"/>
      <c r="AAT254" s="500"/>
      <c r="AAU254" s="500"/>
      <c r="AAV254" s="500"/>
      <c r="AAW254" s="500"/>
      <c r="AAX254" s="500"/>
      <c r="AAY254" s="500"/>
      <c r="AAZ254" s="500"/>
      <c r="ABA254" s="500"/>
      <c r="ABB254" s="500"/>
      <c r="ABC254" s="500"/>
      <c r="ABD254" s="500"/>
      <c r="ABE254" s="500"/>
      <c r="ABF254" s="500"/>
      <c r="ABG254" s="500"/>
      <c r="ABH254" s="500"/>
      <c r="ABI254" s="500"/>
      <c r="ABJ254" s="500"/>
      <c r="ABK254" s="500"/>
      <c r="ABL254" s="500"/>
      <c r="ABM254" s="500"/>
      <c r="ABN254" s="500"/>
      <c r="ABO254" s="500"/>
      <c r="ABP254" s="500"/>
      <c r="ABQ254" s="500"/>
      <c r="ABR254" s="500"/>
      <c r="ABS254" s="500"/>
      <c r="ABT254" s="500"/>
      <c r="ABU254" s="500"/>
      <c r="ABV254" s="500"/>
      <c r="ABW254" s="500"/>
      <c r="ABX254" s="500"/>
      <c r="ABY254" s="500"/>
      <c r="ABZ254" s="500"/>
      <c r="ACA254" s="500"/>
      <c r="ACB254" s="500"/>
      <c r="ACC254" s="500"/>
      <c r="ACD254" s="500"/>
      <c r="ACE254" s="500"/>
      <c r="ACF254" s="500"/>
      <c r="ACG254" s="500"/>
      <c r="ACH254" s="500"/>
      <c r="ACI254" s="500"/>
      <c r="ACJ254" s="500"/>
      <c r="ACK254" s="500"/>
      <c r="ACL254" s="500"/>
      <c r="ACM254" s="500"/>
      <c r="ACN254" s="500"/>
      <c r="ACO254" s="500"/>
      <c r="ACP254" s="500"/>
      <c r="ACQ254" s="500"/>
      <c r="ACR254" s="500"/>
      <c r="ACS254" s="500"/>
      <c r="ACT254" s="500"/>
      <c r="ACU254" s="500"/>
      <c r="ACV254" s="500"/>
      <c r="ACW254" s="500"/>
      <c r="ACX254" s="500"/>
      <c r="ACY254" s="500"/>
      <c r="ACZ254" s="500"/>
      <c r="ADA254" s="500"/>
      <c r="ADB254" s="500"/>
      <c r="ADC254" s="500"/>
      <c r="ADD254" s="500"/>
      <c r="ADE254" s="500"/>
      <c r="ADF254" s="500"/>
      <c r="ADG254" s="500"/>
      <c r="ADH254" s="500"/>
      <c r="ADI254" s="500"/>
      <c r="ADJ254" s="500"/>
      <c r="ADK254" s="500"/>
      <c r="ADL254" s="500"/>
      <c r="ADM254" s="500"/>
      <c r="ADN254" s="500"/>
      <c r="ADO254" s="500"/>
      <c r="ADP254" s="500"/>
      <c r="ADQ254" s="500"/>
      <c r="ADR254" s="500"/>
      <c r="ADS254" s="500"/>
      <c r="ADT254" s="500"/>
      <c r="ADU254" s="500"/>
      <c r="ADV254" s="500"/>
      <c r="ADW254" s="500"/>
      <c r="ADX254" s="500"/>
      <c r="ADY254" s="500"/>
      <c r="ADZ254" s="500"/>
      <c r="AEA254" s="500"/>
      <c r="AEB254" s="500"/>
      <c r="AEC254" s="500"/>
      <c r="AED254" s="500"/>
      <c r="AEE254" s="500"/>
      <c r="AEF254" s="500"/>
      <c r="AEG254" s="500"/>
      <c r="AEH254" s="500"/>
      <c r="AEI254" s="500"/>
      <c r="AEJ254" s="500"/>
      <c r="AEK254" s="500"/>
      <c r="AEL254" s="500"/>
      <c r="AEM254" s="500"/>
      <c r="AEN254" s="500"/>
      <c r="AEO254" s="500"/>
      <c r="AEP254" s="500"/>
      <c r="AEQ254" s="500"/>
      <c r="AER254" s="500"/>
      <c r="AES254" s="500"/>
      <c r="AET254" s="500"/>
      <c r="AEU254" s="500"/>
      <c r="AEV254" s="500"/>
      <c r="AEW254" s="500"/>
      <c r="AEX254" s="500"/>
      <c r="AEY254" s="500"/>
      <c r="AEZ254" s="500"/>
      <c r="AFA254" s="500"/>
      <c r="AFB254" s="500"/>
      <c r="AFC254" s="500"/>
      <c r="AFD254" s="500"/>
      <c r="AFE254" s="500"/>
      <c r="AFF254" s="500"/>
      <c r="AFG254" s="500"/>
      <c r="AFH254" s="500"/>
      <c r="AFI254" s="500"/>
      <c r="AFJ254" s="500"/>
      <c r="AFK254" s="500"/>
      <c r="AFL254" s="500"/>
      <c r="AFM254" s="500"/>
      <c r="AFN254" s="500"/>
      <c r="AFO254" s="500"/>
      <c r="AFP254" s="500"/>
      <c r="AFQ254" s="500"/>
      <c r="AFR254" s="500"/>
      <c r="AFS254" s="500"/>
      <c r="AFT254" s="500"/>
      <c r="AFU254" s="500"/>
      <c r="AFV254" s="500"/>
      <c r="AFW254" s="500"/>
      <c r="AFX254" s="500"/>
      <c r="AFY254" s="500"/>
      <c r="AFZ254" s="500"/>
      <c r="AGA254" s="500"/>
      <c r="AGB254" s="500"/>
      <c r="AGC254" s="500"/>
      <c r="AGD254" s="500"/>
      <c r="AGE254" s="500"/>
      <c r="AGF254" s="500"/>
      <c r="AGG254" s="500"/>
      <c r="AGH254" s="500"/>
      <c r="AGI254" s="500"/>
      <c r="AGJ254" s="500"/>
      <c r="AGK254" s="500"/>
      <c r="AGL254" s="500"/>
      <c r="AGM254" s="500"/>
      <c r="AGN254" s="500"/>
      <c r="AGO254" s="500"/>
      <c r="AGP254" s="500"/>
      <c r="AGQ254" s="500"/>
      <c r="AGR254" s="500"/>
      <c r="AGS254" s="500"/>
      <c r="AGT254" s="500"/>
      <c r="AGU254" s="500"/>
      <c r="AGV254" s="500"/>
      <c r="AGW254" s="500"/>
      <c r="AGX254" s="500"/>
      <c r="AGY254" s="500"/>
      <c r="AGZ254" s="500"/>
      <c r="AHA254" s="500"/>
      <c r="AHB254" s="500"/>
      <c r="AHC254" s="500"/>
      <c r="AHD254" s="500"/>
      <c r="AHE254" s="500"/>
      <c r="AHF254" s="500"/>
      <c r="AHG254" s="500"/>
      <c r="AHH254" s="500"/>
      <c r="AHI254" s="500"/>
      <c r="AHJ254" s="500"/>
      <c r="AHK254" s="500"/>
      <c r="AHL254" s="500"/>
      <c r="AHM254" s="500"/>
      <c r="AHN254" s="500"/>
      <c r="AHO254" s="500"/>
      <c r="AHP254" s="500"/>
      <c r="AHQ254" s="500"/>
      <c r="AHR254" s="500"/>
      <c r="AHS254" s="500"/>
      <c r="AHT254" s="500"/>
      <c r="AHU254" s="500"/>
      <c r="AHV254" s="500"/>
      <c r="AHW254" s="500"/>
      <c r="AHX254" s="500"/>
      <c r="AHY254" s="500"/>
      <c r="AHZ254" s="500"/>
      <c r="AIA254" s="500"/>
      <c r="AIB254" s="500"/>
      <c r="AIC254" s="500"/>
      <c r="AID254" s="500"/>
      <c r="AIE254" s="500"/>
      <c r="AIF254" s="500"/>
      <c r="AIG254" s="500"/>
      <c r="AIH254" s="500"/>
      <c r="AII254" s="500"/>
      <c r="AIJ254" s="500"/>
      <c r="AIK254" s="500"/>
      <c r="AIL254" s="500"/>
      <c r="AIM254" s="500"/>
      <c r="AIN254" s="500"/>
      <c r="AIO254" s="500"/>
      <c r="AIP254" s="500"/>
      <c r="AIQ254" s="500"/>
      <c r="AIR254" s="500"/>
      <c r="AIS254" s="500"/>
      <c r="AIT254" s="500"/>
      <c r="AIU254" s="500"/>
      <c r="AIV254" s="500"/>
      <c r="AIW254" s="500"/>
      <c r="AIX254" s="500"/>
      <c r="AIY254" s="500"/>
      <c r="AIZ254" s="500"/>
      <c r="AJA254" s="500"/>
      <c r="AJB254" s="500"/>
      <c r="AJC254" s="500"/>
      <c r="AJD254" s="500"/>
      <c r="AJE254" s="500"/>
      <c r="AJF254" s="500"/>
      <c r="AJG254" s="500"/>
      <c r="AJH254" s="500"/>
      <c r="AJI254" s="500"/>
      <c r="AJJ254" s="500"/>
      <c r="AJK254" s="500"/>
      <c r="AJL254" s="500"/>
      <c r="AJM254" s="500"/>
      <c r="AJN254" s="500"/>
      <c r="AJO254" s="500"/>
      <c r="AJP254" s="500"/>
      <c r="AJQ254" s="500"/>
      <c r="AJR254" s="500"/>
      <c r="AJS254" s="500"/>
      <c r="AJT254" s="500"/>
      <c r="AJU254" s="500"/>
      <c r="AJV254" s="500"/>
      <c r="AJW254" s="500"/>
      <c r="AJX254" s="500"/>
      <c r="AJY254" s="500"/>
      <c r="AJZ254" s="500"/>
      <c r="AKA254" s="500"/>
      <c r="AKB254" s="500"/>
      <c r="AKC254" s="500"/>
      <c r="AKD254" s="500"/>
      <c r="AKE254" s="500"/>
      <c r="AKF254" s="500"/>
      <c r="AKG254" s="500"/>
      <c r="AKH254" s="500"/>
      <c r="AKI254" s="500"/>
      <c r="AKJ254" s="500"/>
      <c r="AKK254" s="500"/>
      <c r="AKL254" s="500"/>
      <c r="AKM254" s="500"/>
      <c r="AKN254" s="500"/>
      <c r="AKO254" s="500"/>
      <c r="AKP254" s="500"/>
      <c r="AKQ254" s="500"/>
      <c r="AKR254" s="500"/>
      <c r="AKS254" s="500"/>
      <c r="AKT254" s="500"/>
      <c r="AKU254" s="500"/>
      <c r="AKV254" s="500"/>
      <c r="AKW254" s="500"/>
      <c r="AKX254" s="500"/>
      <c r="AKY254" s="500"/>
      <c r="AKZ254" s="500"/>
      <c r="ALA254" s="500"/>
      <c r="ALB254" s="500"/>
      <c r="ALC254" s="500"/>
      <c r="ALD254" s="500"/>
      <c r="ALE254" s="500"/>
      <c r="ALF254" s="500"/>
      <c r="ALG254" s="500"/>
      <c r="ALH254" s="500"/>
      <c r="ALI254" s="500"/>
      <c r="ALJ254" s="500"/>
      <c r="ALK254" s="500"/>
      <c r="ALL254" s="500"/>
      <c r="ALM254" s="500"/>
      <c r="ALN254" s="500"/>
      <c r="ALO254" s="500"/>
      <c r="ALP254" s="500"/>
      <c r="ALQ254" s="500"/>
      <c r="ALR254" s="500"/>
      <c r="ALS254" s="500"/>
      <c r="ALT254" s="500"/>
      <c r="ALU254" s="500"/>
      <c r="ALV254" s="500"/>
      <c r="ALW254" s="500"/>
      <c r="ALX254" s="500"/>
      <c r="ALY254" s="500"/>
      <c r="ALZ254" s="500"/>
      <c r="AMA254" s="500"/>
      <c r="AMB254" s="500"/>
      <c r="AMC254" s="500"/>
      <c r="AMD254" s="500"/>
      <c r="AME254" s="500"/>
      <c r="AMF254" s="500"/>
      <c r="AMG254" s="500"/>
      <c r="AMH254" s="500"/>
      <c r="AMI254" s="500"/>
      <c r="AMJ254" s="500"/>
      <c r="AMK254" s="500"/>
      <c r="AML254" s="500"/>
      <c r="AMM254" s="500"/>
      <c r="AMN254" s="500"/>
      <c r="AMO254" s="500"/>
      <c r="AMP254" s="500"/>
      <c r="AMQ254" s="500"/>
      <c r="AMR254" s="500"/>
      <c r="AMS254" s="500"/>
      <c r="AMT254" s="500"/>
      <c r="AMU254" s="500"/>
      <c r="AMV254" s="500"/>
      <c r="AMW254" s="500"/>
      <c r="AMX254" s="500"/>
      <c r="AMY254" s="500"/>
      <c r="AMZ254" s="500"/>
      <c r="ANA254" s="500"/>
      <c r="ANB254" s="500"/>
      <c r="ANC254" s="500"/>
      <c r="AND254" s="500"/>
      <c r="ANE254" s="500"/>
      <c r="ANF254" s="500"/>
      <c r="ANG254" s="500"/>
      <c r="ANH254" s="500"/>
      <c r="ANI254" s="500"/>
      <c r="ANJ254" s="500"/>
      <c r="ANK254" s="500"/>
      <c r="ANL254" s="500"/>
      <c r="ANM254" s="500"/>
      <c r="ANN254" s="500"/>
      <c r="ANO254" s="500"/>
      <c r="ANP254" s="500"/>
      <c r="ANQ254" s="500"/>
      <c r="ANR254" s="500"/>
      <c r="ANS254" s="500"/>
      <c r="ANT254" s="500"/>
      <c r="ANU254" s="500"/>
      <c r="ANV254" s="500"/>
      <c r="ANW254" s="500"/>
      <c r="ANX254" s="500"/>
      <c r="ANY254" s="500"/>
      <c r="ANZ254" s="500"/>
      <c r="AOA254" s="500"/>
      <c r="AOB254" s="500"/>
      <c r="AOC254" s="500"/>
      <c r="AOD254" s="500"/>
      <c r="AOE254" s="500"/>
      <c r="AOF254" s="500"/>
      <c r="AOG254" s="500"/>
      <c r="AOH254" s="500"/>
      <c r="AOI254" s="500"/>
      <c r="AOJ254" s="500"/>
      <c r="AOK254" s="500"/>
      <c r="AOL254" s="500"/>
      <c r="AOM254" s="500"/>
      <c r="AON254" s="500"/>
      <c r="AOO254" s="500"/>
      <c r="AOP254" s="500"/>
      <c r="AOQ254" s="500"/>
      <c r="AOR254" s="500"/>
      <c r="AOS254" s="500"/>
      <c r="AOT254" s="500"/>
      <c r="AOU254" s="500"/>
      <c r="AOV254" s="500"/>
      <c r="AOW254" s="500"/>
      <c r="AOX254" s="500"/>
      <c r="AOY254" s="500"/>
      <c r="AOZ254" s="500"/>
      <c r="APA254" s="500"/>
      <c r="APB254" s="500"/>
      <c r="APC254" s="500"/>
      <c r="APD254" s="500"/>
      <c r="APE254" s="500"/>
      <c r="APF254" s="500"/>
      <c r="APG254" s="500"/>
      <c r="APH254" s="500"/>
      <c r="API254" s="500"/>
      <c r="APJ254" s="500"/>
      <c r="APK254" s="500"/>
      <c r="APL254" s="500"/>
      <c r="APM254" s="500"/>
      <c r="APN254" s="500"/>
      <c r="APO254" s="500"/>
      <c r="APP254" s="500"/>
      <c r="APQ254" s="500"/>
      <c r="APR254" s="500"/>
      <c r="APS254" s="500"/>
      <c r="APT254" s="500"/>
      <c r="APU254" s="500"/>
      <c r="APV254" s="500"/>
      <c r="APW254" s="500"/>
      <c r="APX254" s="500"/>
      <c r="APY254" s="500"/>
      <c r="APZ254" s="500"/>
      <c r="AQA254" s="500"/>
      <c r="AQB254" s="500"/>
      <c r="AQC254" s="500"/>
      <c r="AQD254" s="500"/>
      <c r="AQE254" s="500"/>
      <c r="AQF254" s="500"/>
      <c r="AQG254" s="500"/>
      <c r="AQH254" s="500"/>
      <c r="AQI254" s="500"/>
      <c r="AQJ254" s="500"/>
      <c r="AQK254" s="500"/>
      <c r="AQL254" s="500"/>
      <c r="AQM254" s="500"/>
      <c r="AQN254" s="500"/>
      <c r="AQO254" s="500"/>
      <c r="AQP254" s="500"/>
      <c r="AQQ254" s="500"/>
      <c r="AQR254" s="500"/>
      <c r="AQS254" s="500"/>
      <c r="AQT254" s="500"/>
      <c r="AQU254" s="500"/>
      <c r="AQV254" s="500"/>
      <c r="AQW254" s="500"/>
      <c r="AQX254" s="500"/>
      <c r="AQY254" s="500"/>
      <c r="AQZ254" s="500"/>
      <c r="ARA254" s="500"/>
      <c r="ARB254" s="500"/>
      <c r="ARC254" s="500"/>
      <c r="ARD254" s="500"/>
      <c r="ARE254" s="500"/>
      <c r="ARF254" s="500"/>
      <c r="ARG254" s="500"/>
      <c r="ARH254" s="500"/>
      <c r="ARI254" s="500"/>
      <c r="ARJ254" s="500"/>
      <c r="ARK254" s="500"/>
      <c r="ARL254" s="500"/>
      <c r="ARM254" s="500"/>
      <c r="ARN254" s="500"/>
      <c r="ARO254" s="500"/>
      <c r="ARP254" s="500"/>
      <c r="ARQ254" s="500"/>
      <c r="ARR254" s="500"/>
      <c r="ARS254" s="500"/>
      <c r="ART254" s="500"/>
      <c r="ARU254" s="500"/>
      <c r="ARV254" s="500"/>
      <c r="ARW254" s="500"/>
      <c r="ARX254" s="500"/>
      <c r="ARY254" s="500"/>
      <c r="ARZ254" s="500"/>
      <c r="ASA254" s="500"/>
      <c r="ASB254" s="500"/>
      <c r="ASC254" s="500"/>
      <c r="ASD254" s="500"/>
      <c r="ASE254" s="500"/>
      <c r="ASF254" s="500"/>
      <c r="ASG254" s="500"/>
      <c r="ASH254" s="500"/>
      <c r="ASI254" s="500"/>
      <c r="ASJ254" s="500"/>
      <c r="ASK254" s="500"/>
      <c r="ASL254" s="500"/>
      <c r="ASM254" s="500"/>
      <c r="ASN254" s="500"/>
      <c r="ASO254" s="500"/>
      <c r="ASP254" s="500"/>
      <c r="ASQ254" s="500"/>
      <c r="ASR254" s="500"/>
      <c r="ASS254" s="500"/>
      <c r="AST254" s="500"/>
      <c r="ASU254" s="500"/>
      <c r="ASV254" s="500"/>
      <c r="ASW254" s="500"/>
      <c r="ASX254" s="500"/>
      <c r="ASY254" s="500"/>
      <c r="ASZ254" s="500"/>
      <c r="ATA254" s="500"/>
      <c r="ATB254" s="500"/>
      <c r="ATC254" s="500"/>
      <c r="ATD254" s="500"/>
      <c r="ATE254" s="500"/>
      <c r="ATF254" s="500"/>
      <c r="ATG254" s="500"/>
      <c r="ATH254" s="500"/>
      <c r="ATI254" s="500"/>
      <c r="ATJ254" s="500"/>
      <c r="ATK254" s="500"/>
      <c r="ATL254" s="500"/>
      <c r="ATM254" s="500"/>
      <c r="ATN254" s="500"/>
      <c r="ATO254" s="500"/>
      <c r="ATP254" s="500"/>
      <c r="ATQ254" s="500"/>
      <c r="ATR254" s="500"/>
      <c r="ATS254" s="500"/>
      <c r="ATT254" s="500"/>
      <c r="ATU254" s="500"/>
      <c r="ATV254" s="500"/>
      <c r="ATW254" s="500"/>
      <c r="ATX254" s="500"/>
      <c r="ATY254" s="500"/>
      <c r="ATZ254" s="500"/>
      <c r="AUA254" s="500"/>
      <c r="AUB254" s="500"/>
      <c r="AUC254" s="500"/>
      <c r="AUD254" s="500"/>
      <c r="AUE254" s="500"/>
      <c r="AUF254" s="500"/>
      <c r="AUG254" s="500"/>
      <c r="AUH254" s="500"/>
      <c r="AUI254" s="500"/>
      <c r="AUJ254" s="500"/>
      <c r="AUK254" s="500"/>
      <c r="AUL254" s="500"/>
      <c r="AUM254" s="500"/>
      <c r="AUN254" s="500"/>
      <c r="AUO254" s="500"/>
      <c r="AUP254" s="500"/>
      <c r="AUQ254" s="500"/>
      <c r="AUR254" s="500"/>
      <c r="AUS254" s="500"/>
      <c r="AUT254" s="500"/>
      <c r="AUU254" s="500"/>
      <c r="AUV254" s="500"/>
      <c r="AUW254" s="500"/>
      <c r="AUX254" s="500"/>
      <c r="AUY254" s="500"/>
      <c r="AUZ254" s="500"/>
      <c r="AVA254" s="500"/>
      <c r="AVB254" s="500"/>
      <c r="AVC254" s="500"/>
      <c r="AVD254" s="500"/>
      <c r="AVE254" s="500"/>
      <c r="AVF254" s="500"/>
      <c r="AVG254" s="500"/>
      <c r="AVH254" s="500"/>
      <c r="AVI254" s="500"/>
      <c r="AVJ254" s="500"/>
      <c r="AVK254" s="500"/>
      <c r="AVL254" s="500"/>
      <c r="AVM254" s="500"/>
      <c r="AVN254" s="500"/>
      <c r="AVO254" s="500"/>
      <c r="AVP254" s="500"/>
      <c r="AVQ254" s="500"/>
      <c r="AVR254" s="500"/>
      <c r="AVS254" s="500"/>
      <c r="AVT254" s="500"/>
      <c r="AVU254" s="500"/>
      <c r="AVV254" s="500"/>
      <c r="AVW254" s="500"/>
      <c r="AVX254" s="500"/>
      <c r="AVY254" s="500"/>
      <c r="AVZ254" s="500"/>
      <c r="AWA254" s="500"/>
      <c r="AWB254" s="500"/>
      <c r="AWC254" s="500"/>
      <c r="AWD254" s="500"/>
      <c r="AWE254" s="500"/>
      <c r="AWF254" s="500"/>
      <c r="AWG254" s="500"/>
      <c r="AWH254" s="500"/>
      <c r="AWI254" s="500"/>
      <c r="AWJ254" s="500"/>
      <c r="AWK254" s="500"/>
      <c r="AWL254" s="500"/>
      <c r="AWM254" s="500"/>
      <c r="AWN254" s="500"/>
      <c r="AWO254" s="500"/>
      <c r="AWP254" s="500"/>
      <c r="AWQ254" s="500"/>
      <c r="AWR254" s="500"/>
      <c r="AWS254" s="500"/>
      <c r="AWT254" s="500"/>
      <c r="AWU254" s="500"/>
      <c r="AWV254" s="500"/>
      <c r="AWW254" s="500"/>
      <c r="AWX254" s="500"/>
      <c r="AWY254" s="500"/>
      <c r="AWZ254" s="500"/>
      <c r="AXA254" s="500"/>
      <c r="AXB254" s="500"/>
      <c r="AXC254" s="500"/>
      <c r="AXD254" s="500"/>
      <c r="AXE254" s="500"/>
      <c r="AXF254" s="500"/>
      <c r="AXG254" s="500"/>
      <c r="AXH254" s="500"/>
      <c r="AXI254" s="500"/>
      <c r="AXJ254" s="500"/>
      <c r="AXK254" s="500"/>
      <c r="AXL254" s="500"/>
      <c r="AXM254" s="500"/>
      <c r="AXN254" s="500"/>
      <c r="AXO254" s="500"/>
      <c r="AXP254" s="500"/>
      <c r="AXQ254" s="500"/>
      <c r="AXR254" s="500"/>
      <c r="AXS254" s="500"/>
      <c r="AXT254" s="500"/>
      <c r="AXU254" s="500"/>
      <c r="AXV254" s="500"/>
      <c r="AXW254" s="500"/>
      <c r="AXX254" s="500"/>
      <c r="AXY254" s="500"/>
      <c r="AXZ254" s="500"/>
      <c r="AYA254" s="500"/>
      <c r="AYB254" s="500"/>
      <c r="AYC254" s="500"/>
      <c r="AYD254" s="500"/>
      <c r="AYE254" s="500"/>
      <c r="AYF254" s="500"/>
      <c r="AYG254" s="500"/>
      <c r="AYH254" s="500"/>
      <c r="AYI254" s="500"/>
      <c r="AYJ254" s="500"/>
      <c r="AYK254" s="500"/>
      <c r="AYL254" s="500"/>
      <c r="AYM254" s="500"/>
      <c r="AYN254" s="500"/>
      <c r="AYO254" s="500"/>
      <c r="AYP254" s="500"/>
      <c r="AYQ254" s="500"/>
      <c r="AYR254" s="500"/>
      <c r="AYS254" s="500"/>
      <c r="AYT254" s="500"/>
      <c r="AYU254" s="500"/>
      <c r="AYV254" s="500"/>
      <c r="AYW254" s="500"/>
      <c r="AYX254" s="500"/>
      <c r="AYY254" s="500"/>
      <c r="AYZ254" s="500"/>
      <c r="AZA254" s="500"/>
      <c r="AZB254" s="500"/>
      <c r="AZC254" s="500"/>
      <c r="AZD254" s="500"/>
      <c r="AZE254" s="500"/>
      <c r="AZF254" s="500"/>
      <c r="AZG254" s="500"/>
      <c r="AZH254" s="500"/>
      <c r="AZI254" s="500"/>
      <c r="AZJ254" s="500"/>
      <c r="AZK254" s="500"/>
      <c r="AZL254" s="500"/>
      <c r="AZM254" s="500"/>
      <c r="AZN254" s="500"/>
      <c r="AZO254" s="500"/>
      <c r="AZP254" s="500"/>
      <c r="AZQ254" s="500"/>
      <c r="AZR254" s="500"/>
      <c r="AZS254" s="500"/>
      <c r="AZT254" s="500"/>
      <c r="AZU254" s="500"/>
      <c r="AZV254" s="500"/>
      <c r="AZW254" s="500"/>
      <c r="AZX254" s="500"/>
      <c r="AZY254" s="500"/>
      <c r="AZZ254" s="500"/>
      <c r="BAA254" s="500"/>
      <c r="BAB254" s="500"/>
      <c r="BAC254" s="500"/>
      <c r="BAD254" s="500"/>
      <c r="BAE254" s="500"/>
      <c r="BAF254" s="500"/>
      <c r="BAG254" s="500"/>
      <c r="BAH254" s="500"/>
      <c r="BAI254" s="500"/>
      <c r="BAJ254" s="500"/>
      <c r="BAK254" s="500"/>
      <c r="BAL254" s="500"/>
      <c r="BAM254" s="500"/>
      <c r="BAN254" s="500"/>
      <c r="BAO254" s="500"/>
      <c r="BAP254" s="500"/>
      <c r="BAQ254" s="500"/>
      <c r="BAR254" s="500"/>
      <c r="BAS254" s="500"/>
      <c r="BAT254" s="500"/>
      <c r="BAU254" s="500"/>
      <c r="BAV254" s="500"/>
      <c r="BAW254" s="500"/>
      <c r="BAX254" s="500"/>
      <c r="BAY254" s="500"/>
      <c r="BAZ254" s="500"/>
      <c r="BBA254" s="500"/>
      <c r="BBB254" s="500"/>
      <c r="BBC254" s="500"/>
      <c r="BBD254" s="500"/>
      <c r="BBE254" s="500"/>
      <c r="BBF254" s="500"/>
      <c r="BBG254" s="500"/>
      <c r="BBH254" s="500"/>
      <c r="BBI254" s="500"/>
      <c r="BBJ254" s="500"/>
      <c r="BBK254" s="500"/>
      <c r="BBL254" s="500"/>
      <c r="BBM254" s="500"/>
      <c r="BBN254" s="500"/>
      <c r="BBO254" s="500"/>
      <c r="BBP254" s="500"/>
      <c r="BBQ254" s="500"/>
      <c r="BBR254" s="500"/>
      <c r="BBS254" s="500"/>
      <c r="BBT254" s="500"/>
      <c r="BBU254" s="500"/>
      <c r="BBV254" s="500"/>
      <c r="BBW254" s="500"/>
      <c r="BBX254" s="500"/>
      <c r="BBY254" s="500"/>
      <c r="BBZ254" s="500"/>
      <c r="BCA254" s="500"/>
      <c r="BCB254" s="500"/>
      <c r="BCC254" s="500"/>
      <c r="BCD254" s="500"/>
      <c r="BCE254" s="500"/>
      <c r="BCF254" s="500"/>
      <c r="BCG254" s="500"/>
      <c r="BCH254" s="500"/>
      <c r="BCI254" s="500"/>
      <c r="BCJ254" s="500"/>
      <c r="BCK254" s="500"/>
      <c r="BCL254" s="500"/>
      <c r="BCM254" s="500"/>
      <c r="BCN254" s="500"/>
      <c r="BCO254" s="500"/>
      <c r="BCP254" s="500"/>
      <c r="BCQ254" s="500"/>
      <c r="BCR254" s="500"/>
      <c r="BCS254" s="500"/>
      <c r="BCT254" s="500"/>
      <c r="BCU254" s="500"/>
      <c r="BCV254" s="500"/>
      <c r="BCW254" s="500"/>
      <c r="BCX254" s="500"/>
      <c r="BCY254" s="500"/>
      <c r="BCZ254" s="500"/>
      <c r="BDA254" s="500"/>
      <c r="BDB254" s="500"/>
      <c r="BDC254" s="500"/>
      <c r="BDD254" s="500"/>
      <c r="BDE254" s="500"/>
      <c r="BDF254" s="500"/>
      <c r="BDG254" s="500"/>
      <c r="BDH254" s="500"/>
      <c r="BDI254" s="500"/>
      <c r="BDJ254" s="500"/>
      <c r="BDK254" s="500"/>
      <c r="BDL254" s="500"/>
      <c r="BDM254" s="500"/>
      <c r="BDN254" s="500"/>
      <c r="BDO254" s="500"/>
      <c r="BDP254" s="500"/>
      <c r="BDQ254" s="500"/>
      <c r="BDR254" s="500"/>
      <c r="BDS254" s="500"/>
      <c r="BDT254" s="500"/>
      <c r="BDU254" s="500"/>
      <c r="BDV254" s="500"/>
      <c r="BDW254" s="500"/>
      <c r="BDX254" s="500"/>
      <c r="BDY254" s="500"/>
      <c r="BDZ254" s="500"/>
      <c r="BEA254" s="500"/>
      <c r="BEB254" s="500"/>
      <c r="BEC254" s="500"/>
      <c r="BED254" s="500"/>
      <c r="BEE254" s="500"/>
      <c r="BEF254" s="500"/>
      <c r="BEG254" s="500"/>
      <c r="BEH254" s="500"/>
      <c r="BEI254" s="500"/>
      <c r="BEJ254" s="500"/>
      <c r="BEK254" s="500"/>
      <c r="BEL254" s="500"/>
      <c r="BEM254" s="500"/>
      <c r="BEN254" s="500"/>
      <c r="BEO254" s="500"/>
      <c r="BEP254" s="500"/>
      <c r="BEQ254" s="500"/>
      <c r="BER254" s="500"/>
      <c r="BES254" s="500"/>
      <c r="BET254" s="500"/>
      <c r="BEU254" s="500"/>
      <c r="BEV254" s="500"/>
      <c r="BEW254" s="500"/>
      <c r="BEX254" s="500"/>
      <c r="BEY254" s="500"/>
      <c r="BEZ254" s="500"/>
      <c r="BFA254" s="500"/>
      <c r="BFB254" s="500"/>
      <c r="BFC254" s="500"/>
      <c r="BFD254" s="500"/>
      <c r="BFE254" s="500"/>
      <c r="BFF254" s="500"/>
      <c r="BFG254" s="500"/>
      <c r="BFH254" s="500"/>
      <c r="BFI254" s="500"/>
      <c r="BFJ254" s="500"/>
      <c r="BFK254" s="500"/>
      <c r="BFL254" s="500"/>
      <c r="BFM254" s="500"/>
      <c r="BFN254" s="500"/>
      <c r="BFO254" s="500"/>
      <c r="BFP254" s="500"/>
      <c r="BFQ254" s="500"/>
      <c r="BFR254" s="500"/>
      <c r="BFS254" s="500"/>
      <c r="BFT254" s="500"/>
      <c r="BFU254" s="500"/>
      <c r="BFV254" s="500"/>
      <c r="BFW254" s="500"/>
      <c r="BFX254" s="500"/>
      <c r="BFY254" s="500"/>
      <c r="BFZ254" s="500"/>
      <c r="BGA254" s="500"/>
      <c r="BGB254" s="500"/>
      <c r="BGC254" s="500"/>
      <c r="BGD254" s="500"/>
      <c r="BGE254" s="500"/>
      <c r="BGF254" s="500"/>
      <c r="BGG254" s="500"/>
      <c r="BGH254" s="500"/>
      <c r="BGI254" s="500"/>
      <c r="BGJ254" s="500"/>
      <c r="BGK254" s="500"/>
      <c r="BGL254" s="500"/>
      <c r="BGM254" s="500"/>
      <c r="BGN254" s="500"/>
      <c r="BGO254" s="500"/>
      <c r="BGP254" s="500"/>
      <c r="BGQ254" s="500"/>
      <c r="BGR254" s="500"/>
      <c r="BGS254" s="500"/>
      <c r="BGT254" s="500"/>
      <c r="BGU254" s="500"/>
      <c r="BGV254" s="500"/>
      <c r="BGW254" s="500"/>
      <c r="BGX254" s="500"/>
      <c r="BGY254" s="500"/>
      <c r="BGZ254" s="500"/>
      <c r="BHA254" s="500"/>
      <c r="BHB254" s="500"/>
      <c r="BHC254" s="500"/>
      <c r="BHD254" s="500"/>
      <c r="BHE254" s="500"/>
      <c r="BHF254" s="500"/>
      <c r="BHG254" s="500"/>
      <c r="BHH254" s="500"/>
      <c r="BHI254" s="500"/>
      <c r="BHJ254" s="500"/>
      <c r="BHK254" s="500"/>
      <c r="BHL254" s="500"/>
      <c r="BHM254" s="500"/>
      <c r="BHN254" s="500"/>
      <c r="BHO254" s="500"/>
      <c r="BHP254" s="500"/>
      <c r="BHQ254" s="500"/>
      <c r="BHR254" s="500"/>
      <c r="BHS254" s="500"/>
      <c r="BHT254" s="500"/>
      <c r="BHU254" s="500"/>
      <c r="BHV254" s="500"/>
      <c r="BHW254" s="500"/>
      <c r="BHX254" s="500"/>
      <c r="BHY254" s="500"/>
      <c r="BHZ254" s="500"/>
      <c r="BIA254" s="500"/>
      <c r="BIB254" s="500"/>
      <c r="BIC254" s="500"/>
      <c r="BID254" s="500"/>
      <c r="BIE254" s="500"/>
      <c r="BIF254" s="500"/>
      <c r="BIG254" s="500"/>
      <c r="BIH254" s="500"/>
      <c r="BII254" s="500"/>
      <c r="BIJ254" s="500"/>
      <c r="BIK254" s="500"/>
      <c r="BIL254" s="500"/>
      <c r="BIM254" s="500"/>
      <c r="BIN254" s="500"/>
      <c r="BIO254" s="500"/>
      <c r="BIP254" s="500"/>
      <c r="BIQ254" s="500"/>
      <c r="BIR254" s="500"/>
      <c r="BIS254" s="500"/>
      <c r="BIT254" s="500"/>
      <c r="BIU254" s="500"/>
      <c r="BIV254" s="500"/>
      <c r="BIW254" s="500"/>
      <c r="BIX254" s="500"/>
      <c r="BIY254" s="500"/>
      <c r="BIZ254" s="500"/>
      <c r="BJA254" s="500"/>
      <c r="BJB254" s="500"/>
      <c r="BJC254" s="500"/>
      <c r="BJD254" s="500"/>
      <c r="BJE254" s="500"/>
      <c r="BJF254" s="500"/>
      <c r="BJG254" s="500"/>
      <c r="BJH254" s="500"/>
      <c r="BJI254" s="500"/>
      <c r="BJJ254" s="500"/>
      <c r="BJK254" s="500"/>
      <c r="BJL254" s="500"/>
      <c r="BJM254" s="500"/>
      <c r="BJN254" s="500"/>
      <c r="BJO254" s="500"/>
      <c r="BJP254" s="500"/>
      <c r="BJQ254" s="500"/>
      <c r="BJR254" s="500"/>
      <c r="BJS254" s="500"/>
      <c r="BJT254" s="500"/>
      <c r="BJU254" s="500"/>
      <c r="BJV254" s="500"/>
      <c r="BJW254" s="500"/>
      <c r="BJX254" s="500"/>
      <c r="BJY254" s="500"/>
      <c r="BJZ254" s="500"/>
      <c r="BKA254" s="500"/>
      <c r="BKB254" s="500"/>
      <c r="BKC254" s="500"/>
      <c r="BKD254" s="500"/>
      <c r="BKE254" s="500"/>
      <c r="BKF254" s="500"/>
      <c r="BKG254" s="500"/>
      <c r="BKH254" s="500"/>
      <c r="BKI254" s="500"/>
      <c r="BKJ254" s="500"/>
      <c r="BKK254" s="500"/>
      <c r="BKL254" s="500"/>
      <c r="BKM254" s="500"/>
      <c r="BKN254" s="500"/>
      <c r="BKO254" s="500"/>
      <c r="BKP254" s="500"/>
      <c r="BKQ254" s="500"/>
      <c r="BKR254" s="500"/>
      <c r="BKS254" s="500"/>
      <c r="BKT254" s="500"/>
      <c r="BKU254" s="500"/>
      <c r="BKV254" s="500"/>
      <c r="BKW254" s="500"/>
      <c r="BKX254" s="500"/>
      <c r="BKY254" s="500"/>
      <c r="BKZ254" s="500"/>
      <c r="BLA254" s="500"/>
      <c r="BLB254" s="500"/>
      <c r="BLC254" s="500"/>
      <c r="BLD254" s="500"/>
      <c r="BLE254" s="500"/>
      <c r="BLF254" s="500"/>
      <c r="BLG254" s="500"/>
      <c r="BLH254" s="500"/>
      <c r="BLI254" s="500"/>
      <c r="BLJ254" s="500"/>
      <c r="BLK254" s="500"/>
      <c r="BLL254" s="500"/>
      <c r="BLM254" s="500"/>
      <c r="BLN254" s="500"/>
      <c r="BLO254" s="500"/>
      <c r="BLP254" s="500"/>
      <c r="BLQ254" s="500"/>
      <c r="BLR254" s="500"/>
      <c r="BLS254" s="500"/>
      <c r="BLT254" s="500"/>
      <c r="BLU254" s="500"/>
      <c r="BLV254" s="500"/>
      <c r="BLW254" s="500"/>
      <c r="BLX254" s="500"/>
      <c r="BLY254" s="500"/>
      <c r="BLZ254" s="500"/>
      <c r="BMA254" s="500"/>
      <c r="BMB254" s="500"/>
      <c r="BMC254" s="500"/>
      <c r="BMD254" s="500"/>
      <c r="BME254" s="500"/>
      <c r="BMF254" s="500"/>
      <c r="BMG254" s="500"/>
      <c r="BMH254" s="500"/>
      <c r="BMI254" s="500"/>
      <c r="BMJ254" s="500"/>
      <c r="BMK254" s="500"/>
      <c r="BML254" s="500"/>
      <c r="BMM254" s="500"/>
      <c r="BMN254" s="500"/>
      <c r="BMO254" s="500"/>
      <c r="BMP254" s="500"/>
      <c r="BMQ254" s="500"/>
      <c r="BMR254" s="500"/>
      <c r="BMS254" s="500"/>
      <c r="BMT254" s="500"/>
      <c r="BMU254" s="500"/>
      <c r="BMV254" s="500"/>
      <c r="BMW254" s="500"/>
      <c r="BMX254" s="500"/>
      <c r="BMY254" s="500"/>
      <c r="BMZ254" s="500"/>
      <c r="BNA254" s="500"/>
      <c r="BNB254" s="500"/>
      <c r="BNC254" s="500"/>
      <c r="BND254" s="500"/>
      <c r="BNE254" s="500"/>
      <c r="BNF254" s="500"/>
      <c r="BNG254" s="500"/>
      <c r="BNH254" s="500"/>
      <c r="BNI254" s="500"/>
      <c r="BNJ254" s="500"/>
      <c r="BNK254" s="500"/>
      <c r="BNL254" s="500"/>
      <c r="BNM254" s="500"/>
      <c r="BNN254" s="500"/>
      <c r="BNO254" s="500"/>
      <c r="BNP254" s="500"/>
      <c r="BNQ254" s="500"/>
      <c r="BNR254" s="500"/>
      <c r="BNS254" s="500"/>
      <c r="BNT254" s="500"/>
      <c r="BNU254" s="500"/>
      <c r="BNV254" s="500"/>
      <c r="BNW254" s="500"/>
      <c r="BNX254" s="500"/>
      <c r="BNY254" s="500"/>
      <c r="BNZ254" s="500"/>
      <c r="BOA254" s="500"/>
      <c r="BOB254" s="500"/>
      <c r="BOC254" s="500"/>
      <c r="BOD254" s="500"/>
      <c r="BOE254" s="500"/>
      <c r="BOF254" s="500"/>
      <c r="BOG254" s="500"/>
      <c r="BOH254" s="500"/>
      <c r="BOI254" s="500"/>
      <c r="BOJ254" s="500"/>
      <c r="BOK254" s="500"/>
      <c r="BOL254" s="500"/>
      <c r="BOM254" s="500"/>
      <c r="BON254" s="500"/>
      <c r="BOO254" s="500"/>
      <c r="BOP254" s="500"/>
      <c r="BOQ254" s="500"/>
      <c r="BOR254" s="500"/>
      <c r="BOS254" s="500"/>
      <c r="BOT254" s="500"/>
      <c r="BOU254" s="500"/>
      <c r="BOV254" s="500"/>
      <c r="BOW254" s="500"/>
      <c r="BOX254" s="500"/>
      <c r="BOY254" s="500"/>
      <c r="BOZ254" s="500"/>
      <c r="BPA254" s="500"/>
      <c r="BPB254" s="500"/>
      <c r="BPC254" s="500"/>
      <c r="BPD254" s="500"/>
      <c r="BPE254" s="500"/>
      <c r="BPF254" s="500"/>
      <c r="BPG254" s="500"/>
      <c r="BPH254" s="500"/>
      <c r="BPI254" s="500"/>
      <c r="BPJ254" s="500"/>
      <c r="BPK254" s="500"/>
      <c r="BPL254" s="500"/>
      <c r="BPM254" s="500"/>
      <c r="BPN254" s="500"/>
      <c r="BPO254" s="500"/>
      <c r="BPP254" s="500"/>
      <c r="BPQ254" s="500"/>
      <c r="BPR254" s="500"/>
      <c r="BPS254" s="500"/>
      <c r="BPT254" s="500"/>
      <c r="BPU254" s="500"/>
      <c r="BPV254" s="500"/>
      <c r="BPW254" s="500"/>
      <c r="BPX254" s="500"/>
      <c r="BPY254" s="500"/>
      <c r="BPZ254" s="500"/>
      <c r="BQA254" s="500"/>
      <c r="BQB254" s="500"/>
      <c r="BQC254" s="500"/>
      <c r="BQD254" s="500"/>
      <c r="BQE254" s="500"/>
      <c r="BQF254" s="500"/>
      <c r="BQG254" s="500"/>
      <c r="BQH254" s="500"/>
      <c r="BQI254" s="500"/>
      <c r="BQJ254" s="500"/>
      <c r="BQK254" s="500"/>
      <c r="BQL254" s="500"/>
      <c r="BQM254" s="500"/>
      <c r="BQN254" s="500"/>
      <c r="BQO254" s="500"/>
      <c r="BQP254" s="500"/>
      <c r="BQQ254" s="500"/>
      <c r="BQR254" s="500"/>
      <c r="BQS254" s="500"/>
      <c r="BQT254" s="500"/>
      <c r="BQU254" s="500"/>
      <c r="BQV254" s="500"/>
      <c r="BQW254" s="500"/>
      <c r="BQX254" s="500"/>
      <c r="BQY254" s="500"/>
      <c r="BQZ254" s="500"/>
      <c r="BRA254" s="500"/>
      <c r="BRB254" s="500"/>
      <c r="BRC254" s="500"/>
      <c r="BRD254" s="500"/>
      <c r="BRE254" s="500"/>
      <c r="BRF254" s="500"/>
      <c r="BRG254" s="500"/>
      <c r="BRH254" s="500"/>
      <c r="BRI254" s="500"/>
      <c r="BRJ254" s="500"/>
      <c r="BRK254" s="500"/>
      <c r="BRL254" s="500"/>
      <c r="BRM254" s="500"/>
      <c r="BRN254" s="500"/>
      <c r="BRO254" s="500"/>
      <c r="BRP254" s="500"/>
      <c r="BRQ254" s="500"/>
      <c r="BRR254" s="500"/>
      <c r="BRS254" s="500"/>
      <c r="BRT254" s="500"/>
      <c r="BRU254" s="500"/>
      <c r="BRV254" s="500"/>
      <c r="BRW254" s="500"/>
      <c r="BRX254" s="500"/>
      <c r="BRY254" s="500"/>
      <c r="BRZ254" s="500"/>
      <c r="BSA254" s="500"/>
      <c r="BSB254" s="500"/>
      <c r="BSC254" s="500"/>
      <c r="BSD254" s="500"/>
      <c r="BSE254" s="500"/>
      <c r="BSF254" s="500"/>
      <c r="BSG254" s="500"/>
      <c r="BSH254" s="500"/>
      <c r="BSI254" s="500"/>
      <c r="BSJ254" s="500"/>
      <c r="BSK254" s="500"/>
      <c r="BSL254" s="500"/>
      <c r="BSM254" s="500"/>
      <c r="BSN254" s="500"/>
      <c r="BSO254" s="500"/>
      <c r="BSP254" s="500"/>
      <c r="BSQ254" s="500"/>
      <c r="BSR254" s="500"/>
      <c r="BSS254" s="500"/>
      <c r="BST254" s="500"/>
      <c r="BSU254" s="500"/>
      <c r="BSV254" s="500"/>
      <c r="BSW254" s="500"/>
      <c r="BSX254" s="500"/>
      <c r="BSY254" s="500"/>
      <c r="BSZ254" s="500"/>
      <c r="BTA254" s="500"/>
      <c r="BTB254" s="500"/>
      <c r="BTC254" s="500"/>
      <c r="BTD254" s="500"/>
      <c r="BTE254" s="500"/>
      <c r="BTF254" s="500"/>
      <c r="BTG254" s="500"/>
      <c r="BTH254" s="500"/>
      <c r="BTI254" s="500"/>
    </row>
    <row r="255" spans="1:1881" s="499" customFormat="1" ht="75.75" customHeight="1" x14ac:dyDescent="0.25">
      <c r="B255" s="964" t="s">
        <v>1253</v>
      </c>
      <c r="C255" s="964"/>
      <c r="D255" s="964"/>
      <c r="E255" s="964"/>
      <c r="F255" s="636"/>
      <c r="G255" s="583"/>
      <c r="H255" s="501"/>
      <c r="I255" s="423"/>
      <c r="J255" s="500"/>
      <c r="K255" s="500"/>
      <c r="L255" s="500"/>
      <c r="M255" s="500"/>
      <c r="N255"/>
      <c r="O255" s="500"/>
      <c r="P255" s="500"/>
      <c r="Q255" s="500"/>
      <c r="R255" s="500"/>
      <c r="S255" s="500"/>
      <c r="T255" s="500"/>
      <c r="U255" s="500"/>
      <c r="V255" s="500"/>
      <c r="W255" s="500"/>
      <c r="X255" s="500"/>
      <c r="Y255" s="500"/>
      <c r="Z255" s="500"/>
      <c r="AA255" s="500"/>
      <c r="AB255" s="500"/>
      <c r="AC255" s="500"/>
      <c r="AD255" s="500"/>
      <c r="AE255" s="500"/>
      <c r="AF255" s="500"/>
      <c r="AG255" s="500"/>
      <c r="AH255" s="500"/>
      <c r="AI255" s="500"/>
      <c r="AJ255" s="500"/>
      <c r="AK255" s="500"/>
      <c r="AL255" s="500"/>
      <c r="AM255" s="500"/>
      <c r="AN255" s="500"/>
      <c r="AO255" s="500"/>
      <c r="AP255" s="500"/>
      <c r="AQ255" s="500"/>
      <c r="AR255" s="500"/>
      <c r="AS255" s="500"/>
      <c r="AT255" s="500"/>
      <c r="AU255" s="500"/>
      <c r="AV255" s="500"/>
      <c r="AW255" s="500"/>
      <c r="AX255" s="500"/>
      <c r="AY255" s="500"/>
      <c r="AZ255" s="500"/>
      <c r="BA255" s="500"/>
      <c r="BB255" s="500"/>
      <c r="BC255" s="500"/>
      <c r="BD255" s="500"/>
      <c r="BE255" s="500"/>
      <c r="BF255" s="500"/>
      <c r="BG255" s="500"/>
      <c r="BH255" s="500"/>
      <c r="BI255" s="500"/>
      <c r="BJ255" s="500"/>
      <c r="BK255" s="500"/>
      <c r="BL255" s="500"/>
      <c r="BM255" s="500"/>
      <c r="BN255" s="500"/>
      <c r="BO255" s="500"/>
      <c r="BP255" s="500"/>
      <c r="BQ255" s="500"/>
      <c r="BR255" s="500"/>
      <c r="BS255" s="500"/>
      <c r="BT255" s="500"/>
      <c r="BU255" s="500"/>
      <c r="BV255" s="500"/>
      <c r="BW255" s="500"/>
      <c r="BX255" s="500"/>
      <c r="BY255" s="500"/>
      <c r="BZ255" s="500"/>
      <c r="CA255" s="500"/>
      <c r="CB255" s="500"/>
      <c r="CC255" s="500"/>
      <c r="CD255" s="500"/>
      <c r="CE255" s="500"/>
      <c r="CF255" s="500"/>
      <c r="CG255" s="500"/>
      <c r="CH255" s="500"/>
      <c r="CI255" s="500"/>
      <c r="CJ255" s="500"/>
      <c r="CK255" s="500"/>
      <c r="CL255" s="500"/>
      <c r="CM255" s="500"/>
      <c r="CN255" s="500"/>
      <c r="CO255" s="500"/>
      <c r="CP255" s="500"/>
      <c r="CQ255" s="500"/>
      <c r="CR255" s="500"/>
      <c r="CS255" s="500"/>
      <c r="CT255" s="500"/>
      <c r="CU255" s="500"/>
      <c r="CV255" s="500"/>
      <c r="CW255" s="500"/>
      <c r="CX255" s="500"/>
      <c r="CY255" s="500"/>
      <c r="CZ255" s="500"/>
      <c r="DA255" s="500"/>
      <c r="DB255" s="500"/>
      <c r="DC255" s="500"/>
      <c r="DD255" s="500"/>
      <c r="DE255" s="500"/>
      <c r="DF255" s="500"/>
      <c r="DG255" s="500"/>
      <c r="DH255" s="500"/>
      <c r="DI255" s="500"/>
      <c r="DJ255" s="500"/>
      <c r="DK255" s="500"/>
      <c r="DL255" s="500"/>
      <c r="DM255" s="500"/>
      <c r="DN255" s="500"/>
      <c r="DO255" s="500"/>
      <c r="DP255" s="500"/>
      <c r="DQ255" s="500"/>
      <c r="DR255" s="500"/>
      <c r="DS255" s="500"/>
      <c r="DT255" s="500"/>
      <c r="DU255" s="500"/>
      <c r="DV255" s="500"/>
      <c r="DW255" s="500"/>
      <c r="DX255" s="500"/>
      <c r="DY255" s="500"/>
      <c r="DZ255" s="500"/>
      <c r="EA255" s="500"/>
      <c r="EB255" s="500"/>
      <c r="EC255" s="500"/>
      <c r="ED255" s="500"/>
      <c r="EE255" s="500"/>
      <c r="EF255" s="500"/>
      <c r="EG255" s="500"/>
      <c r="EH255" s="500"/>
      <c r="EI255" s="500"/>
      <c r="EJ255" s="500"/>
      <c r="EK255" s="500"/>
      <c r="EL255" s="500"/>
      <c r="EM255" s="500"/>
      <c r="EN255" s="500"/>
      <c r="EO255" s="500"/>
      <c r="EP255" s="500"/>
      <c r="EQ255" s="500"/>
      <c r="ER255" s="500"/>
      <c r="ES255" s="500"/>
      <c r="ET255" s="500"/>
      <c r="EU255" s="500"/>
      <c r="EV255" s="500"/>
      <c r="EW255" s="500"/>
      <c r="EX255" s="500"/>
      <c r="EY255" s="500"/>
      <c r="EZ255" s="500"/>
      <c r="FA255" s="500"/>
      <c r="FB255" s="500"/>
      <c r="FC255" s="500"/>
      <c r="FD255" s="500"/>
      <c r="FE255" s="500"/>
      <c r="FF255" s="500"/>
      <c r="FG255" s="500"/>
      <c r="FH255" s="500"/>
      <c r="FI255" s="500"/>
      <c r="FJ255" s="500"/>
      <c r="FK255" s="500"/>
      <c r="FL255" s="500"/>
      <c r="FM255" s="500"/>
      <c r="FN255" s="500"/>
      <c r="FO255" s="500"/>
      <c r="FP255" s="500"/>
      <c r="FQ255" s="500"/>
      <c r="FR255" s="500"/>
      <c r="FS255" s="500"/>
      <c r="FT255" s="500"/>
      <c r="FU255" s="500"/>
      <c r="FV255" s="500"/>
      <c r="FW255" s="500"/>
      <c r="FX255" s="500"/>
      <c r="FY255" s="500"/>
      <c r="FZ255" s="500"/>
      <c r="GA255" s="500"/>
      <c r="GB255" s="500"/>
      <c r="GC255" s="500"/>
      <c r="GD255" s="500"/>
      <c r="GE255" s="500"/>
      <c r="GF255" s="500"/>
      <c r="GG255" s="500"/>
      <c r="GH255" s="500"/>
      <c r="GI255" s="500"/>
      <c r="GJ255" s="500"/>
      <c r="GK255" s="500"/>
      <c r="GL255" s="500"/>
      <c r="GM255" s="500"/>
      <c r="GN255" s="500"/>
      <c r="GO255" s="500"/>
      <c r="GP255" s="500"/>
      <c r="GQ255" s="500"/>
      <c r="GR255" s="500"/>
      <c r="GS255" s="500"/>
      <c r="GT255" s="500"/>
      <c r="GU255" s="500"/>
      <c r="GV255" s="500"/>
      <c r="GW255" s="500"/>
      <c r="GX255" s="500"/>
      <c r="GY255" s="500"/>
      <c r="GZ255" s="500"/>
      <c r="HA255" s="500"/>
      <c r="HB255" s="500"/>
      <c r="HC255" s="500"/>
      <c r="HD255" s="500"/>
      <c r="HE255" s="500"/>
      <c r="HF255" s="500"/>
      <c r="HG255" s="500"/>
      <c r="HH255" s="500"/>
      <c r="HI255" s="500"/>
      <c r="HJ255" s="500"/>
      <c r="HK255" s="500"/>
      <c r="HL255" s="500"/>
      <c r="HM255" s="500"/>
      <c r="HN255" s="500"/>
      <c r="HO255" s="500"/>
      <c r="HP255" s="500"/>
      <c r="HQ255" s="500"/>
      <c r="HR255" s="500"/>
      <c r="HS255" s="500"/>
      <c r="HT255" s="500"/>
      <c r="HU255" s="500"/>
      <c r="HV255" s="500"/>
      <c r="HW255" s="500"/>
      <c r="HX255" s="500"/>
      <c r="HY255" s="500"/>
      <c r="HZ255" s="500"/>
      <c r="IA255" s="500"/>
      <c r="IB255" s="500"/>
      <c r="IC255" s="500"/>
      <c r="ID255" s="500"/>
      <c r="IE255" s="500"/>
      <c r="IF255" s="500"/>
      <c r="IG255" s="500"/>
      <c r="IH255" s="500"/>
      <c r="II255" s="500"/>
      <c r="IJ255" s="500"/>
      <c r="IK255" s="500"/>
      <c r="IL255" s="500"/>
      <c r="IM255" s="500"/>
      <c r="IN255" s="500"/>
      <c r="IO255" s="500"/>
      <c r="IP255" s="500"/>
      <c r="IQ255" s="500"/>
      <c r="IR255" s="500"/>
      <c r="IS255" s="500"/>
      <c r="IT255" s="500"/>
      <c r="IU255" s="500"/>
      <c r="IV255" s="500"/>
      <c r="IW255" s="500"/>
      <c r="IX255" s="500"/>
      <c r="IY255" s="500"/>
      <c r="IZ255" s="500"/>
      <c r="JA255" s="500"/>
      <c r="JB255" s="500"/>
      <c r="JC255" s="500"/>
      <c r="JD255" s="500"/>
      <c r="JE255" s="500"/>
      <c r="JF255" s="500"/>
      <c r="JG255" s="500"/>
      <c r="JH255" s="500"/>
      <c r="JI255" s="500"/>
      <c r="JJ255" s="500"/>
      <c r="JK255" s="500"/>
      <c r="JL255" s="500"/>
      <c r="JM255" s="500"/>
      <c r="JN255" s="500"/>
      <c r="JO255" s="500"/>
      <c r="JP255" s="500"/>
      <c r="JQ255" s="500"/>
      <c r="JR255" s="500"/>
      <c r="JS255" s="500"/>
      <c r="JT255" s="500"/>
      <c r="JU255" s="500"/>
      <c r="JV255" s="500"/>
      <c r="JW255" s="500"/>
      <c r="JX255" s="500"/>
      <c r="JY255" s="500"/>
      <c r="JZ255" s="500"/>
      <c r="KA255" s="500"/>
      <c r="KB255" s="500"/>
      <c r="KC255" s="500"/>
      <c r="KD255" s="500"/>
      <c r="KE255" s="500"/>
      <c r="KF255" s="500"/>
      <c r="KG255" s="500"/>
      <c r="KH255" s="500"/>
      <c r="KI255" s="500"/>
      <c r="KJ255" s="500"/>
      <c r="KK255" s="500"/>
      <c r="KL255" s="500"/>
      <c r="KM255" s="500"/>
      <c r="KN255" s="500"/>
      <c r="KO255" s="500"/>
      <c r="KP255" s="500"/>
      <c r="KQ255" s="500"/>
      <c r="KR255" s="500"/>
      <c r="KS255" s="500"/>
      <c r="KT255" s="500"/>
      <c r="KU255" s="500"/>
      <c r="KV255" s="500"/>
      <c r="KW255" s="500"/>
      <c r="KX255" s="500"/>
      <c r="KY255" s="500"/>
      <c r="KZ255" s="500"/>
      <c r="LA255" s="500"/>
      <c r="LB255" s="500"/>
      <c r="LC255" s="500"/>
      <c r="LD255" s="500"/>
      <c r="LE255" s="500"/>
      <c r="LF255" s="500"/>
      <c r="LG255" s="500"/>
      <c r="LH255" s="500"/>
      <c r="LI255" s="500"/>
      <c r="LJ255" s="500"/>
      <c r="LK255" s="500"/>
      <c r="LL255" s="500"/>
      <c r="LM255" s="500"/>
      <c r="LN255" s="500"/>
      <c r="LO255" s="500"/>
      <c r="LP255" s="500"/>
      <c r="LQ255" s="500"/>
      <c r="LR255" s="500"/>
      <c r="LS255" s="500"/>
      <c r="LT255" s="500"/>
      <c r="LU255" s="500"/>
      <c r="LV255" s="500"/>
      <c r="LW255" s="500"/>
      <c r="LX255" s="500"/>
      <c r="LY255" s="500"/>
      <c r="LZ255" s="500"/>
      <c r="MA255" s="500"/>
      <c r="MB255" s="500"/>
      <c r="MC255" s="500"/>
      <c r="MD255" s="500"/>
      <c r="ME255" s="500"/>
      <c r="MF255" s="500"/>
      <c r="MG255" s="500"/>
      <c r="MH255" s="500"/>
      <c r="MI255" s="500"/>
      <c r="MJ255" s="500"/>
      <c r="MK255" s="500"/>
      <c r="ML255" s="500"/>
      <c r="MM255" s="500"/>
      <c r="MN255" s="500"/>
      <c r="MO255" s="500"/>
      <c r="MP255" s="500"/>
      <c r="MQ255" s="500"/>
      <c r="MR255" s="500"/>
      <c r="MS255" s="500"/>
      <c r="MT255" s="500"/>
      <c r="MU255" s="500"/>
      <c r="MV255" s="500"/>
      <c r="MW255" s="500"/>
      <c r="MX255" s="500"/>
      <c r="MY255" s="500"/>
      <c r="MZ255" s="500"/>
      <c r="NA255" s="500"/>
      <c r="NB255" s="500"/>
      <c r="NC255" s="500"/>
      <c r="ND255" s="500"/>
      <c r="NE255" s="500"/>
      <c r="NF255" s="500"/>
      <c r="NG255" s="500"/>
      <c r="NH255" s="500"/>
      <c r="NI255" s="500"/>
      <c r="NJ255" s="500"/>
      <c r="NK255" s="500"/>
      <c r="NL255" s="500"/>
      <c r="NM255" s="500"/>
      <c r="NN255" s="500"/>
      <c r="NO255" s="500"/>
      <c r="NP255" s="500"/>
      <c r="NQ255" s="500"/>
      <c r="NR255" s="500"/>
      <c r="NS255" s="500"/>
      <c r="NT255" s="500"/>
      <c r="NU255" s="500"/>
      <c r="NV255" s="500"/>
      <c r="NW255" s="500"/>
      <c r="NX255" s="500"/>
      <c r="NY255" s="500"/>
      <c r="NZ255" s="500"/>
      <c r="OA255" s="500"/>
      <c r="OB255" s="500"/>
      <c r="OC255" s="500"/>
      <c r="OD255" s="500"/>
      <c r="OE255" s="500"/>
      <c r="OF255" s="500"/>
      <c r="OG255" s="500"/>
      <c r="OH255" s="500"/>
      <c r="OI255" s="500"/>
      <c r="OJ255" s="500"/>
      <c r="OK255" s="500"/>
      <c r="OL255" s="500"/>
      <c r="OM255" s="500"/>
      <c r="ON255" s="500"/>
      <c r="OO255" s="500"/>
      <c r="OP255" s="500"/>
      <c r="OQ255" s="500"/>
      <c r="OR255" s="500"/>
      <c r="OS255" s="500"/>
      <c r="OT255" s="500"/>
      <c r="OU255" s="500"/>
      <c r="OV255" s="500"/>
      <c r="OW255" s="500"/>
      <c r="OX255" s="500"/>
      <c r="OY255" s="500"/>
      <c r="OZ255" s="500"/>
      <c r="PA255" s="500"/>
      <c r="PB255" s="500"/>
      <c r="PC255" s="500"/>
      <c r="PD255" s="500"/>
      <c r="PE255" s="500"/>
      <c r="PF255" s="500"/>
      <c r="PG255" s="500"/>
      <c r="PH255" s="500"/>
      <c r="PI255" s="500"/>
      <c r="PJ255" s="500"/>
      <c r="PK255" s="500"/>
      <c r="PL255" s="500"/>
      <c r="PM255" s="500"/>
      <c r="PN255" s="500"/>
      <c r="PO255" s="500"/>
      <c r="PP255" s="500"/>
      <c r="PQ255" s="500"/>
      <c r="PR255" s="500"/>
      <c r="PS255" s="500"/>
      <c r="PT255" s="500"/>
      <c r="PU255" s="500"/>
      <c r="PV255" s="500"/>
      <c r="PW255" s="500"/>
      <c r="PX255" s="500"/>
      <c r="PY255" s="500"/>
      <c r="PZ255" s="500"/>
      <c r="QA255" s="500"/>
      <c r="QB255" s="500"/>
      <c r="QC255" s="500"/>
      <c r="QD255" s="500"/>
      <c r="QE255" s="500"/>
      <c r="QF255" s="500"/>
      <c r="QG255" s="500"/>
      <c r="QH255" s="500"/>
      <c r="QI255" s="500"/>
      <c r="QJ255" s="500"/>
      <c r="QK255" s="500"/>
      <c r="QL255" s="500"/>
      <c r="QM255" s="500"/>
      <c r="QN255" s="500"/>
      <c r="QO255" s="500"/>
      <c r="QP255" s="500"/>
      <c r="QQ255" s="500"/>
      <c r="QR255" s="500"/>
      <c r="QS255" s="500"/>
      <c r="QT255" s="500"/>
      <c r="QU255" s="500"/>
      <c r="QV255" s="500"/>
      <c r="QW255" s="500"/>
      <c r="QX255" s="500"/>
      <c r="QY255" s="500"/>
      <c r="QZ255" s="500"/>
      <c r="RA255" s="500"/>
      <c r="RB255" s="500"/>
      <c r="RC255" s="500"/>
      <c r="RD255" s="500"/>
      <c r="RE255" s="500"/>
      <c r="RF255" s="500"/>
      <c r="RG255" s="500"/>
      <c r="RH255" s="500"/>
      <c r="RI255" s="500"/>
      <c r="RJ255" s="500"/>
      <c r="RK255" s="500"/>
      <c r="RL255" s="500"/>
      <c r="RM255" s="500"/>
      <c r="RN255" s="500"/>
      <c r="RO255" s="500"/>
      <c r="RP255" s="500"/>
      <c r="RQ255" s="500"/>
      <c r="RR255" s="500"/>
      <c r="RS255" s="500"/>
      <c r="RT255" s="500"/>
      <c r="RU255" s="500"/>
      <c r="RV255" s="500"/>
      <c r="RW255" s="500"/>
      <c r="RX255" s="500"/>
      <c r="RY255" s="500"/>
      <c r="RZ255" s="500"/>
      <c r="SA255" s="500"/>
      <c r="SB255" s="500"/>
      <c r="SC255" s="500"/>
      <c r="SD255" s="500"/>
      <c r="SE255" s="500"/>
      <c r="SF255" s="500"/>
      <c r="SG255" s="500"/>
      <c r="SH255" s="500"/>
      <c r="SI255" s="500"/>
      <c r="SJ255" s="500"/>
      <c r="SK255" s="500"/>
      <c r="SL255" s="500"/>
      <c r="SM255" s="500"/>
      <c r="SN255" s="500"/>
      <c r="SO255" s="500"/>
      <c r="SP255" s="500"/>
      <c r="SQ255" s="500"/>
      <c r="SR255" s="500"/>
      <c r="SS255" s="500"/>
      <c r="ST255" s="500"/>
      <c r="SU255" s="500"/>
      <c r="SV255" s="500"/>
      <c r="SW255" s="500"/>
      <c r="SX255" s="500"/>
      <c r="SY255" s="500"/>
      <c r="SZ255" s="500"/>
      <c r="TA255" s="500"/>
      <c r="TB255" s="500"/>
      <c r="TC255" s="500"/>
      <c r="TD255" s="500"/>
      <c r="TE255" s="500"/>
      <c r="TF255" s="500"/>
      <c r="TG255" s="500"/>
      <c r="TH255" s="500"/>
      <c r="TI255" s="500"/>
      <c r="TJ255" s="500"/>
      <c r="TK255" s="500"/>
      <c r="TL255" s="500"/>
      <c r="TM255" s="500"/>
      <c r="TN255" s="500"/>
      <c r="TO255" s="500"/>
      <c r="TP255" s="500"/>
      <c r="TQ255" s="500"/>
      <c r="TR255" s="500"/>
      <c r="TS255" s="500"/>
      <c r="TT255" s="500"/>
      <c r="TU255" s="500"/>
      <c r="TV255" s="500"/>
      <c r="TW255" s="500"/>
      <c r="TX255" s="500"/>
      <c r="TY255" s="500"/>
      <c r="TZ255" s="500"/>
      <c r="UA255" s="500"/>
      <c r="UB255" s="500"/>
      <c r="UC255" s="500"/>
      <c r="UD255" s="500"/>
      <c r="UE255" s="500"/>
      <c r="UF255" s="500"/>
      <c r="UG255" s="500"/>
      <c r="UH255" s="500"/>
      <c r="UI255" s="500"/>
      <c r="UJ255" s="500"/>
      <c r="UK255" s="500"/>
      <c r="UL255" s="500"/>
      <c r="UM255" s="500"/>
      <c r="UN255" s="500"/>
      <c r="UO255" s="500"/>
      <c r="UP255" s="500"/>
      <c r="UQ255" s="500"/>
      <c r="UR255" s="500"/>
      <c r="US255" s="500"/>
      <c r="UT255" s="500"/>
      <c r="UU255" s="500"/>
      <c r="UV255" s="500"/>
      <c r="UW255" s="500"/>
      <c r="UX255" s="500"/>
      <c r="UY255" s="500"/>
      <c r="UZ255" s="500"/>
      <c r="VA255" s="500"/>
      <c r="VB255" s="500"/>
      <c r="VC255" s="500"/>
      <c r="VD255" s="500"/>
      <c r="VE255" s="500"/>
      <c r="VF255" s="500"/>
      <c r="VG255" s="500"/>
      <c r="VH255" s="500"/>
      <c r="VI255" s="500"/>
      <c r="VJ255" s="500"/>
      <c r="VK255" s="500"/>
      <c r="VL255" s="500"/>
      <c r="VM255" s="500"/>
      <c r="VN255" s="500"/>
      <c r="VO255" s="500"/>
      <c r="VP255" s="500"/>
      <c r="VQ255" s="500"/>
      <c r="VR255" s="500"/>
      <c r="VS255" s="500"/>
      <c r="VT255" s="500"/>
      <c r="VU255" s="500"/>
      <c r="VV255" s="500"/>
      <c r="VW255" s="500"/>
      <c r="VX255" s="500"/>
      <c r="VY255" s="500"/>
      <c r="VZ255" s="500"/>
      <c r="WA255" s="500"/>
      <c r="WB255" s="500"/>
      <c r="WC255" s="500"/>
      <c r="WD255" s="500"/>
      <c r="WE255" s="500"/>
      <c r="WF255" s="500"/>
      <c r="WG255" s="500"/>
      <c r="WH255" s="500"/>
      <c r="WI255" s="500"/>
      <c r="WJ255" s="500"/>
      <c r="WK255" s="500"/>
      <c r="WL255" s="500"/>
      <c r="WM255" s="500"/>
      <c r="WN255" s="500"/>
      <c r="WO255" s="500"/>
      <c r="WP255" s="500"/>
      <c r="WQ255" s="500"/>
      <c r="WR255" s="500"/>
      <c r="WS255" s="500"/>
      <c r="WT255" s="500"/>
      <c r="WU255" s="500"/>
      <c r="WV255" s="500"/>
      <c r="WW255" s="500"/>
      <c r="WX255" s="500"/>
      <c r="WY255" s="500"/>
      <c r="WZ255" s="500"/>
      <c r="XA255" s="500"/>
      <c r="XB255" s="500"/>
      <c r="XC255" s="500"/>
      <c r="XD255" s="500"/>
      <c r="XE255" s="500"/>
      <c r="XF255" s="500"/>
      <c r="XG255" s="500"/>
      <c r="XH255" s="500"/>
      <c r="XI255" s="500"/>
      <c r="XJ255" s="500"/>
      <c r="XK255" s="500"/>
      <c r="XL255" s="500"/>
      <c r="XM255" s="500"/>
      <c r="XN255" s="500"/>
      <c r="XO255" s="500"/>
      <c r="XP255" s="500"/>
      <c r="XQ255" s="500"/>
      <c r="XR255" s="500"/>
      <c r="XS255" s="500"/>
      <c r="XT255" s="500"/>
      <c r="XU255" s="500"/>
      <c r="XV255" s="500"/>
      <c r="XW255" s="500"/>
      <c r="XX255" s="500"/>
      <c r="XY255" s="500"/>
      <c r="XZ255" s="500"/>
      <c r="YA255" s="500"/>
      <c r="YB255" s="500"/>
      <c r="YC255" s="500"/>
      <c r="YD255" s="500"/>
      <c r="YE255" s="500"/>
      <c r="YF255" s="500"/>
      <c r="YG255" s="500"/>
      <c r="YH255" s="500"/>
      <c r="YI255" s="500"/>
      <c r="YJ255" s="500"/>
      <c r="YK255" s="500"/>
      <c r="YL255" s="500"/>
      <c r="YM255" s="500"/>
      <c r="YN255" s="500"/>
      <c r="YO255" s="500"/>
      <c r="YP255" s="500"/>
      <c r="YQ255" s="500"/>
      <c r="YR255" s="500"/>
      <c r="YS255" s="500"/>
      <c r="YT255" s="500"/>
      <c r="YU255" s="500"/>
      <c r="YV255" s="500"/>
      <c r="YW255" s="500"/>
      <c r="YX255" s="500"/>
      <c r="YY255" s="500"/>
      <c r="YZ255" s="500"/>
      <c r="ZA255" s="500"/>
      <c r="ZB255" s="500"/>
      <c r="ZC255" s="500"/>
      <c r="ZD255" s="500"/>
      <c r="ZE255" s="500"/>
      <c r="ZF255" s="500"/>
      <c r="ZG255" s="500"/>
      <c r="ZH255" s="500"/>
      <c r="ZI255" s="500"/>
      <c r="ZJ255" s="500"/>
      <c r="ZK255" s="500"/>
      <c r="ZL255" s="500"/>
      <c r="ZM255" s="500"/>
      <c r="ZN255" s="500"/>
      <c r="ZO255" s="500"/>
      <c r="ZP255" s="500"/>
      <c r="ZQ255" s="500"/>
      <c r="ZR255" s="500"/>
      <c r="ZS255" s="500"/>
      <c r="ZT255" s="500"/>
      <c r="ZU255" s="500"/>
      <c r="ZV255" s="500"/>
      <c r="ZW255" s="500"/>
      <c r="ZX255" s="500"/>
      <c r="ZY255" s="500"/>
      <c r="ZZ255" s="500"/>
      <c r="AAA255" s="500"/>
      <c r="AAB255" s="500"/>
      <c r="AAC255" s="500"/>
      <c r="AAD255" s="500"/>
      <c r="AAE255" s="500"/>
      <c r="AAF255" s="500"/>
      <c r="AAG255" s="500"/>
      <c r="AAH255" s="500"/>
      <c r="AAI255" s="500"/>
      <c r="AAJ255" s="500"/>
      <c r="AAK255" s="500"/>
      <c r="AAL255" s="500"/>
      <c r="AAM255" s="500"/>
      <c r="AAN255" s="500"/>
      <c r="AAO255" s="500"/>
      <c r="AAP255" s="500"/>
      <c r="AAQ255" s="500"/>
      <c r="AAR255" s="500"/>
      <c r="AAS255" s="500"/>
      <c r="AAT255" s="500"/>
      <c r="AAU255" s="500"/>
      <c r="AAV255" s="500"/>
      <c r="AAW255" s="500"/>
      <c r="AAX255" s="500"/>
      <c r="AAY255" s="500"/>
      <c r="AAZ255" s="500"/>
      <c r="ABA255" s="500"/>
      <c r="ABB255" s="500"/>
      <c r="ABC255" s="500"/>
      <c r="ABD255" s="500"/>
      <c r="ABE255" s="500"/>
      <c r="ABF255" s="500"/>
      <c r="ABG255" s="500"/>
      <c r="ABH255" s="500"/>
      <c r="ABI255" s="500"/>
      <c r="ABJ255" s="500"/>
      <c r="ABK255" s="500"/>
      <c r="ABL255" s="500"/>
      <c r="ABM255" s="500"/>
      <c r="ABN255" s="500"/>
      <c r="ABO255" s="500"/>
      <c r="ABP255" s="500"/>
      <c r="ABQ255" s="500"/>
      <c r="ABR255" s="500"/>
      <c r="ABS255" s="500"/>
      <c r="ABT255" s="500"/>
      <c r="ABU255" s="500"/>
      <c r="ABV255" s="500"/>
      <c r="ABW255" s="500"/>
      <c r="ABX255" s="500"/>
      <c r="ABY255" s="500"/>
      <c r="ABZ255" s="500"/>
      <c r="ACA255" s="500"/>
      <c r="ACB255" s="500"/>
      <c r="ACC255" s="500"/>
      <c r="ACD255" s="500"/>
      <c r="ACE255" s="500"/>
      <c r="ACF255" s="500"/>
      <c r="ACG255" s="500"/>
      <c r="ACH255" s="500"/>
      <c r="ACI255" s="500"/>
      <c r="ACJ255" s="500"/>
      <c r="ACK255" s="500"/>
      <c r="ACL255" s="500"/>
      <c r="ACM255" s="500"/>
      <c r="ACN255" s="500"/>
      <c r="ACO255" s="500"/>
      <c r="ACP255" s="500"/>
      <c r="ACQ255" s="500"/>
      <c r="ACR255" s="500"/>
      <c r="ACS255" s="500"/>
      <c r="ACT255" s="500"/>
      <c r="ACU255" s="500"/>
      <c r="ACV255" s="500"/>
      <c r="ACW255" s="500"/>
      <c r="ACX255" s="500"/>
      <c r="ACY255" s="500"/>
      <c r="ACZ255" s="500"/>
      <c r="ADA255" s="500"/>
      <c r="ADB255" s="500"/>
      <c r="ADC255" s="500"/>
      <c r="ADD255" s="500"/>
      <c r="ADE255" s="500"/>
      <c r="ADF255" s="500"/>
      <c r="ADG255" s="500"/>
      <c r="ADH255" s="500"/>
      <c r="ADI255" s="500"/>
      <c r="ADJ255" s="500"/>
      <c r="ADK255" s="500"/>
      <c r="ADL255" s="500"/>
      <c r="ADM255" s="500"/>
      <c r="ADN255" s="500"/>
      <c r="ADO255" s="500"/>
      <c r="ADP255" s="500"/>
      <c r="ADQ255" s="500"/>
      <c r="ADR255" s="500"/>
      <c r="ADS255" s="500"/>
      <c r="ADT255" s="500"/>
      <c r="ADU255" s="500"/>
      <c r="ADV255" s="500"/>
      <c r="ADW255" s="500"/>
      <c r="ADX255" s="500"/>
      <c r="ADY255" s="500"/>
      <c r="ADZ255" s="500"/>
      <c r="AEA255" s="500"/>
      <c r="AEB255" s="500"/>
      <c r="AEC255" s="500"/>
      <c r="AED255" s="500"/>
      <c r="AEE255" s="500"/>
      <c r="AEF255" s="500"/>
      <c r="AEG255" s="500"/>
      <c r="AEH255" s="500"/>
      <c r="AEI255" s="500"/>
      <c r="AEJ255" s="500"/>
      <c r="AEK255" s="500"/>
      <c r="AEL255" s="500"/>
      <c r="AEM255" s="500"/>
      <c r="AEN255" s="500"/>
      <c r="AEO255" s="500"/>
      <c r="AEP255" s="500"/>
      <c r="AEQ255" s="500"/>
      <c r="AER255" s="500"/>
      <c r="AES255" s="500"/>
      <c r="AET255" s="500"/>
      <c r="AEU255" s="500"/>
      <c r="AEV255" s="500"/>
      <c r="AEW255" s="500"/>
      <c r="AEX255" s="500"/>
      <c r="AEY255" s="500"/>
      <c r="AEZ255" s="500"/>
      <c r="AFA255" s="500"/>
      <c r="AFB255" s="500"/>
      <c r="AFC255" s="500"/>
      <c r="AFD255" s="500"/>
      <c r="AFE255" s="500"/>
      <c r="AFF255" s="500"/>
      <c r="AFG255" s="500"/>
      <c r="AFH255" s="500"/>
      <c r="AFI255" s="500"/>
      <c r="AFJ255" s="500"/>
      <c r="AFK255" s="500"/>
      <c r="AFL255" s="500"/>
      <c r="AFM255" s="500"/>
      <c r="AFN255" s="500"/>
      <c r="AFO255" s="500"/>
      <c r="AFP255" s="500"/>
      <c r="AFQ255" s="500"/>
      <c r="AFR255" s="500"/>
      <c r="AFS255" s="500"/>
      <c r="AFT255" s="500"/>
      <c r="AFU255" s="500"/>
      <c r="AFV255" s="500"/>
      <c r="AFW255" s="500"/>
      <c r="AFX255" s="500"/>
      <c r="AFY255" s="500"/>
      <c r="AFZ255" s="500"/>
      <c r="AGA255" s="500"/>
      <c r="AGB255" s="500"/>
      <c r="AGC255" s="500"/>
      <c r="AGD255" s="500"/>
      <c r="AGE255" s="500"/>
      <c r="AGF255" s="500"/>
      <c r="AGG255" s="500"/>
      <c r="AGH255" s="500"/>
      <c r="AGI255" s="500"/>
      <c r="AGJ255" s="500"/>
      <c r="AGK255" s="500"/>
      <c r="AGL255" s="500"/>
      <c r="AGM255" s="500"/>
      <c r="AGN255" s="500"/>
      <c r="AGO255" s="500"/>
      <c r="AGP255" s="500"/>
      <c r="AGQ255" s="500"/>
      <c r="AGR255" s="500"/>
      <c r="AGS255" s="500"/>
      <c r="AGT255" s="500"/>
      <c r="AGU255" s="500"/>
      <c r="AGV255" s="500"/>
      <c r="AGW255" s="500"/>
      <c r="AGX255" s="500"/>
      <c r="AGY255" s="500"/>
      <c r="AGZ255" s="500"/>
      <c r="AHA255" s="500"/>
      <c r="AHB255" s="500"/>
      <c r="AHC255" s="500"/>
      <c r="AHD255" s="500"/>
      <c r="AHE255" s="500"/>
      <c r="AHF255" s="500"/>
      <c r="AHG255" s="500"/>
      <c r="AHH255" s="500"/>
      <c r="AHI255" s="500"/>
      <c r="AHJ255" s="500"/>
      <c r="AHK255" s="500"/>
      <c r="AHL255" s="500"/>
      <c r="AHM255" s="500"/>
      <c r="AHN255" s="500"/>
      <c r="AHO255" s="500"/>
      <c r="AHP255" s="500"/>
      <c r="AHQ255" s="500"/>
      <c r="AHR255" s="500"/>
      <c r="AHS255" s="500"/>
      <c r="AHT255" s="500"/>
      <c r="AHU255" s="500"/>
      <c r="AHV255" s="500"/>
      <c r="AHW255" s="500"/>
      <c r="AHX255" s="500"/>
      <c r="AHY255" s="500"/>
      <c r="AHZ255" s="500"/>
      <c r="AIA255" s="500"/>
      <c r="AIB255" s="500"/>
      <c r="AIC255" s="500"/>
      <c r="AID255" s="500"/>
      <c r="AIE255" s="500"/>
      <c r="AIF255" s="500"/>
      <c r="AIG255" s="500"/>
      <c r="AIH255" s="500"/>
      <c r="AII255" s="500"/>
      <c r="AIJ255" s="500"/>
      <c r="AIK255" s="500"/>
      <c r="AIL255" s="500"/>
      <c r="AIM255" s="500"/>
      <c r="AIN255" s="500"/>
      <c r="AIO255" s="500"/>
      <c r="AIP255" s="500"/>
      <c r="AIQ255" s="500"/>
      <c r="AIR255" s="500"/>
      <c r="AIS255" s="500"/>
      <c r="AIT255" s="500"/>
      <c r="AIU255" s="500"/>
      <c r="AIV255" s="500"/>
      <c r="AIW255" s="500"/>
      <c r="AIX255" s="500"/>
      <c r="AIY255" s="500"/>
      <c r="AIZ255" s="500"/>
      <c r="AJA255" s="500"/>
      <c r="AJB255" s="500"/>
      <c r="AJC255" s="500"/>
      <c r="AJD255" s="500"/>
      <c r="AJE255" s="500"/>
      <c r="AJF255" s="500"/>
      <c r="AJG255" s="500"/>
      <c r="AJH255" s="500"/>
      <c r="AJI255" s="500"/>
      <c r="AJJ255" s="500"/>
      <c r="AJK255" s="500"/>
      <c r="AJL255" s="500"/>
      <c r="AJM255" s="500"/>
      <c r="AJN255" s="500"/>
      <c r="AJO255" s="500"/>
      <c r="AJP255" s="500"/>
      <c r="AJQ255" s="500"/>
      <c r="AJR255" s="500"/>
      <c r="AJS255" s="500"/>
      <c r="AJT255" s="500"/>
      <c r="AJU255" s="500"/>
      <c r="AJV255" s="500"/>
      <c r="AJW255" s="500"/>
      <c r="AJX255" s="500"/>
      <c r="AJY255" s="500"/>
      <c r="AJZ255" s="500"/>
      <c r="AKA255" s="500"/>
      <c r="AKB255" s="500"/>
      <c r="AKC255" s="500"/>
      <c r="AKD255" s="500"/>
      <c r="AKE255" s="500"/>
      <c r="AKF255" s="500"/>
      <c r="AKG255" s="500"/>
      <c r="AKH255" s="500"/>
      <c r="AKI255" s="500"/>
      <c r="AKJ255" s="500"/>
      <c r="AKK255" s="500"/>
      <c r="AKL255" s="500"/>
      <c r="AKM255" s="500"/>
      <c r="AKN255" s="500"/>
      <c r="AKO255" s="500"/>
      <c r="AKP255" s="500"/>
      <c r="AKQ255" s="500"/>
      <c r="AKR255" s="500"/>
      <c r="AKS255" s="500"/>
      <c r="AKT255" s="500"/>
      <c r="AKU255" s="500"/>
      <c r="AKV255" s="500"/>
      <c r="AKW255" s="500"/>
      <c r="AKX255" s="500"/>
      <c r="AKY255" s="500"/>
      <c r="AKZ255" s="500"/>
      <c r="ALA255" s="500"/>
      <c r="ALB255" s="500"/>
      <c r="ALC255" s="500"/>
      <c r="ALD255" s="500"/>
      <c r="ALE255" s="500"/>
      <c r="ALF255" s="500"/>
      <c r="ALG255" s="500"/>
      <c r="ALH255" s="500"/>
      <c r="ALI255" s="500"/>
      <c r="ALJ255" s="500"/>
      <c r="ALK255" s="500"/>
      <c r="ALL255" s="500"/>
      <c r="ALM255" s="500"/>
      <c r="ALN255" s="500"/>
      <c r="ALO255" s="500"/>
      <c r="ALP255" s="500"/>
      <c r="ALQ255" s="500"/>
      <c r="ALR255" s="500"/>
      <c r="ALS255" s="500"/>
      <c r="ALT255" s="500"/>
      <c r="ALU255" s="500"/>
      <c r="ALV255" s="500"/>
      <c r="ALW255" s="500"/>
      <c r="ALX255" s="500"/>
      <c r="ALY255" s="500"/>
      <c r="ALZ255" s="500"/>
      <c r="AMA255" s="500"/>
      <c r="AMB255" s="500"/>
      <c r="AMC255" s="500"/>
      <c r="AMD255" s="500"/>
      <c r="AME255" s="500"/>
      <c r="AMF255" s="500"/>
      <c r="AMG255" s="500"/>
      <c r="AMH255" s="500"/>
      <c r="AMI255" s="500"/>
      <c r="AMJ255" s="500"/>
      <c r="AMK255" s="500"/>
      <c r="AML255" s="500"/>
      <c r="AMM255" s="500"/>
      <c r="AMN255" s="500"/>
      <c r="AMO255" s="500"/>
      <c r="AMP255" s="500"/>
      <c r="AMQ255" s="500"/>
      <c r="AMR255" s="500"/>
      <c r="AMS255" s="500"/>
      <c r="AMT255" s="500"/>
      <c r="AMU255" s="500"/>
      <c r="AMV255" s="500"/>
      <c r="AMW255" s="500"/>
      <c r="AMX255" s="500"/>
      <c r="AMY255" s="500"/>
      <c r="AMZ255" s="500"/>
      <c r="ANA255" s="500"/>
      <c r="ANB255" s="500"/>
      <c r="ANC255" s="500"/>
      <c r="AND255" s="500"/>
      <c r="ANE255" s="500"/>
      <c r="ANF255" s="500"/>
      <c r="ANG255" s="500"/>
      <c r="ANH255" s="500"/>
      <c r="ANI255" s="500"/>
      <c r="ANJ255" s="500"/>
      <c r="ANK255" s="500"/>
      <c r="ANL255" s="500"/>
      <c r="ANM255" s="500"/>
      <c r="ANN255" s="500"/>
      <c r="ANO255" s="500"/>
      <c r="ANP255" s="500"/>
      <c r="ANQ255" s="500"/>
      <c r="ANR255" s="500"/>
      <c r="ANS255" s="500"/>
      <c r="ANT255" s="500"/>
      <c r="ANU255" s="500"/>
      <c r="ANV255" s="500"/>
      <c r="ANW255" s="500"/>
      <c r="ANX255" s="500"/>
      <c r="ANY255" s="500"/>
      <c r="ANZ255" s="500"/>
      <c r="AOA255" s="500"/>
      <c r="AOB255" s="500"/>
      <c r="AOC255" s="500"/>
      <c r="AOD255" s="500"/>
      <c r="AOE255" s="500"/>
      <c r="AOF255" s="500"/>
      <c r="AOG255" s="500"/>
      <c r="AOH255" s="500"/>
      <c r="AOI255" s="500"/>
      <c r="AOJ255" s="500"/>
      <c r="AOK255" s="500"/>
      <c r="AOL255" s="500"/>
      <c r="AOM255" s="500"/>
      <c r="AON255" s="500"/>
      <c r="AOO255" s="500"/>
      <c r="AOP255" s="500"/>
      <c r="AOQ255" s="500"/>
      <c r="AOR255" s="500"/>
      <c r="AOS255" s="500"/>
      <c r="AOT255" s="500"/>
      <c r="AOU255" s="500"/>
      <c r="AOV255" s="500"/>
      <c r="AOW255" s="500"/>
      <c r="AOX255" s="500"/>
      <c r="AOY255" s="500"/>
      <c r="AOZ255" s="500"/>
      <c r="APA255" s="500"/>
      <c r="APB255" s="500"/>
      <c r="APC255" s="500"/>
      <c r="APD255" s="500"/>
      <c r="APE255" s="500"/>
      <c r="APF255" s="500"/>
      <c r="APG255" s="500"/>
      <c r="APH255" s="500"/>
      <c r="API255" s="500"/>
      <c r="APJ255" s="500"/>
      <c r="APK255" s="500"/>
      <c r="APL255" s="500"/>
      <c r="APM255" s="500"/>
      <c r="APN255" s="500"/>
      <c r="APO255" s="500"/>
      <c r="APP255" s="500"/>
      <c r="APQ255" s="500"/>
      <c r="APR255" s="500"/>
      <c r="APS255" s="500"/>
      <c r="APT255" s="500"/>
      <c r="APU255" s="500"/>
      <c r="APV255" s="500"/>
      <c r="APW255" s="500"/>
      <c r="APX255" s="500"/>
      <c r="APY255" s="500"/>
      <c r="APZ255" s="500"/>
      <c r="AQA255" s="500"/>
      <c r="AQB255" s="500"/>
      <c r="AQC255" s="500"/>
      <c r="AQD255" s="500"/>
      <c r="AQE255" s="500"/>
      <c r="AQF255" s="500"/>
      <c r="AQG255" s="500"/>
      <c r="AQH255" s="500"/>
      <c r="AQI255" s="500"/>
      <c r="AQJ255" s="500"/>
      <c r="AQK255" s="500"/>
      <c r="AQL255" s="500"/>
      <c r="AQM255" s="500"/>
      <c r="AQN255" s="500"/>
      <c r="AQO255" s="500"/>
      <c r="AQP255" s="500"/>
      <c r="AQQ255" s="500"/>
      <c r="AQR255" s="500"/>
      <c r="AQS255" s="500"/>
      <c r="AQT255" s="500"/>
      <c r="AQU255" s="500"/>
      <c r="AQV255" s="500"/>
      <c r="AQW255" s="500"/>
      <c r="AQX255" s="500"/>
      <c r="AQY255" s="500"/>
      <c r="AQZ255" s="500"/>
      <c r="ARA255" s="500"/>
      <c r="ARB255" s="500"/>
      <c r="ARC255" s="500"/>
      <c r="ARD255" s="500"/>
      <c r="ARE255" s="500"/>
      <c r="ARF255" s="500"/>
      <c r="ARG255" s="500"/>
      <c r="ARH255" s="500"/>
      <c r="ARI255" s="500"/>
      <c r="ARJ255" s="500"/>
      <c r="ARK255" s="500"/>
      <c r="ARL255" s="500"/>
      <c r="ARM255" s="500"/>
      <c r="ARN255" s="500"/>
      <c r="ARO255" s="500"/>
      <c r="ARP255" s="500"/>
      <c r="ARQ255" s="500"/>
      <c r="ARR255" s="500"/>
      <c r="ARS255" s="500"/>
      <c r="ART255" s="500"/>
      <c r="ARU255" s="500"/>
      <c r="ARV255" s="500"/>
      <c r="ARW255" s="500"/>
      <c r="ARX255" s="500"/>
      <c r="ARY255" s="500"/>
      <c r="ARZ255" s="500"/>
      <c r="ASA255" s="500"/>
      <c r="ASB255" s="500"/>
      <c r="ASC255" s="500"/>
      <c r="ASD255" s="500"/>
      <c r="ASE255" s="500"/>
      <c r="ASF255" s="500"/>
      <c r="ASG255" s="500"/>
      <c r="ASH255" s="500"/>
      <c r="ASI255" s="500"/>
      <c r="ASJ255" s="500"/>
      <c r="ASK255" s="500"/>
      <c r="ASL255" s="500"/>
      <c r="ASM255" s="500"/>
      <c r="ASN255" s="500"/>
      <c r="ASO255" s="500"/>
      <c r="ASP255" s="500"/>
      <c r="ASQ255" s="500"/>
      <c r="ASR255" s="500"/>
      <c r="ASS255" s="500"/>
      <c r="AST255" s="500"/>
      <c r="ASU255" s="500"/>
      <c r="ASV255" s="500"/>
      <c r="ASW255" s="500"/>
      <c r="ASX255" s="500"/>
      <c r="ASY255" s="500"/>
      <c r="ASZ255" s="500"/>
      <c r="ATA255" s="500"/>
      <c r="ATB255" s="500"/>
      <c r="ATC255" s="500"/>
      <c r="ATD255" s="500"/>
      <c r="ATE255" s="500"/>
      <c r="ATF255" s="500"/>
      <c r="ATG255" s="500"/>
      <c r="ATH255" s="500"/>
      <c r="ATI255" s="500"/>
      <c r="ATJ255" s="500"/>
      <c r="ATK255" s="500"/>
      <c r="ATL255" s="500"/>
      <c r="ATM255" s="500"/>
      <c r="ATN255" s="500"/>
      <c r="ATO255" s="500"/>
      <c r="ATP255" s="500"/>
      <c r="ATQ255" s="500"/>
      <c r="ATR255" s="500"/>
      <c r="ATS255" s="500"/>
      <c r="ATT255" s="500"/>
      <c r="ATU255" s="500"/>
      <c r="ATV255" s="500"/>
      <c r="ATW255" s="500"/>
      <c r="ATX255" s="500"/>
      <c r="ATY255" s="500"/>
      <c r="ATZ255" s="500"/>
      <c r="AUA255" s="500"/>
      <c r="AUB255" s="500"/>
      <c r="AUC255" s="500"/>
      <c r="AUD255" s="500"/>
      <c r="AUE255" s="500"/>
      <c r="AUF255" s="500"/>
      <c r="AUG255" s="500"/>
      <c r="AUH255" s="500"/>
      <c r="AUI255" s="500"/>
      <c r="AUJ255" s="500"/>
      <c r="AUK255" s="500"/>
      <c r="AUL255" s="500"/>
      <c r="AUM255" s="500"/>
      <c r="AUN255" s="500"/>
      <c r="AUO255" s="500"/>
      <c r="AUP255" s="500"/>
      <c r="AUQ255" s="500"/>
      <c r="AUR255" s="500"/>
      <c r="AUS255" s="500"/>
      <c r="AUT255" s="500"/>
      <c r="AUU255" s="500"/>
      <c r="AUV255" s="500"/>
      <c r="AUW255" s="500"/>
      <c r="AUX255" s="500"/>
      <c r="AUY255" s="500"/>
      <c r="AUZ255" s="500"/>
      <c r="AVA255" s="500"/>
      <c r="AVB255" s="500"/>
      <c r="AVC255" s="500"/>
      <c r="AVD255" s="500"/>
      <c r="AVE255" s="500"/>
      <c r="AVF255" s="500"/>
      <c r="AVG255" s="500"/>
      <c r="AVH255" s="500"/>
      <c r="AVI255" s="500"/>
      <c r="AVJ255" s="500"/>
      <c r="AVK255" s="500"/>
      <c r="AVL255" s="500"/>
      <c r="AVM255" s="500"/>
      <c r="AVN255" s="500"/>
      <c r="AVO255" s="500"/>
      <c r="AVP255" s="500"/>
      <c r="AVQ255" s="500"/>
      <c r="AVR255" s="500"/>
      <c r="AVS255" s="500"/>
      <c r="AVT255" s="500"/>
      <c r="AVU255" s="500"/>
      <c r="AVV255" s="500"/>
      <c r="AVW255" s="500"/>
      <c r="AVX255" s="500"/>
      <c r="AVY255" s="500"/>
      <c r="AVZ255" s="500"/>
      <c r="AWA255" s="500"/>
      <c r="AWB255" s="500"/>
      <c r="AWC255" s="500"/>
      <c r="AWD255" s="500"/>
      <c r="AWE255" s="500"/>
      <c r="AWF255" s="500"/>
      <c r="AWG255" s="500"/>
      <c r="AWH255" s="500"/>
      <c r="AWI255" s="500"/>
      <c r="AWJ255" s="500"/>
      <c r="AWK255" s="500"/>
      <c r="AWL255" s="500"/>
      <c r="AWM255" s="500"/>
      <c r="AWN255" s="500"/>
      <c r="AWO255" s="500"/>
      <c r="AWP255" s="500"/>
      <c r="AWQ255" s="500"/>
      <c r="AWR255" s="500"/>
      <c r="AWS255" s="500"/>
      <c r="AWT255" s="500"/>
      <c r="AWU255" s="500"/>
      <c r="AWV255" s="500"/>
      <c r="AWW255" s="500"/>
      <c r="AWX255" s="500"/>
      <c r="AWY255" s="500"/>
      <c r="AWZ255" s="500"/>
      <c r="AXA255" s="500"/>
      <c r="AXB255" s="500"/>
      <c r="AXC255" s="500"/>
      <c r="AXD255" s="500"/>
      <c r="AXE255" s="500"/>
      <c r="AXF255" s="500"/>
      <c r="AXG255" s="500"/>
      <c r="AXH255" s="500"/>
      <c r="AXI255" s="500"/>
      <c r="AXJ255" s="500"/>
      <c r="AXK255" s="500"/>
      <c r="AXL255" s="500"/>
      <c r="AXM255" s="500"/>
      <c r="AXN255" s="500"/>
      <c r="AXO255" s="500"/>
      <c r="AXP255" s="500"/>
      <c r="AXQ255" s="500"/>
      <c r="AXR255" s="500"/>
      <c r="AXS255" s="500"/>
      <c r="AXT255" s="500"/>
      <c r="AXU255" s="500"/>
      <c r="AXV255" s="500"/>
      <c r="AXW255" s="500"/>
      <c r="AXX255" s="500"/>
      <c r="AXY255" s="500"/>
      <c r="AXZ255" s="500"/>
      <c r="AYA255" s="500"/>
      <c r="AYB255" s="500"/>
      <c r="AYC255" s="500"/>
      <c r="AYD255" s="500"/>
      <c r="AYE255" s="500"/>
      <c r="AYF255" s="500"/>
      <c r="AYG255" s="500"/>
      <c r="AYH255" s="500"/>
      <c r="AYI255" s="500"/>
      <c r="AYJ255" s="500"/>
      <c r="AYK255" s="500"/>
      <c r="AYL255" s="500"/>
      <c r="AYM255" s="500"/>
      <c r="AYN255" s="500"/>
      <c r="AYO255" s="500"/>
      <c r="AYP255" s="500"/>
      <c r="AYQ255" s="500"/>
      <c r="AYR255" s="500"/>
      <c r="AYS255" s="500"/>
      <c r="AYT255" s="500"/>
      <c r="AYU255" s="500"/>
      <c r="AYV255" s="500"/>
      <c r="AYW255" s="500"/>
      <c r="AYX255" s="500"/>
      <c r="AYY255" s="500"/>
      <c r="AYZ255" s="500"/>
      <c r="AZA255" s="500"/>
      <c r="AZB255" s="500"/>
      <c r="AZC255" s="500"/>
      <c r="AZD255" s="500"/>
      <c r="AZE255" s="500"/>
      <c r="AZF255" s="500"/>
      <c r="AZG255" s="500"/>
      <c r="AZH255" s="500"/>
      <c r="AZI255" s="500"/>
      <c r="AZJ255" s="500"/>
      <c r="AZK255" s="500"/>
      <c r="AZL255" s="500"/>
      <c r="AZM255" s="500"/>
      <c r="AZN255" s="500"/>
      <c r="AZO255" s="500"/>
      <c r="AZP255" s="500"/>
      <c r="AZQ255" s="500"/>
      <c r="AZR255" s="500"/>
      <c r="AZS255" s="500"/>
      <c r="AZT255" s="500"/>
      <c r="AZU255" s="500"/>
      <c r="AZV255" s="500"/>
      <c r="AZW255" s="500"/>
      <c r="AZX255" s="500"/>
      <c r="AZY255" s="500"/>
      <c r="AZZ255" s="500"/>
      <c r="BAA255" s="500"/>
      <c r="BAB255" s="500"/>
      <c r="BAC255" s="500"/>
      <c r="BAD255" s="500"/>
      <c r="BAE255" s="500"/>
      <c r="BAF255" s="500"/>
      <c r="BAG255" s="500"/>
      <c r="BAH255" s="500"/>
      <c r="BAI255" s="500"/>
      <c r="BAJ255" s="500"/>
      <c r="BAK255" s="500"/>
      <c r="BAL255" s="500"/>
      <c r="BAM255" s="500"/>
      <c r="BAN255" s="500"/>
      <c r="BAO255" s="500"/>
      <c r="BAP255" s="500"/>
      <c r="BAQ255" s="500"/>
      <c r="BAR255" s="500"/>
      <c r="BAS255" s="500"/>
      <c r="BAT255" s="500"/>
      <c r="BAU255" s="500"/>
      <c r="BAV255" s="500"/>
      <c r="BAW255" s="500"/>
      <c r="BAX255" s="500"/>
      <c r="BAY255" s="500"/>
      <c r="BAZ255" s="500"/>
      <c r="BBA255" s="500"/>
      <c r="BBB255" s="500"/>
      <c r="BBC255" s="500"/>
      <c r="BBD255" s="500"/>
      <c r="BBE255" s="500"/>
      <c r="BBF255" s="500"/>
      <c r="BBG255" s="500"/>
      <c r="BBH255" s="500"/>
      <c r="BBI255" s="500"/>
      <c r="BBJ255" s="500"/>
      <c r="BBK255" s="500"/>
      <c r="BBL255" s="500"/>
      <c r="BBM255" s="500"/>
      <c r="BBN255" s="500"/>
      <c r="BBO255" s="500"/>
      <c r="BBP255" s="500"/>
      <c r="BBQ255" s="500"/>
      <c r="BBR255" s="500"/>
      <c r="BBS255" s="500"/>
      <c r="BBT255" s="500"/>
      <c r="BBU255" s="500"/>
      <c r="BBV255" s="500"/>
      <c r="BBW255" s="500"/>
      <c r="BBX255" s="500"/>
      <c r="BBY255" s="500"/>
      <c r="BBZ255" s="500"/>
      <c r="BCA255" s="500"/>
      <c r="BCB255" s="500"/>
      <c r="BCC255" s="500"/>
      <c r="BCD255" s="500"/>
      <c r="BCE255" s="500"/>
      <c r="BCF255" s="500"/>
      <c r="BCG255" s="500"/>
      <c r="BCH255" s="500"/>
      <c r="BCI255" s="500"/>
      <c r="BCJ255" s="500"/>
      <c r="BCK255" s="500"/>
      <c r="BCL255" s="500"/>
      <c r="BCM255" s="500"/>
      <c r="BCN255" s="500"/>
      <c r="BCO255" s="500"/>
      <c r="BCP255" s="500"/>
      <c r="BCQ255" s="500"/>
      <c r="BCR255" s="500"/>
      <c r="BCS255" s="500"/>
      <c r="BCT255" s="500"/>
      <c r="BCU255" s="500"/>
      <c r="BCV255" s="500"/>
      <c r="BCW255" s="500"/>
      <c r="BCX255" s="500"/>
      <c r="BCY255" s="500"/>
      <c r="BCZ255" s="500"/>
      <c r="BDA255" s="500"/>
      <c r="BDB255" s="500"/>
      <c r="BDC255" s="500"/>
      <c r="BDD255" s="500"/>
      <c r="BDE255" s="500"/>
      <c r="BDF255" s="500"/>
      <c r="BDG255" s="500"/>
      <c r="BDH255" s="500"/>
      <c r="BDI255" s="500"/>
      <c r="BDJ255" s="500"/>
      <c r="BDK255" s="500"/>
      <c r="BDL255" s="500"/>
      <c r="BDM255" s="500"/>
      <c r="BDN255" s="500"/>
      <c r="BDO255" s="500"/>
      <c r="BDP255" s="500"/>
      <c r="BDQ255" s="500"/>
      <c r="BDR255" s="500"/>
      <c r="BDS255" s="500"/>
      <c r="BDT255" s="500"/>
      <c r="BDU255" s="500"/>
      <c r="BDV255" s="500"/>
      <c r="BDW255" s="500"/>
      <c r="BDX255" s="500"/>
      <c r="BDY255" s="500"/>
      <c r="BDZ255" s="500"/>
      <c r="BEA255" s="500"/>
      <c r="BEB255" s="500"/>
      <c r="BEC255" s="500"/>
      <c r="BED255" s="500"/>
      <c r="BEE255" s="500"/>
      <c r="BEF255" s="500"/>
      <c r="BEG255" s="500"/>
      <c r="BEH255" s="500"/>
      <c r="BEI255" s="500"/>
      <c r="BEJ255" s="500"/>
      <c r="BEK255" s="500"/>
      <c r="BEL255" s="500"/>
      <c r="BEM255" s="500"/>
      <c r="BEN255" s="500"/>
      <c r="BEO255" s="500"/>
      <c r="BEP255" s="500"/>
      <c r="BEQ255" s="500"/>
      <c r="BER255" s="500"/>
      <c r="BES255" s="500"/>
      <c r="BET255" s="500"/>
      <c r="BEU255" s="500"/>
      <c r="BEV255" s="500"/>
      <c r="BEW255" s="500"/>
      <c r="BEX255" s="500"/>
      <c r="BEY255" s="500"/>
      <c r="BEZ255" s="500"/>
      <c r="BFA255" s="500"/>
      <c r="BFB255" s="500"/>
      <c r="BFC255" s="500"/>
      <c r="BFD255" s="500"/>
      <c r="BFE255" s="500"/>
      <c r="BFF255" s="500"/>
      <c r="BFG255" s="500"/>
      <c r="BFH255" s="500"/>
      <c r="BFI255" s="500"/>
      <c r="BFJ255" s="500"/>
      <c r="BFK255" s="500"/>
      <c r="BFL255" s="500"/>
      <c r="BFM255" s="500"/>
      <c r="BFN255" s="500"/>
      <c r="BFO255" s="500"/>
      <c r="BFP255" s="500"/>
      <c r="BFQ255" s="500"/>
      <c r="BFR255" s="500"/>
      <c r="BFS255" s="500"/>
      <c r="BFT255" s="500"/>
      <c r="BFU255" s="500"/>
      <c r="BFV255" s="500"/>
      <c r="BFW255" s="500"/>
      <c r="BFX255" s="500"/>
      <c r="BFY255" s="500"/>
      <c r="BFZ255" s="500"/>
      <c r="BGA255" s="500"/>
      <c r="BGB255" s="500"/>
      <c r="BGC255" s="500"/>
      <c r="BGD255" s="500"/>
      <c r="BGE255" s="500"/>
      <c r="BGF255" s="500"/>
      <c r="BGG255" s="500"/>
      <c r="BGH255" s="500"/>
      <c r="BGI255" s="500"/>
      <c r="BGJ255" s="500"/>
      <c r="BGK255" s="500"/>
      <c r="BGL255" s="500"/>
      <c r="BGM255" s="500"/>
      <c r="BGN255" s="500"/>
      <c r="BGO255" s="500"/>
      <c r="BGP255" s="500"/>
      <c r="BGQ255" s="500"/>
      <c r="BGR255" s="500"/>
      <c r="BGS255" s="500"/>
      <c r="BGT255" s="500"/>
      <c r="BGU255" s="500"/>
      <c r="BGV255" s="500"/>
      <c r="BGW255" s="500"/>
      <c r="BGX255" s="500"/>
      <c r="BGY255" s="500"/>
      <c r="BGZ255" s="500"/>
      <c r="BHA255" s="500"/>
      <c r="BHB255" s="500"/>
      <c r="BHC255" s="500"/>
      <c r="BHD255" s="500"/>
      <c r="BHE255" s="500"/>
      <c r="BHF255" s="500"/>
      <c r="BHG255" s="500"/>
      <c r="BHH255" s="500"/>
      <c r="BHI255" s="500"/>
      <c r="BHJ255" s="500"/>
      <c r="BHK255" s="500"/>
      <c r="BHL255" s="500"/>
      <c r="BHM255" s="500"/>
      <c r="BHN255" s="500"/>
      <c r="BHO255" s="500"/>
      <c r="BHP255" s="500"/>
      <c r="BHQ255" s="500"/>
      <c r="BHR255" s="500"/>
      <c r="BHS255" s="500"/>
      <c r="BHT255" s="500"/>
      <c r="BHU255" s="500"/>
      <c r="BHV255" s="500"/>
      <c r="BHW255" s="500"/>
      <c r="BHX255" s="500"/>
      <c r="BHY255" s="500"/>
      <c r="BHZ255" s="500"/>
      <c r="BIA255" s="500"/>
      <c r="BIB255" s="500"/>
      <c r="BIC255" s="500"/>
      <c r="BID255" s="500"/>
      <c r="BIE255" s="500"/>
      <c r="BIF255" s="500"/>
      <c r="BIG255" s="500"/>
      <c r="BIH255" s="500"/>
      <c r="BII255" s="500"/>
      <c r="BIJ255" s="500"/>
      <c r="BIK255" s="500"/>
      <c r="BIL255" s="500"/>
      <c r="BIM255" s="500"/>
      <c r="BIN255" s="500"/>
      <c r="BIO255" s="500"/>
      <c r="BIP255" s="500"/>
      <c r="BIQ255" s="500"/>
      <c r="BIR255" s="500"/>
      <c r="BIS255" s="500"/>
      <c r="BIT255" s="500"/>
      <c r="BIU255" s="500"/>
      <c r="BIV255" s="500"/>
      <c r="BIW255" s="500"/>
      <c r="BIX255" s="500"/>
      <c r="BIY255" s="500"/>
      <c r="BIZ255" s="500"/>
      <c r="BJA255" s="500"/>
      <c r="BJB255" s="500"/>
      <c r="BJC255" s="500"/>
      <c r="BJD255" s="500"/>
      <c r="BJE255" s="500"/>
      <c r="BJF255" s="500"/>
      <c r="BJG255" s="500"/>
      <c r="BJH255" s="500"/>
      <c r="BJI255" s="500"/>
      <c r="BJJ255" s="500"/>
      <c r="BJK255" s="500"/>
      <c r="BJL255" s="500"/>
      <c r="BJM255" s="500"/>
      <c r="BJN255" s="500"/>
      <c r="BJO255" s="500"/>
      <c r="BJP255" s="500"/>
      <c r="BJQ255" s="500"/>
      <c r="BJR255" s="500"/>
      <c r="BJS255" s="500"/>
      <c r="BJT255" s="500"/>
      <c r="BJU255" s="500"/>
      <c r="BJV255" s="500"/>
      <c r="BJW255" s="500"/>
      <c r="BJX255" s="500"/>
      <c r="BJY255" s="500"/>
      <c r="BJZ255" s="500"/>
      <c r="BKA255" s="500"/>
      <c r="BKB255" s="500"/>
      <c r="BKC255" s="500"/>
      <c r="BKD255" s="500"/>
      <c r="BKE255" s="500"/>
      <c r="BKF255" s="500"/>
      <c r="BKG255" s="500"/>
      <c r="BKH255" s="500"/>
      <c r="BKI255" s="500"/>
      <c r="BKJ255" s="500"/>
      <c r="BKK255" s="500"/>
      <c r="BKL255" s="500"/>
      <c r="BKM255" s="500"/>
      <c r="BKN255" s="500"/>
      <c r="BKO255" s="500"/>
      <c r="BKP255" s="500"/>
      <c r="BKQ255" s="500"/>
      <c r="BKR255" s="500"/>
      <c r="BKS255" s="500"/>
      <c r="BKT255" s="500"/>
      <c r="BKU255" s="500"/>
      <c r="BKV255" s="500"/>
      <c r="BKW255" s="500"/>
      <c r="BKX255" s="500"/>
      <c r="BKY255" s="500"/>
      <c r="BKZ255" s="500"/>
      <c r="BLA255" s="500"/>
      <c r="BLB255" s="500"/>
      <c r="BLC255" s="500"/>
      <c r="BLD255" s="500"/>
      <c r="BLE255" s="500"/>
      <c r="BLF255" s="500"/>
      <c r="BLG255" s="500"/>
      <c r="BLH255" s="500"/>
      <c r="BLI255" s="500"/>
      <c r="BLJ255" s="500"/>
      <c r="BLK255" s="500"/>
      <c r="BLL255" s="500"/>
      <c r="BLM255" s="500"/>
      <c r="BLN255" s="500"/>
      <c r="BLO255" s="500"/>
      <c r="BLP255" s="500"/>
      <c r="BLQ255" s="500"/>
      <c r="BLR255" s="500"/>
      <c r="BLS255" s="500"/>
      <c r="BLT255" s="500"/>
      <c r="BLU255" s="500"/>
      <c r="BLV255" s="500"/>
      <c r="BLW255" s="500"/>
      <c r="BLX255" s="500"/>
      <c r="BLY255" s="500"/>
      <c r="BLZ255" s="500"/>
      <c r="BMA255" s="500"/>
      <c r="BMB255" s="500"/>
      <c r="BMC255" s="500"/>
      <c r="BMD255" s="500"/>
      <c r="BME255" s="500"/>
      <c r="BMF255" s="500"/>
      <c r="BMG255" s="500"/>
      <c r="BMH255" s="500"/>
      <c r="BMI255" s="500"/>
      <c r="BMJ255" s="500"/>
      <c r="BMK255" s="500"/>
      <c r="BML255" s="500"/>
      <c r="BMM255" s="500"/>
      <c r="BMN255" s="500"/>
      <c r="BMO255" s="500"/>
      <c r="BMP255" s="500"/>
      <c r="BMQ255" s="500"/>
      <c r="BMR255" s="500"/>
      <c r="BMS255" s="500"/>
      <c r="BMT255" s="500"/>
      <c r="BMU255" s="500"/>
      <c r="BMV255" s="500"/>
      <c r="BMW255" s="500"/>
      <c r="BMX255" s="500"/>
      <c r="BMY255" s="500"/>
      <c r="BMZ255" s="500"/>
      <c r="BNA255" s="500"/>
      <c r="BNB255" s="500"/>
      <c r="BNC255" s="500"/>
      <c r="BND255" s="500"/>
      <c r="BNE255" s="500"/>
      <c r="BNF255" s="500"/>
      <c r="BNG255" s="500"/>
      <c r="BNH255" s="500"/>
      <c r="BNI255" s="500"/>
      <c r="BNJ255" s="500"/>
      <c r="BNK255" s="500"/>
      <c r="BNL255" s="500"/>
      <c r="BNM255" s="500"/>
      <c r="BNN255" s="500"/>
      <c r="BNO255" s="500"/>
      <c r="BNP255" s="500"/>
      <c r="BNQ255" s="500"/>
      <c r="BNR255" s="500"/>
      <c r="BNS255" s="500"/>
      <c r="BNT255" s="500"/>
      <c r="BNU255" s="500"/>
      <c r="BNV255" s="500"/>
      <c r="BNW255" s="500"/>
      <c r="BNX255" s="500"/>
      <c r="BNY255" s="500"/>
      <c r="BNZ255" s="500"/>
      <c r="BOA255" s="500"/>
      <c r="BOB255" s="500"/>
      <c r="BOC255" s="500"/>
      <c r="BOD255" s="500"/>
      <c r="BOE255" s="500"/>
      <c r="BOF255" s="500"/>
      <c r="BOG255" s="500"/>
      <c r="BOH255" s="500"/>
      <c r="BOI255" s="500"/>
      <c r="BOJ255" s="500"/>
      <c r="BOK255" s="500"/>
      <c r="BOL255" s="500"/>
      <c r="BOM255" s="500"/>
      <c r="BON255" s="500"/>
      <c r="BOO255" s="500"/>
      <c r="BOP255" s="500"/>
      <c r="BOQ255" s="500"/>
      <c r="BOR255" s="500"/>
      <c r="BOS255" s="500"/>
      <c r="BOT255" s="500"/>
      <c r="BOU255" s="500"/>
      <c r="BOV255" s="500"/>
      <c r="BOW255" s="500"/>
      <c r="BOX255" s="500"/>
      <c r="BOY255" s="500"/>
      <c r="BOZ255" s="500"/>
      <c r="BPA255" s="500"/>
      <c r="BPB255" s="500"/>
      <c r="BPC255" s="500"/>
      <c r="BPD255" s="500"/>
      <c r="BPE255" s="500"/>
      <c r="BPF255" s="500"/>
      <c r="BPG255" s="500"/>
      <c r="BPH255" s="500"/>
      <c r="BPI255" s="500"/>
      <c r="BPJ255" s="500"/>
      <c r="BPK255" s="500"/>
      <c r="BPL255" s="500"/>
      <c r="BPM255" s="500"/>
      <c r="BPN255" s="500"/>
      <c r="BPO255" s="500"/>
      <c r="BPP255" s="500"/>
      <c r="BPQ255" s="500"/>
      <c r="BPR255" s="500"/>
      <c r="BPS255" s="500"/>
      <c r="BPT255" s="500"/>
      <c r="BPU255" s="500"/>
      <c r="BPV255" s="500"/>
      <c r="BPW255" s="500"/>
      <c r="BPX255" s="500"/>
      <c r="BPY255" s="500"/>
      <c r="BPZ255" s="500"/>
      <c r="BQA255" s="500"/>
      <c r="BQB255" s="500"/>
      <c r="BQC255" s="500"/>
      <c r="BQD255" s="500"/>
      <c r="BQE255" s="500"/>
      <c r="BQF255" s="500"/>
      <c r="BQG255" s="500"/>
      <c r="BQH255" s="500"/>
      <c r="BQI255" s="500"/>
      <c r="BQJ255" s="500"/>
      <c r="BQK255" s="500"/>
      <c r="BQL255" s="500"/>
      <c r="BQM255" s="500"/>
      <c r="BQN255" s="500"/>
      <c r="BQO255" s="500"/>
      <c r="BQP255" s="500"/>
      <c r="BQQ255" s="500"/>
      <c r="BQR255" s="500"/>
      <c r="BQS255" s="500"/>
      <c r="BQT255" s="500"/>
      <c r="BQU255" s="500"/>
      <c r="BQV255" s="500"/>
      <c r="BQW255" s="500"/>
      <c r="BQX255" s="500"/>
      <c r="BQY255" s="500"/>
      <c r="BQZ255" s="500"/>
      <c r="BRA255" s="500"/>
      <c r="BRB255" s="500"/>
      <c r="BRC255" s="500"/>
      <c r="BRD255" s="500"/>
      <c r="BRE255" s="500"/>
      <c r="BRF255" s="500"/>
      <c r="BRG255" s="500"/>
      <c r="BRH255" s="500"/>
      <c r="BRI255" s="500"/>
      <c r="BRJ255" s="500"/>
      <c r="BRK255" s="500"/>
      <c r="BRL255" s="500"/>
      <c r="BRM255" s="500"/>
      <c r="BRN255" s="500"/>
      <c r="BRO255" s="500"/>
      <c r="BRP255" s="500"/>
      <c r="BRQ255" s="500"/>
      <c r="BRR255" s="500"/>
      <c r="BRS255" s="500"/>
      <c r="BRT255" s="500"/>
      <c r="BRU255" s="500"/>
      <c r="BRV255" s="500"/>
      <c r="BRW255" s="500"/>
      <c r="BRX255" s="500"/>
      <c r="BRY255" s="500"/>
      <c r="BRZ255" s="500"/>
      <c r="BSA255" s="500"/>
      <c r="BSB255" s="500"/>
      <c r="BSC255" s="500"/>
      <c r="BSD255" s="500"/>
      <c r="BSE255" s="500"/>
      <c r="BSF255" s="500"/>
      <c r="BSG255" s="500"/>
      <c r="BSH255" s="500"/>
      <c r="BSI255" s="500"/>
      <c r="BSJ255" s="500"/>
      <c r="BSK255" s="500"/>
      <c r="BSL255" s="500"/>
      <c r="BSM255" s="500"/>
      <c r="BSN255" s="500"/>
      <c r="BSO255" s="500"/>
      <c r="BSP255" s="500"/>
      <c r="BSQ255" s="500"/>
      <c r="BSR255" s="500"/>
      <c r="BSS255" s="500"/>
      <c r="BST255" s="500"/>
      <c r="BSU255" s="500"/>
      <c r="BSV255" s="500"/>
      <c r="BSW255" s="500"/>
      <c r="BSX255" s="500"/>
      <c r="BSY255" s="500"/>
      <c r="BSZ255" s="500"/>
      <c r="BTA255" s="500"/>
      <c r="BTB255" s="500"/>
      <c r="BTC255" s="500"/>
      <c r="BTD255" s="500"/>
      <c r="BTE255" s="500"/>
      <c r="BTF255" s="500"/>
      <c r="BTG255" s="500"/>
      <c r="BTH255" s="500"/>
      <c r="BTI255" s="500"/>
    </row>
    <row r="256" spans="1:1881" s="499" customFormat="1" ht="15.75" thickBot="1" x14ac:dyDescent="0.3">
      <c r="A256" s="506"/>
      <c r="B256" s="744"/>
      <c r="C256" s="744"/>
      <c r="D256" s="745"/>
      <c r="E256" s="735"/>
      <c r="F256" s="636"/>
      <c r="G256" s="583"/>
      <c r="H256" s="501"/>
      <c r="I256" s="423"/>
      <c r="J256" s="500"/>
      <c r="K256" s="500"/>
      <c r="L256" s="500"/>
      <c r="M256" s="500"/>
      <c r="N256"/>
      <c r="O256" s="500"/>
      <c r="P256" s="500"/>
      <c r="Q256" s="500"/>
      <c r="R256" s="500"/>
      <c r="S256" s="500"/>
      <c r="T256" s="500"/>
      <c r="U256" s="500"/>
      <c r="V256" s="500"/>
      <c r="W256" s="500"/>
      <c r="X256" s="500"/>
      <c r="Y256" s="500"/>
      <c r="Z256" s="500"/>
      <c r="AA256" s="500"/>
      <c r="AB256" s="500"/>
      <c r="AC256" s="500"/>
      <c r="AD256" s="500"/>
      <c r="AE256" s="500"/>
      <c r="AF256" s="500"/>
      <c r="AG256" s="500"/>
      <c r="AH256" s="500"/>
      <c r="AI256" s="500"/>
      <c r="AJ256" s="500"/>
      <c r="AK256" s="500"/>
      <c r="AL256" s="500"/>
      <c r="AM256" s="500"/>
      <c r="AN256" s="500"/>
      <c r="AO256" s="500"/>
      <c r="AP256" s="500"/>
      <c r="AQ256" s="500"/>
      <c r="AR256" s="500"/>
      <c r="AS256" s="500"/>
      <c r="AT256" s="500"/>
      <c r="AU256" s="500"/>
      <c r="AV256" s="500"/>
      <c r="AW256" s="500"/>
      <c r="AX256" s="500"/>
      <c r="AY256" s="500"/>
      <c r="AZ256" s="500"/>
      <c r="BA256" s="500"/>
      <c r="BB256" s="500"/>
      <c r="BC256" s="500"/>
      <c r="BD256" s="500"/>
      <c r="BE256" s="500"/>
      <c r="BF256" s="500"/>
      <c r="BG256" s="500"/>
      <c r="BH256" s="500"/>
      <c r="BI256" s="500"/>
      <c r="BJ256" s="500"/>
      <c r="BK256" s="500"/>
      <c r="BL256" s="500"/>
      <c r="BM256" s="500"/>
      <c r="BN256" s="500"/>
      <c r="BO256" s="500"/>
      <c r="BP256" s="500"/>
      <c r="BQ256" s="500"/>
      <c r="BR256" s="500"/>
      <c r="BS256" s="500"/>
      <c r="BT256" s="500"/>
      <c r="BU256" s="500"/>
      <c r="BV256" s="500"/>
      <c r="BW256" s="500"/>
      <c r="BX256" s="500"/>
      <c r="BY256" s="500"/>
      <c r="BZ256" s="500"/>
      <c r="CA256" s="500"/>
      <c r="CB256" s="500"/>
      <c r="CC256" s="500"/>
      <c r="CD256" s="500"/>
      <c r="CE256" s="500"/>
      <c r="CF256" s="500"/>
      <c r="CG256" s="500"/>
      <c r="CH256" s="500"/>
      <c r="CI256" s="500"/>
      <c r="CJ256" s="500"/>
      <c r="CK256" s="500"/>
      <c r="CL256" s="500"/>
      <c r="CM256" s="500"/>
      <c r="CN256" s="500"/>
      <c r="CO256" s="500"/>
      <c r="CP256" s="500"/>
      <c r="CQ256" s="500"/>
      <c r="CR256" s="500"/>
      <c r="CS256" s="500"/>
      <c r="CT256" s="500"/>
      <c r="CU256" s="500"/>
      <c r="CV256" s="500"/>
      <c r="CW256" s="500"/>
      <c r="CX256" s="500"/>
      <c r="CY256" s="500"/>
      <c r="CZ256" s="500"/>
      <c r="DA256" s="500"/>
      <c r="DB256" s="500"/>
      <c r="DC256" s="500"/>
      <c r="DD256" s="500"/>
      <c r="DE256" s="500"/>
      <c r="DF256" s="500"/>
      <c r="DG256" s="500"/>
      <c r="DH256" s="500"/>
      <c r="DI256" s="500"/>
      <c r="DJ256" s="500"/>
      <c r="DK256" s="500"/>
      <c r="DL256" s="500"/>
      <c r="DM256" s="500"/>
      <c r="DN256" s="500"/>
      <c r="DO256" s="500"/>
      <c r="DP256" s="500"/>
      <c r="DQ256" s="500"/>
      <c r="DR256" s="500"/>
      <c r="DS256" s="500"/>
      <c r="DT256" s="500"/>
      <c r="DU256" s="500"/>
      <c r="DV256" s="500"/>
      <c r="DW256" s="500"/>
      <c r="DX256" s="500"/>
      <c r="DY256" s="500"/>
      <c r="DZ256" s="500"/>
      <c r="EA256" s="500"/>
      <c r="EB256" s="500"/>
      <c r="EC256" s="500"/>
      <c r="ED256" s="500"/>
      <c r="EE256" s="500"/>
      <c r="EF256" s="500"/>
      <c r="EG256" s="500"/>
      <c r="EH256" s="500"/>
      <c r="EI256" s="500"/>
      <c r="EJ256" s="500"/>
      <c r="EK256" s="500"/>
      <c r="EL256" s="500"/>
      <c r="EM256" s="500"/>
      <c r="EN256" s="500"/>
      <c r="EO256" s="500"/>
      <c r="EP256" s="500"/>
      <c r="EQ256" s="500"/>
      <c r="ER256" s="500"/>
      <c r="ES256" s="500"/>
      <c r="ET256" s="500"/>
      <c r="EU256" s="500"/>
      <c r="EV256" s="500"/>
      <c r="EW256" s="500"/>
      <c r="EX256" s="500"/>
      <c r="EY256" s="500"/>
      <c r="EZ256" s="500"/>
      <c r="FA256" s="500"/>
      <c r="FB256" s="500"/>
      <c r="FC256" s="500"/>
      <c r="FD256" s="500"/>
      <c r="FE256" s="500"/>
      <c r="FF256" s="500"/>
      <c r="FG256" s="500"/>
      <c r="FH256" s="500"/>
      <c r="FI256" s="500"/>
      <c r="FJ256" s="500"/>
      <c r="FK256" s="500"/>
      <c r="FL256" s="500"/>
      <c r="FM256" s="500"/>
      <c r="FN256" s="500"/>
      <c r="FO256" s="500"/>
      <c r="FP256" s="500"/>
      <c r="FQ256" s="500"/>
      <c r="FR256" s="500"/>
      <c r="FS256" s="500"/>
      <c r="FT256" s="500"/>
      <c r="FU256" s="500"/>
      <c r="FV256" s="500"/>
      <c r="FW256" s="500"/>
      <c r="FX256" s="500"/>
      <c r="FY256" s="500"/>
      <c r="FZ256" s="500"/>
      <c r="GA256" s="500"/>
      <c r="GB256" s="500"/>
      <c r="GC256" s="500"/>
      <c r="GD256" s="500"/>
      <c r="GE256" s="500"/>
      <c r="GF256" s="500"/>
      <c r="GG256" s="500"/>
      <c r="GH256" s="500"/>
      <c r="GI256" s="500"/>
      <c r="GJ256" s="500"/>
      <c r="GK256" s="500"/>
      <c r="GL256" s="500"/>
      <c r="GM256" s="500"/>
      <c r="GN256" s="500"/>
      <c r="GO256" s="500"/>
      <c r="GP256" s="500"/>
      <c r="GQ256" s="500"/>
      <c r="GR256" s="500"/>
      <c r="GS256" s="500"/>
      <c r="GT256" s="500"/>
      <c r="GU256" s="500"/>
      <c r="GV256" s="500"/>
      <c r="GW256" s="500"/>
      <c r="GX256" s="500"/>
      <c r="GY256" s="500"/>
      <c r="GZ256" s="500"/>
      <c r="HA256" s="500"/>
      <c r="HB256" s="500"/>
      <c r="HC256" s="500"/>
      <c r="HD256" s="500"/>
      <c r="HE256" s="500"/>
      <c r="HF256" s="500"/>
      <c r="HG256" s="500"/>
      <c r="HH256" s="500"/>
      <c r="HI256" s="500"/>
      <c r="HJ256" s="500"/>
      <c r="HK256" s="500"/>
      <c r="HL256" s="500"/>
      <c r="HM256" s="500"/>
      <c r="HN256" s="500"/>
      <c r="HO256" s="500"/>
      <c r="HP256" s="500"/>
      <c r="HQ256" s="500"/>
      <c r="HR256" s="500"/>
      <c r="HS256" s="500"/>
      <c r="HT256" s="500"/>
      <c r="HU256" s="500"/>
      <c r="HV256" s="500"/>
      <c r="HW256" s="500"/>
      <c r="HX256" s="500"/>
      <c r="HY256" s="500"/>
      <c r="HZ256" s="500"/>
      <c r="IA256" s="500"/>
      <c r="IB256" s="500"/>
      <c r="IC256" s="500"/>
      <c r="ID256" s="500"/>
      <c r="IE256" s="500"/>
      <c r="IF256" s="500"/>
      <c r="IG256" s="500"/>
      <c r="IH256" s="500"/>
      <c r="II256" s="500"/>
      <c r="IJ256" s="500"/>
      <c r="IK256" s="500"/>
      <c r="IL256" s="500"/>
      <c r="IM256" s="500"/>
      <c r="IN256" s="500"/>
      <c r="IO256" s="500"/>
      <c r="IP256" s="500"/>
      <c r="IQ256" s="500"/>
      <c r="IR256" s="500"/>
      <c r="IS256" s="500"/>
      <c r="IT256" s="500"/>
      <c r="IU256" s="500"/>
      <c r="IV256" s="500"/>
      <c r="IW256" s="500"/>
      <c r="IX256" s="500"/>
      <c r="IY256" s="500"/>
      <c r="IZ256" s="500"/>
      <c r="JA256" s="500"/>
      <c r="JB256" s="500"/>
      <c r="JC256" s="500"/>
      <c r="JD256" s="500"/>
      <c r="JE256" s="500"/>
      <c r="JF256" s="500"/>
      <c r="JG256" s="500"/>
      <c r="JH256" s="500"/>
      <c r="JI256" s="500"/>
      <c r="JJ256" s="500"/>
      <c r="JK256" s="500"/>
      <c r="JL256" s="500"/>
      <c r="JM256" s="500"/>
      <c r="JN256" s="500"/>
      <c r="JO256" s="500"/>
      <c r="JP256" s="500"/>
      <c r="JQ256" s="500"/>
      <c r="JR256" s="500"/>
      <c r="JS256" s="500"/>
      <c r="JT256" s="500"/>
      <c r="JU256" s="500"/>
      <c r="JV256" s="500"/>
      <c r="JW256" s="500"/>
      <c r="JX256" s="500"/>
      <c r="JY256" s="500"/>
      <c r="JZ256" s="500"/>
      <c r="KA256" s="500"/>
      <c r="KB256" s="500"/>
      <c r="KC256" s="500"/>
      <c r="KD256" s="500"/>
      <c r="KE256" s="500"/>
      <c r="KF256" s="500"/>
      <c r="KG256" s="500"/>
      <c r="KH256" s="500"/>
      <c r="KI256" s="500"/>
      <c r="KJ256" s="500"/>
      <c r="KK256" s="500"/>
      <c r="KL256" s="500"/>
      <c r="KM256" s="500"/>
      <c r="KN256" s="500"/>
      <c r="KO256" s="500"/>
      <c r="KP256" s="500"/>
      <c r="KQ256" s="500"/>
      <c r="KR256" s="500"/>
      <c r="KS256" s="500"/>
      <c r="KT256" s="500"/>
      <c r="KU256" s="500"/>
      <c r="KV256" s="500"/>
      <c r="KW256" s="500"/>
      <c r="KX256" s="500"/>
      <c r="KY256" s="500"/>
      <c r="KZ256" s="500"/>
      <c r="LA256" s="500"/>
      <c r="LB256" s="500"/>
      <c r="LC256" s="500"/>
      <c r="LD256" s="500"/>
      <c r="LE256" s="500"/>
      <c r="LF256" s="500"/>
      <c r="LG256" s="500"/>
      <c r="LH256" s="500"/>
      <c r="LI256" s="500"/>
      <c r="LJ256" s="500"/>
      <c r="LK256" s="500"/>
      <c r="LL256" s="500"/>
      <c r="LM256" s="500"/>
      <c r="LN256" s="500"/>
      <c r="LO256" s="500"/>
      <c r="LP256" s="500"/>
      <c r="LQ256" s="500"/>
      <c r="LR256" s="500"/>
      <c r="LS256" s="500"/>
      <c r="LT256" s="500"/>
      <c r="LU256" s="500"/>
      <c r="LV256" s="500"/>
      <c r="LW256" s="500"/>
      <c r="LX256" s="500"/>
      <c r="LY256" s="500"/>
      <c r="LZ256" s="500"/>
      <c r="MA256" s="500"/>
      <c r="MB256" s="500"/>
      <c r="MC256" s="500"/>
      <c r="MD256" s="500"/>
      <c r="ME256" s="500"/>
      <c r="MF256" s="500"/>
      <c r="MG256" s="500"/>
      <c r="MH256" s="500"/>
      <c r="MI256" s="500"/>
      <c r="MJ256" s="500"/>
      <c r="MK256" s="500"/>
      <c r="ML256" s="500"/>
      <c r="MM256" s="500"/>
      <c r="MN256" s="500"/>
      <c r="MO256" s="500"/>
      <c r="MP256" s="500"/>
      <c r="MQ256" s="500"/>
      <c r="MR256" s="500"/>
      <c r="MS256" s="500"/>
      <c r="MT256" s="500"/>
      <c r="MU256" s="500"/>
      <c r="MV256" s="500"/>
      <c r="MW256" s="500"/>
      <c r="MX256" s="500"/>
      <c r="MY256" s="500"/>
      <c r="MZ256" s="500"/>
      <c r="NA256" s="500"/>
      <c r="NB256" s="500"/>
      <c r="NC256" s="500"/>
      <c r="ND256" s="500"/>
      <c r="NE256" s="500"/>
      <c r="NF256" s="500"/>
      <c r="NG256" s="500"/>
      <c r="NH256" s="500"/>
      <c r="NI256" s="500"/>
      <c r="NJ256" s="500"/>
      <c r="NK256" s="500"/>
      <c r="NL256" s="500"/>
      <c r="NM256" s="500"/>
      <c r="NN256" s="500"/>
      <c r="NO256" s="500"/>
      <c r="NP256" s="500"/>
      <c r="NQ256" s="500"/>
      <c r="NR256" s="500"/>
      <c r="NS256" s="500"/>
      <c r="NT256" s="500"/>
      <c r="NU256" s="500"/>
      <c r="NV256" s="500"/>
      <c r="NW256" s="500"/>
      <c r="NX256" s="500"/>
      <c r="NY256" s="500"/>
      <c r="NZ256" s="500"/>
      <c r="OA256" s="500"/>
      <c r="OB256" s="500"/>
      <c r="OC256" s="500"/>
      <c r="OD256" s="500"/>
      <c r="OE256" s="500"/>
      <c r="OF256" s="500"/>
      <c r="OG256" s="500"/>
      <c r="OH256" s="500"/>
      <c r="OI256" s="500"/>
      <c r="OJ256" s="500"/>
      <c r="OK256" s="500"/>
      <c r="OL256" s="500"/>
      <c r="OM256" s="500"/>
      <c r="ON256" s="500"/>
      <c r="OO256" s="500"/>
      <c r="OP256" s="500"/>
      <c r="OQ256" s="500"/>
      <c r="OR256" s="500"/>
      <c r="OS256" s="500"/>
      <c r="OT256" s="500"/>
      <c r="OU256" s="500"/>
      <c r="OV256" s="500"/>
      <c r="OW256" s="500"/>
      <c r="OX256" s="500"/>
      <c r="OY256" s="500"/>
      <c r="OZ256" s="500"/>
      <c r="PA256" s="500"/>
      <c r="PB256" s="500"/>
      <c r="PC256" s="500"/>
      <c r="PD256" s="500"/>
      <c r="PE256" s="500"/>
      <c r="PF256" s="500"/>
      <c r="PG256" s="500"/>
      <c r="PH256" s="500"/>
      <c r="PI256" s="500"/>
      <c r="PJ256" s="500"/>
      <c r="PK256" s="500"/>
      <c r="PL256" s="500"/>
      <c r="PM256" s="500"/>
      <c r="PN256" s="500"/>
      <c r="PO256" s="500"/>
      <c r="PP256" s="500"/>
      <c r="PQ256" s="500"/>
      <c r="PR256" s="500"/>
      <c r="PS256" s="500"/>
      <c r="PT256" s="500"/>
      <c r="PU256" s="500"/>
      <c r="PV256" s="500"/>
      <c r="PW256" s="500"/>
      <c r="PX256" s="500"/>
      <c r="PY256" s="500"/>
      <c r="PZ256" s="500"/>
      <c r="QA256" s="500"/>
      <c r="QB256" s="500"/>
      <c r="QC256" s="500"/>
      <c r="QD256" s="500"/>
      <c r="QE256" s="500"/>
      <c r="QF256" s="500"/>
      <c r="QG256" s="500"/>
      <c r="QH256" s="500"/>
      <c r="QI256" s="500"/>
      <c r="QJ256" s="500"/>
      <c r="QK256" s="500"/>
      <c r="QL256" s="500"/>
      <c r="QM256" s="500"/>
      <c r="QN256" s="500"/>
      <c r="QO256" s="500"/>
      <c r="QP256" s="500"/>
      <c r="QQ256" s="500"/>
      <c r="QR256" s="500"/>
      <c r="QS256" s="500"/>
      <c r="QT256" s="500"/>
      <c r="QU256" s="500"/>
      <c r="QV256" s="500"/>
      <c r="QW256" s="500"/>
      <c r="QX256" s="500"/>
      <c r="QY256" s="500"/>
      <c r="QZ256" s="500"/>
      <c r="RA256" s="500"/>
      <c r="RB256" s="500"/>
      <c r="RC256" s="500"/>
      <c r="RD256" s="500"/>
      <c r="RE256" s="500"/>
      <c r="RF256" s="500"/>
      <c r="RG256" s="500"/>
      <c r="RH256" s="500"/>
      <c r="RI256" s="500"/>
      <c r="RJ256" s="500"/>
      <c r="RK256" s="500"/>
      <c r="RL256" s="500"/>
      <c r="RM256" s="500"/>
      <c r="RN256" s="500"/>
      <c r="RO256" s="500"/>
      <c r="RP256" s="500"/>
      <c r="RQ256" s="500"/>
      <c r="RR256" s="500"/>
      <c r="RS256" s="500"/>
      <c r="RT256" s="500"/>
      <c r="RU256" s="500"/>
      <c r="RV256" s="500"/>
      <c r="RW256" s="500"/>
      <c r="RX256" s="500"/>
      <c r="RY256" s="500"/>
      <c r="RZ256" s="500"/>
      <c r="SA256" s="500"/>
      <c r="SB256" s="500"/>
      <c r="SC256" s="500"/>
      <c r="SD256" s="500"/>
      <c r="SE256" s="500"/>
      <c r="SF256" s="500"/>
      <c r="SG256" s="500"/>
      <c r="SH256" s="500"/>
      <c r="SI256" s="500"/>
      <c r="SJ256" s="500"/>
      <c r="SK256" s="500"/>
      <c r="SL256" s="500"/>
      <c r="SM256" s="500"/>
      <c r="SN256" s="500"/>
      <c r="SO256" s="500"/>
      <c r="SP256" s="500"/>
      <c r="SQ256" s="500"/>
      <c r="SR256" s="500"/>
      <c r="SS256" s="500"/>
      <c r="ST256" s="500"/>
      <c r="SU256" s="500"/>
      <c r="SV256" s="500"/>
      <c r="SW256" s="500"/>
      <c r="SX256" s="500"/>
      <c r="SY256" s="500"/>
      <c r="SZ256" s="500"/>
      <c r="TA256" s="500"/>
      <c r="TB256" s="500"/>
      <c r="TC256" s="500"/>
      <c r="TD256" s="500"/>
      <c r="TE256" s="500"/>
      <c r="TF256" s="500"/>
      <c r="TG256" s="500"/>
      <c r="TH256" s="500"/>
      <c r="TI256" s="500"/>
      <c r="TJ256" s="500"/>
      <c r="TK256" s="500"/>
      <c r="TL256" s="500"/>
      <c r="TM256" s="500"/>
      <c r="TN256" s="500"/>
      <c r="TO256" s="500"/>
      <c r="TP256" s="500"/>
      <c r="TQ256" s="500"/>
      <c r="TR256" s="500"/>
      <c r="TS256" s="500"/>
      <c r="TT256" s="500"/>
      <c r="TU256" s="500"/>
      <c r="TV256" s="500"/>
      <c r="TW256" s="500"/>
      <c r="TX256" s="500"/>
      <c r="TY256" s="500"/>
      <c r="TZ256" s="500"/>
      <c r="UA256" s="500"/>
      <c r="UB256" s="500"/>
      <c r="UC256" s="500"/>
      <c r="UD256" s="500"/>
      <c r="UE256" s="500"/>
      <c r="UF256" s="500"/>
      <c r="UG256" s="500"/>
      <c r="UH256" s="500"/>
      <c r="UI256" s="500"/>
      <c r="UJ256" s="500"/>
      <c r="UK256" s="500"/>
      <c r="UL256" s="500"/>
      <c r="UM256" s="500"/>
      <c r="UN256" s="500"/>
      <c r="UO256" s="500"/>
      <c r="UP256" s="500"/>
      <c r="UQ256" s="500"/>
      <c r="UR256" s="500"/>
      <c r="US256" s="500"/>
      <c r="UT256" s="500"/>
      <c r="UU256" s="500"/>
      <c r="UV256" s="500"/>
      <c r="UW256" s="500"/>
      <c r="UX256" s="500"/>
      <c r="UY256" s="500"/>
      <c r="UZ256" s="500"/>
      <c r="VA256" s="500"/>
      <c r="VB256" s="500"/>
      <c r="VC256" s="500"/>
      <c r="VD256" s="500"/>
      <c r="VE256" s="500"/>
      <c r="VF256" s="500"/>
      <c r="VG256" s="500"/>
      <c r="VH256" s="500"/>
      <c r="VI256" s="500"/>
      <c r="VJ256" s="500"/>
      <c r="VK256" s="500"/>
      <c r="VL256" s="500"/>
      <c r="VM256" s="500"/>
      <c r="VN256" s="500"/>
      <c r="VO256" s="500"/>
      <c r="VP256" s="500"/>
      <c r="VQ256" s="500"/>
      <c r="VR256" s="500"/>
      <c r="VS256" s="500"/>
      <c r="VT256" s="500"/>
      <c r="VU256" s="500"/>
      <c r="VV256" s="500"/>
      <c r="VW256" s="500"/>
      <c r="VX256" s="500"/>
      <c r="VY256" s="500"/>
      <c r="VZ256" s="500"/>
      <c r="WA256" s="500"/>
      <c r="WB256" s="500"/>
      <c r="WC256" s="500"/>
      <c r="WD256" s="500"/>
      <c r="WE256" s="500"/>
      <c r="WF256" s="500"/>
      <c r="WG256" s="500"/>
      <c r="WH256" s="500"/>
      <c r="WI256" s="500"/>
      <c r="WJ256" s="500"/>
      <c r="WK256" s="500"/>
      <c r="WL256" s="500"/>
      <c r="WM256" s="500"/>
      <c r="WN256" s="500"/>
      <c r="WO256" s="500"/>
      <c r="WP256" s="500"/>
      <c r="WQ256" s="500"/>
      <c r="WR256" s="500"/>
      <c r="WS256" s="500"/>
      <c r="WT256" s="500"/>
      <c r="WU256" s="500"/>
      <c r="WV256" s="500"/>
      <c r="WW256" s="500"/>
      <c r="WX256" s="500"/>
      <c r="WY256" s="500"/>
      <c r="WZ256" s="500"/>
      <c r="XA256" s="500"/>
      <c r="XB256" s="500"/>
      <c r="XC256" s="500"/>
      <c r="XD256" s="500"/>
      <c r="XE256" s="500"/>
      <c r="XF256" s="500"/>
      <c r="XG256" s="500"/>
      <c r="XH256" s="500"/>
      <c r="XI256" s="500"/>
      <c r="XJ256" s="500"/>
      <c r="XK256" s="500"/>
      <c r="XL256" s="500"/>
      <c r="XM256" s="500"/>
      <c r="XN256" s="500"/>
      <c r="XO256" s="500"/>
      <c r="XP256" s="500"/>
      <c r="XQ256" s="500"/>
      <c r="XR256" s="500"/>
      <c r="XS256" s="500"/>
      <c r="XT256" s="500"/>
      <c r="XU256" s="500"/>
      <c r="XV256" s="500"/>
      <c r="XW256" s="500"/>
      <c r="XX256" s="500"/>
      <c r="XY256" s="500"/>
      <c r="XZ256" s="500"/>
      <c r="YA256" s="500"/>
      <c r="YB256" s="500"/>
      <c r="YC256" s="500"/>
      <c r="YD256" s="500"/>
      <c r="YE256" s="500"/>
      <c r="YF256" s="500"/>
      <c r="YG256" s="500"/>
      <c r="YH256" s="500"/>
      <c r="YI256" s="500"/>
      <c r="YJ256" s="500"/>
      <c r="YK256" s="500"/>
      <c r="YL256" s="500"/>
      <c r="YM256" s="500"/>
      <c r="YN256" s="500"/>
      <c r="YO256" s="500"/>
      <c r="YP256" s="500"/>
      <c r="YQ256" s="500"/>
      <c r="YR256" s="500"/>
      <c r="YS256" s="500"/>
      <c r="YT256" s="500"/>
      <c r="YU256" s="500"/>
      <c r="YV256" s="500"/>
      <c r="YW256" s="500"/>
      <c r="YX256" s="500"/>
      <c r="YY256" s="500"/>
      <c r="YZ256" s="500"/>
      <c r="ZA256" s="500"/>
      <c r="ZB256" s="500"/>
      <c r="ZC256" s="500"/>
      <c r="ZD256" s="500"/>
      <c r="ZE256" s="500"/>
      <c r="ZF256" s="500"/>
      <c r="ZG256" s="500"/>
      <c r="ZH256" s="500"/>
      <c r="ZI256" s="500"/>
      <c r="ZJ256" s="500"/>
      <c r="ZK256" s="500"/>
      <c r="ZL256" s="500"/>
      <c r="ZM256" s="500"/>
      <c r="ZN256" s="500"/>
      <c r="ZO256" s="500"/>
      <c r="ZP256" s="500"/>
      <c r="ZQ256" s="500"/>
      <c r="ZR256" s="500"/>
      <c r="ZS256" s="500"/>
      <c r="ZT256" s="500"/>
      <c r="ZU256" s="500"/>
      <c r="ZV256" s="500"/>
      <c r="ZW256" s="500"/>
      <c r="ZX256" s="500"/>
      <c r="ZY256" s="500"/>
      <c r="ZZ256" s="500"/>
      <c r="AAA256" s="500"/>
      <c r="AAB256" s="500"/>
      <c r="AAC256" s="500"/>
      <c r="AAD256" s="500"/>
      <c r="AAE256" s="500"/>
      <c r="AAF256" s="500"/>
      <c r="AAG256" s="500"/>
      <c r="AAH256" s="500"/>
      <c r="AAI256" s="500"/>
      <c r="AAJ256" s="500"/>
      <c r="AAK256" s="500"/>
      <c r="AAL256" s="500"/>
      <c r="AAM256" s="500"/>
      <c r="AAN256" s="500"/>
      <c r="AAO256" s="500"/>
      <c r="AAP256" s="500"/>
      <c r="AAQ256" s="500"/>
      <c r="AAR256" s="500"/>
      <c r="AAS256" s="500"/>
      <c r="AAT256" s="500"/>
      <c r="AAU256" s="500"/>
      <c r="AAV256" s="500"/>
      <c r="AAW256" s="500"/>
      <c r="AAX256" s="500"/>
      <c r="AAY256" s="500"/>
      <c r="AAZ256" s="500"/>
      <c r="ABA256" s="500"/>
      <c r="ABB256" s="500"/>
      <c r="ABC256" s="500"/>
      <c r="ABD256" s="500"/>
      <c r="ABE256" s="500"/>
      <c r="ABF256" s="500"/>
      <c r="ABG256" s="500"/>
      <c r="ABH256" s="500"/>
      <c r="ABI256" s="500"/>
      <c r="ABJ256" s="500"/>
      <c r="ABK256" s="500"/>
      <c r="ABL256" s="500"/>
      <c r="ABM256" s="500"/>
      <c r="ABN256" s="500"/>
      <c r="ABO256" s="500"/>
      <c r="ABP256" s="500"/>
      <c r="ABQ256" s="500"/>
      <c r="ABR256" s="500"/>
      <c r="ABS256" s="500"/>
      <c r="ABT256" s="500"/>
      <c r="ABU256" s="500"/>
      <c r="ABV256" s="500"/>
      <c r="ABW256" s="500"/>
      <c r="ABX256" s="500"/>
      <c r="ABY256" s="500"/>
      <c r="ABZ256" s="500"/>
      <c r="ACA256" s="500"/>
      <c r="ACB256" s="500"/>
      <c r="ACC256" s="500"/>
      <c r="ACD256" s="500"/>
      <c r="ACE256" s="500"/>
      <c r="ACF256" s="500"/>
      <c r="ACG256" s="500"/>
      <c r="ACH256" s="500"/>
      <c r="ACI256" s="500"/>
      <c r="ACJ256" s="500"/>
      <c r="ACK256" s="500"/>
      <c r="ACL256" s="500"/>
      <c r="ACM256" s="500"/>
      <c r="ACN256" s="500"/>
      <c r="ACO256" s="500"/>
      <c r="ACP256" s="500"/>
      <c r="ACQ256" s="500"/>
      <c r="ACR256" s="500"/>
      <c r="ACS256" s="500"/>
      <c r="ACT256" s="500"/>
      <c r="ACU256" s="500"/>
      <c r="ACV256" s="500"/>
      <c r="ACW256" s="500"/>
      <c r="ACX256" s="500"/>
      <c r="ACY256" s="500"/>
      <c r="ACZ256" s="500"/>
      <c r="ADA256" s="500"/>
      <c r="ADB256" s="500"/>
      <c r="ADC256" s="500"/>
      <c r="ADD256" s="500"/>
      <c r="ADE256" s="500"/>
      <c r="ADF256" s="500"/>
      <c r="ADG256" s="500"/>
      <c r="ADH256" s="500"/>
      <c r="ADI256" s="500"/>
      <c r="ADJ256" s="500"/>
      <c r="ADK256" s="500"/>
      <c r="ADL256" s="500"/>
      <c r="ADM256" s="500"/>
      <c r="ADN256" s="500"/>
      <c r="ADO256" s="500"/>
      <c r="ADP256" s="500"/>
      <c r="ADQ256" s="500"/>
      <c r="ADR256" s="500"/>
      <c r="ADS256" s="500"/>
      <c r="ADT256" s="500"/>
      <c r="ADU256" s="500"/>
      <c r="ADV256" s="500"/>
      <c r="ADW256" s="500"/>
      <c r="ADX256" s="500"/>
      <c r="ADY256" s="500"/>
      <c r="ADZ256" s="500"/>
      <c r="AEA256" s="500"/>
      <c r="AEB256" s="500"/>
      <c r="AEC256" s="500"/>
      <c r="AED256" s="500"/>
      <c r="AEE256" s="500"/>
      <c r="AEF256" s="500"/>
      <c r="AEG256" s="500"/>
      <c r="AEH256" s="500"/>
      <c r="AEI256" s="500"/>
      <c r="AEJ256" s="500"/>
      <c r="AEK256" s="500"/>
      <c r="AEL256" s="500"/>
      <c r="AEM256" s="500"/>
      <c r="AEN256" s="500"/>
      <c r="AEO256" s="500"/>
      <c r="AEP256" s="500"/>
      <c r="AEQ256" s="500"/>
      <c r="AER256" s="500"/>
      <c r="AES256" s="500"/>
      <c r="AET256" s="500"/>
      <c r="AEU256" s="500"/>
      <c r="AEV256" s="500"/>
      <c r="AEW256" s="500"/>
      <c r="AEX256" s="500"/>
      <c r="AEY256" s="500"/>
      <c r="AEZ256" s="500"/>
      <c r="AFA256" s="500"/>
      <c r="AFB256" s="500"/>
      <c r="AFC256" s="500"/>
      <c r="AFD256" s="500"/>
      <c r="AFE256" s="500"/>
      <c r="AFF256" s="500"/>
      <c r="AFG256" s="500"/>
      <c r="AFH256" s="500"/>
      <c r="AFI256" s="500"/>
      <c r="AFJ256" s="500"/>
      <c r="AFK256" s="500"/>
      <c r="AFL256" s="500"/>
      <c r="AFM256" s="500"/>
      <c r="AFN256" s="500"/>
      <c r="AFO256" s="500"/>
      <c r="AFP256" s="500"/>
      <c r="AFQ256" s="500"/>
      <c r="AFR256" s="500"/>
      <c r="AFS256" s="500"/>
      <c r="AFT256" s="500"/>
      <c r="AFU256" s="500"/>
      <c r="AFV256" s="500"/>
      <c r="AFW256" s="500"/>
      <c r="AFX256" s="500"/>
      <c r="AFY256" s="500"/>
      <c r="AFZ256" s="500"/>
      <c r="AGA256" s="500"/>
      <c r="AGB256" s="500"/>
      <c r="AGC256" s="500"/>
      <c r="AGD256" s="500"/>
      <c r="AGE256" s="500"/>
      <c r="AGF256" s="500"/>
      <c r="AGG256" s="500"/>
      <c r="AGH256" s="500"/>
      <c r="AGI256" s="500"/>
      <c r="AGJ256" s="500"/>
      <c r="AGK256" s="500"/>
      <c r="AGL256" s="500"/>
      <c r="AGM256" s="500"/>
      <c r="AGN256" s="500"/>
      <c r="AGO256" s="500"/>
      <c r="AGP256" s="500"/>
      <c r="AGQ256" s="500"/>
      <c r="AGR256" s="500"/>
      <c r="AGS256" s="500"/>
      <c r="AGT256" s="500"/>
      <c r="AGU256" s="500"/>
      <c r="AGV256" s="500"/>
      <c r="AGW256" s="500"/>
      <c r="AGX256" s="500"/>
      <c r="AGY256" s="500"/>
      <c r="AGZ256" s="500"/>
      <c r="AHA256" s="500"/>
      <c r="AHB256" s="500"/>
      <c r="AHC256" s="500"/>
      <c r="AHD256" s="500"/>
      <c r="AHE256" s="500"/>
      <c r="AHF256" s="500"/>
      <c r="AHG256" s="500"/>
      <c r="AHH256" s="500"/>
      <c r="AHI256" s="500"/>
      <c r="AHJ256" s="500"/>
      <c r="AHK256" s="500"/>
      <c r="AHL256" s="500"/>
      <c r="AHM256" s="500"/>
      <c r="AHN256" s="500"/>
      <c r="AHO256" s="500"/>
      <c r="AHP256" s="500"/>
      <c r="AHQ256" s="500"/>
      <c r="AHR256" s="500"/>
      <c r="AHS256" s="500"/>
      <c r="AHT256" s="500"/>
      <c r="AHU256" s="500"/>
      <c r="AHV256" s="500"/>
      <c r="AHW256" s="500"/>
      <c r="AHX256" s="500"/>
      <c r="AHY256" s="500"/>
      <c r="AHZ256" s="500"/>
      <c r="AIA256" s="500"/>
      <c r="AIB256" s="500"/>
      <c r="AIC256" s="500"/>
      <c r="AID256" s="500"/>
      <c r="AIE256" s="500"/>
      <c r="AIF256" s="500"/>
      <c r="AIG256" s="500"/>
      <c r="AIH256" s="500"/>
      <c r="AII256" s="500"/>
      <c r="AIJ256" s="500"/>
      <c r="AIK256" s="500"/>
      <c r="AIL256" s="500"/>
      <c r="AIM256" s="500"/>
      <c r="AIN256" s="500"/>
      <c r="AIO256" s="500"/>
      <c r="AIP256" s="500"/>
      <c r="AIQ256" s="500"/>
      <c r="AIR256" s="500"/>
      <c r="AIS256" s="500"/>
      <c r="AIT256" s="500"/>
      <c r="AIU256" s="500"/>
      <c r="AIV256" s="500"/>
      <c r="AIW256" s="500"/>
      <c r="AIX256" s="500"/>
      <c r="AIY256" s="500"/>
      <c r="AIZ256" s="500"/>
      <c r="AJA256" s="500"/>
      <c r="AJB256" s="500"/>
      <c r="AJC256" s="500"/>
      <c r="AJD256" s="500"/>
      <c r="AJE256" s="500"/>
      <c r="AJF256" s="500"/>
      <c r="AJG256" s="500"/>
      <c r="AJH256" s="500"/>
      <c r="AJI256" s="500"/>
      <c r="AJJ256" s="500"/>
      <c r="AJK256" s="500"/>
      <c r="AJL256" s="500"/>
      <c r="AJM256" s="500"/>
      <c r="AJN256" s="500"/>
      <c r="AJO256" s="500"/>
      <c r="AJP256" s="500"/>
      <c r="AJQ256" s="500"/>
      <c r="AJR256" s="500"/>
      <c r="AJS256" s="500"/>
      <c r="AJT256" s="500"/>
      <c r="AJU256" s="500"/>
      <c r="AJV256" s="500"/>
      <c r="AJW256" s="500"/>
      <c r="AJX256" s="500"/>
      <c r="AJY256" s="500"/>
      <c r="AJZ256" s="500"/>
      <c r="AKA256" s="500"/>
      <c r="AKB256" s="500"/>
      <c r="AKC256" s="500"/>
      <c r="AKD256" s="500"/>
      <c r="AKE256" s="500"/>
      <c r="AKF256" s="500"/>
      <c r="AKG256" s="500"/>
      <c r="AKH256" s="500"/>
      <c r="AKI256" s="500"/>
      <c r="AKJ256" s="500"/>
      <c r="AKK256" s="500"/>
      <c r="AKL256" s="500"/>
      <c r="AKM256" s="500"/>
      <c r="AKN256" s="500"/>
      <c r="AKO256" s="500"/>
      <c r="AKP256" s="500"/>
      <c r="AKQ256" s="500"/>
      <c r="AKR256" s="500"/>
      <c r="AKS256" s="500"/>
      <c r="AKT256" s="500"/>
      <c r="AKU256" s="500"/>
      <c r="AKV256" s="500"/>
      <c r="AKW256" s="500"/>
      <c r="AKX256" s="500"/>
      <c r="AKY256" s="500"/>
      <c r="AKZ256" s="500"/>
      <c r="ALA256" s="500"/>
      <c r="ALB256" s="500"/>
      <c r="ALC256" s="500"/>
      <c r="ALD256" s="500"/>
      <c r="ALE256" s="500"/>
      <c r="ALF256" s="500"/>
      <c r="ALG256" s="500"/>
      <c r="ALH256" s="500"/>
      <c r="ALI256" s="500"/>
      <c r="ALJ256" s="500"/>
      <c r="ALK256" s="500"/>
      <c r="ALL256" s="500"/>
      <c r="ALM256" s="500"/>
      <c r="ALN256" s="500"/>
      <c r="ALO256" s="500"/>
      <c r="ALP256" s="500"/>
      <c r="ALQ256" s="500"/>
      <c r="ALR256" s="500"/>
      <c r="ALS256" s="500"/>
      <c r="ALT256" s="500"/>
      <c r="ALU256" s="500"/>
      <c r="ALV256" s="500"/>
      <c r="ALW256" s="500"/>
      <c r="ALX256" s="500"/>
      <c r="ALY256" s="500"/>
      <c r="ALZ256" s="500"/>
      <c r="AMA256" s="500"/>
      <c r="AMB256" s="500"/>
      <c r="AMC256" s="500"/>
      <c r="AMD256" s="500"/>
      <c r="AME256" s="500"/>
      <c r="AMF256" s="500"/>
      <c r="AMG256" s="500"/>
      <c r="AMH256" s="500"/>
      <c r="AMI256" s="500"/>
      <c r="AMJ256" s="500"/>
      <c r="AMK256" s="500"/>
      <c r="AML256" s="500"/>
      <c r="AMM256" s="500"/>
      <c r="AMN256" s="500"/>
      <c r="AMO256" s="500"/>
      <c r="AMP256" s="500"/>
      <c r="AMQ256" s="500"/>
      <c r="AMR256" s="500"/>
      <c r="AMS256" s="500"/>
      <c r="AMT256" s="500"/>
      <c r="AMU256" s="500"/>
      <c r="AMV256" s="500"/>
      <c r="AMW256" s="500"/>
      <c r="AMX256" s="500"/>
      <c r="AMY256" s="500"/>
      <c r="AMZ256" s="500"/>
      <c r="ANA256" s="500"/>
      <c r="ANB256" s="500"/>
      <c r="ANC256" s="500"/>
      <c r="AND256" s="500"/>
      <c r="ANE256" s="500"/>
      <c r="ANF256" s="500"/>
      <c r="ANG256" s="500"/>
      <c r="ANH256" s="500"/>
      <c r="ANI256" s="500"/>
      <c r="ANJ256" s="500"/>
      <c r="ANK256" s="500"/>
      <c r="ANL256" s="500"/>
      <c r="ANM256" s="500"/>
      <c r="ANN256" s="500"/>
      <c r="ANO256" s="500"/>
      <c r="ANP256" s="500"/>
      <c r="ANQ256" s="500"/>
      <c r="ANR256" s="500"/>
      <c r="ANS256" s="500"/>
      <c r="ANT256" s="500"/>
      <c r="ANU256" s="500"/>
      <c r="ANV256" s="500"/>
      <c r="ANW256" s="500"/>
      <c r="ANX256" s="500"/>
      <c r="ANY256" s="500"/>
      <c r="ANZ256" s="500"/>
      <c r="AOA256" s="500"/>
      <c r="AOB256" s="500"/>
      <c r="AOC256" s="500"/>
      <c r="AOD256" s="500"/>
      <c r="AOE256" s="500"/>
      <c r="AOF256" s="500"/>
      <c r="AOG256" s="500"/>
      <c r="AOH256" s="500"/>
      <c r="AOI256" s="500"/>
      <c r="AOJ256" s="500"/>
      <c r="AOK256" s="500"/>
      <c r="AOL256" s="500"/>
      <c r="AOM256" s="500"/>
      <c r="AON256" s="500"/>
      <c r="AOO256" s="500"/>
      <c r="AOP256" s="500"/>
      <c r="AOQ256" s="500"/>
      <c r="AOR256" s="500"/>
      <c r="AOS256" s="500"/>
      <c r="AOT256" s="500"/>
      <c r="AOU256" s="500"/>
      <c r="AOV256" s="500"/>
      <c r="AOW256" s="500"/>
      <c r="AOX256" s="500"/>
      <c r="AOY256" s="500"/>
      <c r="AOZ256" s="500"/>
      <c r="APA256" s="500"/>
      <c r="APB256" s="500"/>
      <c r="APC256" s="500"/>
      <c r="APD256" s="500"/>
      <c r="APE256" s="500"/>
      <c r="APF256" s="500"/>
      <c r="APG256" s="500"/>
      <c r="APH256" s="500"/>
      <c r="API256" s="500"/>
      <c r="APJ256" s="500"/>
      <c r="APK256" s="500"/>
      <c r="APL256" s="500"/>
      <c r="APM256" s="500"/>
      <c r="APN256" s="500"/>
      <c r="APO256" s="500"/>
      <c r="APP256" s="500"/>
      <c r="APQ256" s="500"/>
      <c r="APR256" s="500"/>
      <c r="APS256" s="500"/>
      <c r="APT256" s="500"/>
      <c r="APU256" s="500"/>
      <c r="APV256" s="500"/>
      <c r="APW256" s="500"/>
      <c r="APX256" s="500"/>
      <c r="APY256" s="500"/>
      <c r="APZ256" s="500"/>
      <c r="AQA256" s="500"/>
      <c r="AQB256" s="500"/>
      <c r="AQC256" s="500"/>
      <c r="AQD256" s="500"/>
      <c r="AQE256" s="500"/>
      <c r="AQF256" s="500"/>
      <c r="AQG256" s="500"/>
      <c r="AQH256" s="500"/>
      <c r="AQI256" s="500"/>
      <c r="AQJ256" s="500"/>
      <c r="AQK256" s="500"/>
      <c r="AQL256" s="500"/>
      <c r="AQM256" s="500"/>
      <c r="AQN256" s="500"/>
      <c r="AQO256" s="500"/>
      <c r="AQP256" s="500"/>
      <c r="AQQ256" s="500"/>
      <c r="AQR256" s="500"/>
      <c r="AQS256" s="500"/>
      <c r="AQT256" s="500"/>
      <c r="AQU256" s="500"/>
      <c r="AQV256" s="500"/>
      <c r="AQW256" s="500"/>
      <c r="AQX256" s="500"/>
      <c r="AQY256" s="500"/>
      <c r="AQZ256" s="500"/>
      <c r="ARA256" s="500"/>
      <c r="ARB256" s="500"/>
      <c r="ARC256" s="500"/>
      <c r="ARD256" s="500"/>
      <c r="ARE256" s="500"/>
      <c r="ARF256" s="500"/>
      <c r="ARG256" s="500"/>
      <c r="ARH256" s="500"/>
      <c r="ARI256" s="500"/>
      <c r="ARJ256" s="500"/>
      <c r="ARK256" s="500"/>
      <c r="ARL256" s="500"/>
      <c r="ARM256" s="500"/>
      <c r="ARN256" s="500"/>
      <c r="ARO256" s="500"/>
      <c r="ARP256" s="500"/>
      <c r="ARQ256" s="500"/>
      <c r="ARR256" s="500"/>
      <c r="ARS256" s="500"/>
      <c r="ART256" s="500"/>
      <c r="ARU256" s="500"/>
      <c r="ARV256" s="500"/>
      <c r="ARW256" s="500"/>
      <c r="ARX256" s="500"/>
      <c r="ARY256" s="500"/>
      <c r="ARZ256" s="500"/>
      <c r="ASA256" s="500"/>
      <c r="ASB256" s="500"/>
      <c r="ASC256" s="500"/>
      <c r="ASD256" s="500"/>
      <c r="ASE256" s="500"/>
      <c r="ASF256" s="500"/>
      <c r="ASG256" s="500"/>
      <c r="ASH256" s="500"/>
      <c r="ASI256" s="500"/>
      <c r="ASJ256" s="500"/>
      <c r="ASK256" s="500"/>
      <c r="ASL256" s="500"/>
      <c r="ASM256" s="500"/>
      <c r="ASN256" s="500"/>
      <c r="ASO256" s="500"/>
      <c r="ASP256" s="500"/>
      <c r="ASQ256" s="500"/>
      <c r="ASR256" s="500"/>
      <c r="ASS256" s="500"/>
      <c r="AST256" s="500"/>
      <c r="ASU256" s="500"/>
      <c r="ASV256" s="500"/>
      <c r="ASW256" s="500"/>
      <c r="ASX256" s="500"/>
      <c r="ASY256" s="500"/>
      <c r="ASZ256" s="500"/>
      <c r="ATA256" s="500"/>
      <c r="ATB256" s="500"/>
      <c r="ATC256" s="500"/>
      <c r="ATD256" s="500"/>
      <c r="ATE256" s="500"/>
      <c r="ATF256" s="500"/>
      <c r="ATG256" s="500"/>
      <c r="ATH256" s="500"/>
      <c r="ATI256" s="500"/>
      <c r="ATJ256" s="500"/>
      <c r="ATK256" s="500"/>
      <c r="ATL256" s="500"/>
      <c r="ATM256" s="500"/>
      <c r="ATN256" s="500"/>
      <c r="ATO256" s="500"/>
      <c r="ATP256" s="500"/>
      <c r="ATQ256" s="500"/>
      <c r="ATR256" s="500"/>
      <c r="ATS256" s="500"/>
      <c r="ATT256" s="500"/>
      <c r="ATU256" s="500"/>
      <c r="ATV256" s="500"/>
      <c r="ATW256" s="500"/>
      <c r="ATX256" s="500"/>
      <c r="ATY256" s="500"/>
      <c r="ATZ256" s="500"/>
      <c r="AUA256" s="500"/>
      <c r="AUB256" s="500"/>
      <c r="AUC256" s="500"/>
      <c r="AUD256" s="500"/>
      <c r="AUE256" s="500"/>
      <c r="AUF256" s="500"/>
      <c r="AUG256" s="500"/>
      <c r="AUH256" s="500"/>
      <c r="AUI256" s="500"/>
      <c r="AUJ256" s="500"/>
      <c r="AUK256" s="500"/>
      <c r="AUL256" s="500"/>
      <c r="AUM256" s="500"/>
      <c r="AUN256" s="500"/>
      <c r="AUO256" s="500"/>
      <c r="AUP256" s="500"/>
      <c r="AUQ256" s="500"/>
      <c r="AUR256" s="500"/>
      <c r="AUS256" s="500"/>
      <c r="AUT256" s="500"/>
      <c r="AUU256" s="500"/>
      <c r="AUV256" s="500"/>
      <c r="AUW256" s="500"/>
      <c r="AUX256" s="500"/>
      <c r="AUY256" s="500"/>
      <c r="AUZ256" s="500"/>
      <c r="AVA256" s="500"/>
      <c r="AVB256" s="500"/>
      <c r="AVC256" s="500"/>
      <c r="AVD256" s="500"/>
      <c r="AVE256" s="500"/>
      <c r="AVF256" s="500"/>
      <c r="AVG256" s="500"/>
      <c r="AVH256" s="500"/>
      <c r="AVI256" s="500"/>
      <c r="AVJ256" s="500"/>
      <c r="AVK256" s="500"/>
      <c r="AVL256" s="500"/>
      <c r="AVM256" s="500"/>
      <c r="AVN256" s="500"/>
      <c r="AVO256" s="500"/>
      <c r="AVP256" s="500"/>
      <c r="AVQ256" s="500"/>
      <c r="AVR256" s="500"/>
      <c r="AVS256" s="500"/>
      <c r="AVT256" s="500"/>
      <c r="AVU256" s="500"/>
      <c r="AVV256" s="500"/>
      <c r="AVW256" s="500"/>
      <c r="AVX256" s="500"/>
      <c r="AVY256" s="500"/>
      <c r="AVZ256" s="500"/>
      <c r="AWA256" s="500"/>
      <c r="AWB256" s="500"/>
      <c r="AWC256" s="500"/>
      <c r="AWD256" s="500"/>
      <c r="AWE256" s="500"/>
      <c r="AWF256" s="500"/>
      <c r="AWG256" s="500"/>
      <c r="AWH256" s="500"/>
      <c r="AWI256" s="500"/>
      <c r="AWJ256" s="500"/>
      <c r="AWK256" s="500"/>
      <c r="AWL256" s="500"/>
      <c r="AWM256" s="500"/>
      <c r="AWN256" s="500"/>
      <c r="AWO256" s="500"/>
      <c r="AWP256" s="500"/>
      <c r="AWQ256" s="500"/>
      <c r="AWR256" s="500"/>
      <c r="AWS256" s="500"/>
      <c r="AWT256" s="500"/>
      <c r="AWU256" s="500"/>
      <c r="AWV256" s="500"/>
      <c r="AWW256" s="500"/>
      <c r="AWX256" s="500"/>
      <c r="AWY256" s="500"/>
      <c r="AWZ256" s="500"/>
      <c r="AXA256" s="500"/>
      <c r="AXB256" s="500"/>
      <c r="AXC256" s="500"/>
      <c r="AXD256" s="500"/>
      <c r="AXE256" s="500"/>
      <c r="AXF256" s="500"/>
      <c r="AXG256" s="500"/>
      <c r="AXH256" s="500"/>
      <c r="AXI256" s="500"/>
      <c r="AXJ256" s="500"/>
      <c r="AXK256" s="500"/>
      <c r="AXL256" s="500"/>
      <c r="AXM256" s="500"/>
      <c r="AXN256" s="500"/>
      <c r="AXO256" s="500"/>
      <c r="AXP256" s="500"/>
      <c r="AXQ256" s="500"/>
      <c r="AXR256" s="500"/>
      <c r="AXS256" s="500"/>
      <c r="AXT256" s="500"/>
      <c r="AXU256" s="500"/>
      <c r="AXV256" s="500"/>
      <c r="AXW256" s="500"/>
      <c r="AXX256" s="500"/>
      <c r="AXY256" s="500"/>
      <c r="AXZ256" s="500"/>
      <c r="AYA256" s="500"/>
      <c r="AYB256" s="500"/>
      <c r="AYC256" s="500"/>
      <c r="AYD256" s="500"/>
      <c r="AYE256" s="500"/>
      <c r="AYF256" s="500"/>
      <c r="AYG256" s="500"/>
      <c r="AYH256" s="500"/>
      <c r="AYI256" s="500"/>
      <c r="AYJ256" s="500"/>
      <c r="AYK256" s="500"/>
      <c r="AYL256" s="500"/>
      <c r="AYM256" s="500"/>
      <c r="AYN256" s="500"/>
      <c r="AYO256" s="500"/>
      <c r="AYP256" s="500"/>
      <c r="AYQ256" s="500"/>
      <c r="AYR256" s="500"/>
      <c r="AYS256" s="500"/>
      <c r="AYT256" s="500"/>
      <c r="AYU256" s="500"/>
      <c r="AYV256" s="500"/>
      <c r="AYW256" s="500"/>
      <c r="AYX256" s="500"/>
      <c r="AYY256" s="500"/>
      <c r="AYZ256" s="500"/>
      <c r="AZA256" s="500"/>
      <c r="AZB256" s="500"/>
      <c r="AZC256" s="500"/>
      <c r="AZD256" s="500"/>
      <c r="AZE256" s="500"/>
      <c r="AZF256" s="500"/>
      <c r="AZG256" s="500"/>
      <c r="AZH256" s="500"/>
      <c r="AZI256" s="500"/>
      <c r="AZJ256" s="500"/>
      <c r="AZK256" s="500"/>
      <c r="AZL256" s="500"/>
      <c r="AZM256" s="500"/>
      <c r="AZN256" s="500"/>
      <c r="AZO256" s="500"/>
      <c r="AZP256" s="500"/>
      <c r="AZQ256" s="500"/>
      <c r="AZR256" s="500"/>
      <c r="AZS256" s="500"/>
      <c r="AZT256" s="500"/>
      <c r="AZU256" s="500"/>
      <c r="AZV256" s="500"/>
      <c r="AZW256" s="500"/>
      <c r="AZX256" s="500"/>
      <c r="AZY256" s="500"/>
      <c r="AZZ256" s="500"/>
      <c r="BAA256" s="500"/>
      <c r="BAB256" s="500"/>
      <c r="BAC256" s="500"/>
      <c r="BAD256" s="500"/>
      <c r="BAE256" s="500"/>
      <c r="BAF256" s="500"/>
      <c r="BAG256" s="500"/>
      <c r="BAH256" s="500"/>
      <c r="BAI256" s="500"/>
      <c r="BAJ256" s="500"/>
      <c r="BAK256" s="500"/>
      <c r="BAL256" s="500"/>
      <c r="BAM256" s="500"/>
      <c r="BAN256" s="500"/>
      <c r="BAO256" s="500"/>
      <c r="BAP256" s="500"/>
      <c r="BAQ256" s="500"/>
      <c r="BAR256" s="500"/>
      <c r="BAS256" s="500"/>
      <c r="BAT256" s="500"/>
      <c r="BAU256" s="500"/>
      <c r="BAV256" s="500"/>
      <c r="BAW256" s="500"/>
      <c r="BAX256" s="500"/>
      <c r="BAY256" s="500"/>
      <c r="BAZ256" s="500"/>
      <c r="BBA256" s="500"/>
      <c r="BBB256" s="500"/>
      <c r="BBC256" s="500"/>
      <c r="BBD256" s="500"/>
      <c r="BBE256" s="500"/>
      <c r="BBF256" s="500"/>
      <c r="BBG256" s="500"/>
      <c r="BBH256" s="500"/>
      <c r="BBI256" s="500"/>
      <c r="BBJ256" s="500"/>
      <c r="BBK256" s="500"/>
      <c r="BBL256" s="500"/>
      <c r="BBM256" s="500"/>
      <c r="BBN256" s="500"/>
      <c r="BBO256" s="500"/>
      <c r="BBP256" s="500"/>
      <c r="BBQ256" s="500"/>
      <c r="BBR256" s="500"/>
      <c r="BBS256" s="500"/>
      <c r="BBT256" s="500"/>
      <c r="BBU256" s="500"/>
      <c r="BBV256" s="500"/>
      <c r="BBW256" s="500"/>
      <c r="BBX256" s="500"/>
      <c r="BBY256" s="500"/>
      <c r="BBZ256" s="500"/>
      <c r="BCA256" s="500"/>
      <c r="BCB256" s="500"/>
      <c r="BCC256" s="500"/>
      <c r="BCD256" s="500"/>
      <c r="BCE256" s="500"/>
      <c r="BCF256" s="500"/>
      <c r="BCG256" s="500"/>
      <c r="BCH256" s="500"/>
      <c r="BCI256" s="500"/>
      <c r="BCJ256" s="500"/>
      <c r="BCK256" s="500"/>
      <c r="BCL256" s="500"/>
      <c r="BCM256" s="500"/>
      <c r="BCN256" s="500"/>
      <c r="BCO256" s="500"/>
      <c r="BCP256" s="500"/>
      <c r="BCQ256" s="500"/>
      <c r="BCR256" s="500"/>
      <c r="BCS256" s="500"/>
      <c r="BCT256" s="500"/>
      <c r="BCU256" s="500"/>
      <c r="BCV256" s="500"/>
      <c r="BCW256" s="500"/>
      <c r="BCX256" s="500"/>
      <c r="BCY256" s="500"/>
      <c r="BCZ256" s="500"/>
      <c r="BDA256" s="500"/>
      <c r="BDB256" s="500"/>
      <c r="BDC256" s="500"/>
      <c r="BDD256" s="500"/>
      <c r="BDE256" s="500"/>
      <c r="BDF256" s="500"/>
      <c r="BDG256" s="500"/>
      <c r="BDH256" s="500"/>
      <c r="BDI256" s="500"/>
      <c r="BDJ256" s="500"/>
      <c r="BDK256" s="500"/>
      <c r="BDL256" s="500"/>
      <c r="BDM256" s="500"/>
      <c r="BDN256" s="500"/>
      <c r="BDO256" s="500"/>
      <c r="BDP256" s="500"/>
      <c r="BDQ256" s="500"/>
      <c r="BDR256" s="500"/>
      <c r="BDS256" s="500"/>
      <c r="BDT256" s="500"/>
      <c r="BDU256" s="500"/>
      <c r="BDV256" s="500"/>
      <c r="BDW256" s="500"/>
      <c r="BDX256" s="500"/>
      <c r="BDY256" s="500"/>
      <c r="BDZ256" s="500"/>
      <c r="BEA256" s="500"/>
      <c r="BEB256" s="500"/>
      <c r="BEC256" s="500"/>
      <c r="BED256" s="500"/>
      <c r="BEE256" s="500"/>
      <c r="BEF256" s="500"/>
      <c r="BEG256" s="500"/>
      <c r="BEH256" s="500"/>
      <c r="BEI256" s="500"/>
      <c r="BEJ256" s="500"/>
      <c r="BEK256" s="500"/>
      <c r="BEL256" s="500"/>
      <c r="BEM256" s="500"/>
      <c r="BEN256" s="500"/>
      <c r="BEO256" s="500"/>
      <c r="BEP256" s="500"/>
      <c r="BEQ256" s="500"/>
      <c r="BER256" s="500"/>
      <c r="BES256" s="500"/>
      <c r="BET256" s="500"/>
      <c r="BEU256" s="500"/>
      <c r="BEV256" s="500"/>
      <c r="BEW256" s="500"/>
      <c r="BEX256" s="500"/>
      <c r="BEY256" s="500"/>
      <c r="BEZ256" s="500"/>
      <c r="BFA256" s="500"/>
      <c r="BFB256" s="500"/>
      <c r="BFC256" s="500"/>
      <c r="BFD256" s="500"/>
      <c r="BFE256" s="500"/>
      <c r="BFF256" s="500"/>
      <c r="BFG256" s="500"/>
      <c r="BFH256" s="500"/>
      <c r="BFI256" s="500"/>
      <c r="BFJ256" s="500"/>
      <c r="BFK256" s="500"/>
      <c r="BFL256" s="500"/>
      <c r="BFM256" s="500"/>
      <c r="BFN256" s="500"/>
      <c r="BFO256" s="500"/>
      <c r="BFP256" s="500"/>
      <c r="BFQ256" s="500"/>
      <c r="BFR256" s="500"/>
      <c r="BFS256" s="500"/>
      <c r="BFT256" s="500"/>
      <c r="BFU256" s="500"/>
      <c r="BFV256" s="500"/>
      <c r="BFW256" s="500"/>
      <c r="BFX256" s="500"/>
      <c r="BFY256" s="500"/>
      <c r="BFZ256" s="500"/>
      <c r="BGA256" s="500"/>
      <c r="BGB256" s="500"/>
      <c r="BGC256" s="500"/>
      <c r="BGD256" s="500"/>
      <c r="BGE256" s="500"/>
      <c r="BGF256" s="500"/>
      <c r="BGG256" s="500"/>
      <c r="BGH256" s="500"/>
      <c r="BGI256" s="500"/>
      <c r="BGJ256" s="500"/>
      <c r="BGK256" s="500"/>
      <c r="BGL256" s="500"/>
      <c r="BGM256" s="500"/>
      <c r="BGN256" s="500"/>
      <c r="BGO256" s="500"/>
      <c r="BGP256" s="500"/>
      <c r="BGQ256" s="500"/>
      <c r="BGR256" s="500"/>
      <c r="BGS256" s="500"/>
      <c r="BGT256" s="500"/>
      <c r="BGU256" s="500"/>
      <c r="BGV256" s="500"/>
      <c r="BGW256" s="500"/>
      <c r="BGX256" s="500"/>
      <c r="BGY256" s="500"/>
      <c r="BGZ256" s="500"/>
      <c r="BHA256" s="500"/>
      <c r="BHB256" s="500"/>
      <c r="BHC256" s="500"/>
      <c r="BHD256" s="500"/>
      <c r="BHE256" s="500"/>
      <c r="BHF256" s="500"/>
      <c r="BHG256" s="500"/>
      <c r="BHH256" s="500"/>
      <c r="BHI256" s="500"/>
      <c r="BHJ256" s="500"/>
      <c r="BHK256" s="500"/>
      <c r="BHL256" s="500"/>
      <c r="BHM256" s="500"/>
      <c r="BHN256" s="500"/>
      <c r="BHO256" s="500"/>
      <c r="BHP256" s="500"/>
      <c r="BHQ256" s="500"/>
      <c r="BHR256" s="500"/>
      <c r="BHS256" s="500"/>
      <c r="BHT256" s="500"/>
      <c r="BHU256" s="500"/>
      <c r="BHV256" s="500"/>
      <c r="BHW256" s="500"/>
      <c r="BHX256" s="500"/>
      <c r="BHY256" s="500"/>
      <c r="BHZ256" s="500"/>
      <c r="BIA256" s="500"/>
      <c r="BIB256" s="500"/>
      <c r="BIC256" s="500"/>
      <c r="BID256" s="500"/>
      <c r="BIE256" s="500"/>
      <c r="BIF256" s="500"/>
      <c r="BIG256" s="500"/>
      <c r="BIH256" s="500"/>
      <c r="BII256" s="500"/>
      <c r="BIJ256" s="500"/>
      <c r="BIK256" s="500"/>
      <c r="BIL256" s="500"/>
      <c r="BIM256" s="500"/>
      <c r="BIN256" s="500"/>
      <c r="BIO256" s="500"/>
      <c r="BIP256" s="500"/>
      <c r="BIQ256" s="500"/>
      <c r="BIR256" s="500"/>
      <c r="BIS256" s="500"/>
      <c r="BIT256" s="500"/>
      <c r="BIU256" s="500"/>
      <c r="BIV256" s="500"/>
      <c r="BIW256" s="500"/>
      <c r="BIX256" s="500"/>
      <c r="BIY256" s="500"/>
      <c r="BIZ256" s="500"/>
      <c r="BJA256" s="500"/>
      <c r="BJB256" s="500"/>
      <c r="BJC256" s="500"/>
      <c r="BJD256" s="500"/>
      <c r="BJE256" s="500"/>
      <c r="BJF256" s="500"/>
      <c r="BJG256" s="500"/>
      <c r="BJH256" s="500"/>
      <c r="BJI256" s="500"/>
      <c r="BJJ256" s="500"/>
      <c r="BJK256" s="500"/>
      <c r="BJL256" s="500"/>
      <c r="BJM256" s="500"/>
      <c r="BJN256" s="500"/>
      <c r="BJO256" s="500"/>
      <c r="BJP256" s="500"/>
      <c r="BJQ256" s="500"/>
      <c r="BJR256" s="500"/>
      <c r="BJS256" s="500"/>
      <c r="BJT256" s="500"/>
      <c r="BJU256" s="500"/>
      <c r="BJV256" s="500"/>
      <c r="BJW256" s="500"/>
      <c r="BJX256" s="500"/>
      <c r="BJY256" s="500"/>
      <c r="BJZ256" s="500"/>
      <c r="BKA256" s="500"/>
      <c r="BKB256" s="500"/>
      <c r="BKC256" s="500"/>
      <c r="BKD256" s="500"/>
      <c r="BKE256" s="500"/>
      <c r="BKF256" s="500"/>
      <c r="BKG256" s="500"/>
      <c r="BKH256" s="500"/>
      <c r="BKI256" s="500"/>
      <c r="BKJ256" s="500"/>
      <c r="BKK256" s="500"/>
      <c r="BKL256" s="500"/>
      <c r="BKM256" s="500"/>
      <c r="BKN256" s="500"/>
      <c r="BKO256" s="500"/>
      <c r="BKP256" s="500"/>
      <c r="BKQ256" s="500"/>
      <c r="BKR256" s="500"/>
      <c r="BKS256" s="500"/>
      <c r="BKT256" s="500"/>
      <c r="BKU256" s="500"/>
      <c r="BKV256" s="500"/>
      <c r="BKW256" s="500"/>
      <c r="BKX256" s="500"/>
      <c r="BKY256" s="500"/>
      <c r="BKZ256" s="500"/>
      <c r="BLA256" s="500"/>
      <c r="BLB256" s="500"/>
      <c r="BLC256" s="500"/>
      <c r="BLD256" s="500"/>
      <c r="BLE256" s="500"/>
      <c r="BLF256" s="500"/>
      <c r="BLG256" s="500"/>
      <c r="BLH256" s="500"/>
      <c r="BLI256" s="500"/>
      <c r="BLJ256" s="500"/>
      <c r="BLK256" s="500"/>
      <c r="BLL256" s="500"/>
      <c r="BLM256" s="500"/>
      <c r="BLN256" s="500"/>
      <c r="BLO256" s="500"/>
      <c r="BLP256" s="500"/>
      <c r="BLQ256" s="500"/>
      <c r="BLR256" s="500"/>
      <c r="BLS256" s="500"/>
      <c r="BLT256" s="500"/>
      <c r="BLU256" s="500"/>
      <c r="BLV256" s="500"/>
      <c r="BLW256" s="500"/>
      <c r="BLX256" s="500"/>
      <c r="BLY256" s="500"/>
      <c r="BLZ256" s="500"/>
      <c r="BMA256" s="500"/>
      <c r="BMB256" s="500"/>
      <c r="BMC256" s="500"/>
      <c r="BMD256" s="500"/>
      <c r="BME256" s="500"/>
      <c r="BMF256" s="500"/>
      <c r="BMG256" s="500"/>
      <c r="BMH256" s="500"/>
      <c r="BMI256" s="500"/>
      <c r="BMJ256" s="500"/>
      <c r="BMK256" s="500"/>
      <c r="BML256" s="500"/>
      <c r="BMM256" s="500"/>
      <c r="BMN256" s="500"/>
      <c r="BMO256" s="500"/>
      <c r="BMP256" s="500"/>
      <c r="BMQ256" s="500"/>
      <c r="BMR256" s="500"/>
      <c r="BMS256" s="500"/>
      <c r="BMT256" s="500"/>
      <c r="BMU256" s="500"/>
      <c r="BMV256" s="500"/>
      <c r="BMW256" s="500"/>
      <c r="BMX256" s="500"/>
      <c r="BMY256" s="500"/>
      <c r="BMZ256" s="500"/>
      <c r="BNA256" s="500"/>
      <c r="BNB256" s="500"/>
      <c r="BNC256" s="500"/>
      <c r="BND256" s="500"/>
      <c r="BNE256" s="500"/>
      <c r="BNF256" s="500"/>
      <c r="BNG256" s="500"/>
      <c r="BNH256" s="500"/>
      <c r="BNI256" s="500"/>
      <c r="BNJ256" s="500"/>
      <c r="BNK256" s="500"/>
      <c r="BNL256" s="500"/>
      <c r="BNM256" s="500"/>
      <c r="BNN256" s="500"/>
      <c r="BNO256" s="500"/>
      <c r="BNP256" s="500"/>
      <c r="BNQ256" s="500"/>
      <c r="BNR256" s="500"/>
      <c r="BNS256" s="500"/>
      <c r="BNT256" s="500"/>
      <c r="BNU256" s="500"/>
      <c r="BNV256" s="500"/>
      <c r="BNW256" s="500"/>
      <c r="BNX256" s="500"/>
      <c r="BNY256" s="500"/>
      <c r="BNZ256" s="500"/>
      <c r="BOA256" s="500"/>
      <c r="BOB256" s="500"/>
      <c r="BOC256" s="500"/>
      <c r="BOD256" s="500"/>
      <c r="BOE256" s="500"/>
      <c r="BOF256" s="500"/>
      <c r="BOG256" s="500"/>
      <c r="BOH256" s="500"/>
      <c r="BOI256" s="500"/>
      <c r="BOJ256" s="500"/>
      <c r="BOK256" s="500"/>
      <c r="BOL256" s="500"/>
      <c r="BOM256" s="500"/>
      <c r="BON256" s="500"/>
      <c r="BOO256" s="500"/>
      <c r="BOP256" s="500"/>
      <c r="BOQ256" s="500"/>
      <c r="BOR256" s="500"/>
      <c r="BOS256" s="500"/>
      <c r="BOT256" s="500"/>
      <c r="BOU256" s="500"/>
      <c r="BOV256" s="500"/>
      <c r="BOW256" s="500"/>
      <c r="BOX256" s="500"/>
      <c r="BOY256" s="500"/>
      <c r="BOZ256" s="500"/>
      <c r="BPA256" s="500"/>
      <c r="BPB256" s="500"/>
      <c r="BPC256" s="500"/>
      <c r="BPD256" s="500"/>
      <c r="BPE256" s="500"/>
      <c r="BPF256" s="500"/>
      <c r="BPG256" s="500"/>
      <c r="BPH256" s="500"/>
      <c r="BPI256" s="500"/>
      <c r="BPJ256" s="500"/>
      <c r="BPK256" s="500"/>
      <c r="BPL256" s="500"/>
      <c r="BPM256" s="500"/>
      <c r="BPN256" s="500"/>
      <c r="BPO256" s="500"/>
      <c r="BPP256" s="500"/>
      <c r="BPQ256" s="500"/>
      <c r="BPR256" s="500"/>
      <c r="BPS256" s="500"/>
      <c r="BPT256" s="500"/>
      <c r="BPU256" s="500"/>
      <c r="BPV256" s="500"/>
      <c r="BPW256" s="500"/>
      <c r="BPX256" s="500"/>
      <c r="BPY256" s="500"/>
      <c r="BPZ256" s="500"/>
      <c r="BQA256" s="500"/>
      <c r="BQB256" s="500"/>
      <c r="BQC256" s="500"/>
      <c r="BQD256" s="500"/>
      <c r="BQE256" s="500"/>
      <c r="BQF256" s="500"/>
      <c r="BQG256" s="500"/>
      <c r="BQH256" s="500"/>
      <c r="BQI256" s="500"/>
      <c r="BQJ256" s="500"/>
      <c r="BQK256" s="500"/>
      <c r="BQL256" s="500"/>
      <c r="BQM256" s="500"/>
      <c r="BQN256" s="500"/>
      <c r="BQO256" s="500"/>
      <c r="BQP256" s="500"/>
      <c r="BQQ256" s="500"/>
      <c r="BQR256" s="500"/>
      <c r="BQS256" s="500"/>
      <c r="BQT256" s="500"/>
      <c r="BQU256" s="500"/>
      <c r="BQV256" s="500"/>
      <c r="BQW256" s="500"/>
      <c r="BQX256" s="500"/>
      <c r="BQY256" s="500"/>
      <c r="BQZ256" s="500"/>
      <c r="BRA256" s="500"/>
      <c r="BRB256" s="500"/>
      <c r="BRC256" s="500"/>
      <c r="BRD256" s="500"/>
      <c r="BRE256" s="500"/>
      <c r="BRF256" s="500"/>
      <c r="BRG256" s="500"/>
      <c r="BRH256" s="500"/>
      <c r="BRI256" s="500"/>
      <c r="BRJ256" s="500"/>
      <c r="BRK256" s="500"/>
      <c r="BRL256" s="500"/>
      <c r="BRM256" s="500"/>
      <c r="BRN256" s="500"/>
      <c r="BRO256" s="500"/>
      <c r="BRP256" s="500"/>
      <c r="BRQ256" s="500"/>
      <c r="BRR256" s="500"/>
      <c r="BRS256" s="500"/>
      <c r="BRT256" s="500"/>
      <c r="BRU256" s="500"/>
      <c r="BRV256" s="500"/>
      <c r="BRW256" s="500"/>
      <c r="BRX256" s="500"/>
      <c r="BRY256" s="500"/>
      <c r="BRZ256" s="500"/>
      <c r="BSA256" s="500"/>
      <c r="BSB256" s="500"/>
      <c r="BSC256" s="500"/>
      <c r="BSD256" s="500"/>
      <c r="BSE256" s="500"/>
      <c r="BSF256" s="500"/>
      <c r="BSG256" s="500"/>
      <c r="BSH256" s="500"/>
      <c r="BSI256" s="500"/>
      <c r="BSJ256" s="500"/>
      <c r="BSK256" s="500"/>
      <c r="BSL256" s="500"/>
      <c r="BSM256" s="500"/>
      <c r="BSN256" s="500"/>
      <c r="BSO256" s="500"/>
      <c r="BSP256" s="500"/>
      <c r="BSQ256" s="500"/>
      <c r="BSR256" s="500"/>
      <c r="BSS256" s="500"/>
      <c r="BST256" s="500"/>
      <c r="BSU256" s="500"/>
      <c r="BSV256" s="500"/>
      <c r="BSW256" s="500"/>
      <c r="BSX256" s="500"/>
      <c r="BSY256" s="500"/>
      <c r="BSZ256" s="500"/>
      <c r="BTA256" s="500"/>
      <c r="BTB256" s="500"/>
      <c r="BTC256" s="500"/>
      <c r="BTD256" s="500"/>
      <c r="BTE256" s="500"/>
      <c r="BTF256" s="500"/>
      <c r="BTG256" s="500"/>
      <c r="BTH256" s="500"/>
      <c r="BTI256" s="500"/>
    </row>
    <row r="257" spans="1:1881" s="499" customFormat="1" ht="15.75" thickBot="1" x14ac:dyDescent="0.3">
      <c r="B257" s="736" t="s">
        <v>929</v>
      </c>
      <c r="C257" s="738" t="s">
        <v>930</v>
      </c>
      <c r="D257" s="737"/>
      <c r="E257" s="740"/>
      <c r="F257" s="377"/>
      <c r="G257" s="583"/>
      <c r="H257" s="501"/>
      <c r="I257" s="423"/>
      <c r="J257" s="500"/>
      <c r="K257" s="500"/>
      <c r="L257" s="500"/>
      <c r="M257" s="500"/>
      <c r="N257"/>
      <c r="O257" s="500"/>
      <c r="P257" s="500"/>
      <c r="Q257" s="500"/>
      <c r="R257" s="500"/>
      <c r="S257" s="500"/>
      <c r="T257" s="500"/>
      <c r="U257" s="500"/>
      <c r="V257" s="500"/>
      <c r="W257" s="500"/>
      <c r="X257" s="500"/>
      <c r="Y257" s="500"/>
      <c r="Z257" s="500"/>
      <c r="AA257" s="500"/>
      <c r="AB257" s="500"/>
      <c r="AC257" s="500"/>
      <c r="AD257" s="500"/>
      <c r="AE257" s="500"/>
      <c r="AF257" s="500"/>
      <c r="AG257" s="500"/>
      <c r="AH257" s="500"/>
      <c r="AI257" s="500"/>
      <c r="AJ257" s="500"/>
      <c r="AK257" s="500"/>
      <c r="AL257" s="500"/>
      <c r="AM257" s="500"/>
      <c r="AN257" s="500"/>
      <c r="AO257" s="500"/>
      <c r="AP257" s="500"/>
      <c r="AQ257" s="500"/>
      <c r="AR257" s="500"/>
      <c r="AS257" s="500"/>
      <c r="AT257" s="500"/>
      <c r="AU257" s="500"/>
      <c r="AV257" s="500"/>
      <c r="AW257" s="500"/>
      <c r="AX257" s="500"/>
      <c r="AY257" s="500"/>
      <c r="AZ257" s="500"/>
      <c r="BA257" s="500"/>
      <c r="BB257" s="500"/>
      <c r="BC257" s="500"/>
      <c r="BD257" s="500"/>
      <c r="BE257" s="500"/>
      <c r="BF257" s="500"/>
      <c r="BG257" s="500"/>
      <c r="BH257" s="500"/>
      <c r="BI257" s="500"/>
      <c r="BJ257" s="500"/>
      <c r="BK257" s="500"/>
      <c r="BL257" s="500"/>
      <c r="BM257" s="500"/>
      <c r="BN257" s="500"/>
      <c r="BO257" s="500"/>
      <c r="BP257" s="500"/>
      <c r="BQ257" s="500"/>
      <c r="BR257" s="500"/>
      <c r="BS257" s="500"/>
      <c r="BT257" s="500"/>
      <c r="BU257" s="500"/>
      <c r="BV257" s="500"/>
      <c r="BW257" s="500"/>
      <c r="BX257" s="500"/>
      <c r="BY257" s="500"/>
      <c r="BZ257" s="500"/>
      <c r="CA257" s="500"/>
      <c r="CB257" s="500"/>
      <c r="CC257" s="500"/>
      <c r="CD257" s="500"/>
      <c r="CE257" s="500"/>
      <c r="CF257" s="500"/>
      <c r="CG257" s="500"/>
      <c r="CH257" s="500"/>
      <c r="CI257" s="500"/>
      <c r="CJ257" s="500"/>
      <c r="CK257" s="500"/>
      <c r="CL257" s="500"/>
      <c r="CM257" s="500"/>
      <c r="CN257" s="500"/>
      <c r="CO257" s="500"/>
      <c r="CP257" s="500"/>
      <c r="CQ257" s="500"/>
      <c r="CR257" s="500"/>
      <c r="CS257" s="500"/>
      <c r="CT257" s="500"/>
      <c r="CU257" s="500"/>
      <c r="CV257" s="500"/>
      <c r="CW257" s="500"/>
      <c r="CX257" s="500"/>
      <c r="CY257" s="500"/>
      <c r="CZ257" s="500"/>
      <c r="DA257" s="500"/>
      <c r="DB257" s="500"/>
      <c r="DC257" s="500"/>
      <c r="DD257" s="500"/>
      <c r="DE257" s="500"/>
      <c r="DF257" s="500"/>
      <c r="DG257" s="500"/>
      <c r="DH257" s="500"/>
      <c r="DI257" s="500"/>
      <c r="DJ257" s="500"/>
      <c r="DK257" s="500"/>
      <c r="DL257" s="500"/>
      <c r="DM257" s="500"/>
      <c r="DN257" s="500"/>
      <c r="DO257" s="500"/>
      <c r="DP257" s="500"/>
      <c r="DQ257" s="500"/>
      <c r="DR257" s="500"/>
      <c r="DS257" s="500"/>
      <c r="DT257" s="500"/>
      <c r="DU257" s="500"/>
      <c r="DV257" s="500"/>
      <c r="DW257" s="500"/>
      <c r="DX257" s="500"/>
      <c r="DY257" s="500"/>
      <c r="DZ257" s="500"/>
      <c r="EA257" s="500"/>
      <c r="EB257" s="500"/>
      <c r="EC257" s="500"/>
      <c r="ED257" s="500"/>
      <c r="EE257" s="500"/>
      <c r="EF257" s="500"/>
      <c r="EG257" s="500"/>
      <c r="EH257" s="500"/>
      <c r="EI257" s="500"/>
      <c r="EJ257" s="500"/>
      <c r="EK257" s="500"/>
      <c r="EL257" s="500"/>
      <c r="EM257" s="500"/>
      <c r="EN257" s="500"/>
      <c r="EO257" s="500"/>
      <c r="EP257" s="500"/>
      <c r="EQ257" s="500"/>
      <c r="ER257" s="500"/>
      <c r="ES257" s="500"/>
      <c r="ET257" s="500"/>
      <c r="EU257" s="500"/>
      <c r="EV257" s="500"/>
      <c r="EW257" s="500"/>
      <c r="EX257" s="500"/>
      <c r="EY257" s="500"/>
      <c r="EZ257" s="500"/>
      <c r="FA257" s="500"/>
      <c r="FB257" s="500"/>
      <c r="FC257" s="500"/>
      <c r="FD257" s="500"/>
      <c r="FE257" s="500"/>
      <c r="FF257" s="500"/>
      <c r="FG257" s="500"/>
      <c r="FH257" s="500"/>
      <c r="FI257" s="500"/>
      <c r="FJ257" s="500"/>
      <c r="FK257" s="500"/>
      <c r="FL257" s="500"/>
      <c r="FM257" s="500"/>
      <c r="FN257" s="500"/>
      <c r="FO257" s="500"/>
      <c r="FP257" s="500"/>
      <c r="FQ257" s="500"/>
      <c r="FR257" s="500"/>
      <c r="FS257" s="500"/>
      <c r="FT257" s="500"/>
      <c r="FU257" s="500"/>
      <c r="FV257" s="500"/>
      <c r="FW257" s="500"/>
      <c r="FX257" s="500"/>
      <c r="FY257" s="500"/>
      <c r="FZ257" s="500"/>
      <c r="GA257" s="500"/>
      <c r="GB257" s="500"/>
      <c r="GC257" s="500"/>
      <c r="GD257" s="500"/>
      <c r="GE257" s="500"/>
      <c r="GF257" s="500"/>
      <c r="GG257" s="500"/>
      <c r="GH257" s="500"/>
      <c r="GI257" s="500"/>
      <c r="GJ257" s="500"/>
      <c r="GK257" s="500"/>
      <c r="GL257" s="500"/>
      <c r="GM257" s="500"/>
      <c r="GN257" s="500"/>
      <c r="GO257" s="500"/>
      <c r="GP257" s="500"/>
      <c r="GQ257" s="500"/>
      <c r="GR257" s="500"/>
      <c r="GS257" s="500"/>
      <c r="GT257" s="500"/>
      <c r="GU257" s="500"/>
      <c r="GV257" s="500"/>
      <c r="GW257" s="500"/>
      <c r="GX257" s="500"/>
      <c r="GY257" s="500"/>
      <c r="GZ257" s="500"/>
      <c r="HA257" s="500"/>
      <c r="HB257" s="500"/>
      <c r="HC257" s="500"/>
      <c r="HD257" s="500"/>
      <c r="HE257" s="500"/>
      <c r="HF257" s="500"/>
      <c r="HG257" s="500"/>
      <c r="HH257" s="500"/>
      <c r="HI257" s="500"/>
      <c r="HJ257" s="500"/>
      <c r="HK257" s="500"/>
      <c r="HL257" s="500"/>
      <c r="HM257" s="500"/>
      <c r="HN257" s="500"/>
      <c r="HO257" s="500"/>
      <c r="HP257" s="500"/>
      <c r="HQ257" s="500"/>
      <c r="HR257" s="500"/>
      <c r="HS257" s="500"/>
      <c r="HT257" s="500"/>
      <c r="HU257" s="500"/>
      <c r="HV257" s="500"/>
      <c r="HW257" s="500"/>
      <c r="HX257" s="500"/>
      <c r="HY257" s="500"/>
      <c r="HZ257" s="500"/>
      <c r="IA257" s="500"/>
      <c r="IB257" s="500"/>
      <c r="IC257" s="500"/>
      <c r="ID257" s="500"/>
      <c r="IE257" s="500"/>
      <c r="IF257" s="500"/>
      <c r="IG257" s="500"/>
      <c r="IH257" s="500"/>
      <c r="II257" s="500"/>
      <c r="IJ257" s="500"/>
      <c r="IK257" s="500"/>
      <c r="IL257" s="500"/>
      <c r="IM257" s="500"/>
      <c r="IN257" s="500"/>
      <c r="IO257" s="500"/>
      <c r="IP257" s="500"/>
      <c r="IQ257" s="500"/>
      <c r="IR257" s="500"/>
      <c r="IS257" s="500"/>
      <c r="IT257" s="500"/>
      <c r="IU257" s="500"/>
      <c r="IV257" s="500"/>
      <c r="IW257" s="500"/>
      <c r="IX257" s="500"/>
      <c r="IY257" s="500"/>
      <c r="IZ257" s="500"/>
      <c r="JA257" s="500"/>
      <c r="JB257" s="500"/>
      <c r="JC257" s="500"/>
      <c r="JD257" s="500"/>
      <c r="JE257" s="500"/>
      <c r="JF257" s="500"/>
      <c r="JG257" s="500"/>
      <c r="JH257" s="500"/>
      <c r="JI257" s="500"/>
      <c r="JJ257" s="500"/>
      <c r="JK257" s="500"/>
      <c r="JL257" s="500"/>
      <c r="JM257" s="500"/>
      <c r="JN257" s="500"/>
      <c r="JO257" s="500"/>
      <c r="JP257" s="500"/>
      <c r="JQ257" s="500"/>
      <c r="JR257" s="500"/>
      <c r="JS257" s="500"/>
      <c r="JT257" s="500"/>
      <c r="JU257" s="500"/>
      <c r="JV257" s="500"/>
      <c r="JW257" s="500"/>
      <c r="JX257" s="500"/>
      <c r="JY257" s="500"/>
      <c r="JZ257" s="500"/>
      <c r="KA257" s="500"/>
      <c r="KB257" s="500"/>
      <c r="KC257" s="500"/>
      <c r="KD257" s="500"/>
      <c r="KE257" s="500"/>
      <c r="KF257" s="500"/>
      <c r="KG257" s="500"/>
      <c r="KH257" s="500"/>
      <c r="KI257" s="500"/>
      <c r="KJ257" s="500"/>
      <c r="KK257" s="500"/>
      <c r="KL257" s="500"/>
      <c r="KM257" s="500"/>
      <c r="KN257" s="500"/>
      <c r="KO257" s="500"/>
      <c r="KP257" s="500"/>
      <c r="KQ257" s="500"/>
      <c r="KR257" s="500"/>
      <c r="KS257" s="500"/>
      <c r="KT257" s="500"/>
      <c r="KU257" s="500"/>
      <c r="KV257" s="500"/>
      <c r="KW257" s="500"/>
      <c r="KX257" s="500"/>
      <c r="KY257" s="500"/>
      <c r="KZ257" s="500"/>
      <c r="LA257" s="500"/>
      <c r="LB257" s="500"/>
      <c r="LC257" s="500"/>
      <c r="LD257" s="500"/>
      <c r="LE257" s="500"/>
      <c r="LF257" s="500"/>
      <c r="LG257" s="500"/>
      <c r="LH257" s="500"/>
      <c r="LI257" s="500"/>
      <c r="LJ257" s="500"/>
      <c r="LK257" s="500"/>
      <c r="LL257" s="500"/>
      <c r="LM257" s="500"/>
      <c r="LN257" s="500"/>
      <c r="LO257" s="500"/>
      <c r="LP257" s="500"/>
      <c r="LQ257" s="500"/>
      <c r="LR257" s="500"/>
      <c r="LS257" s="500"/>
      <c r="LT257" s="500"/>
      <c r="LU257" s="500"/>
      <c r="LV257" s="500"/>
      <c r="LW257" s="500"/>
      <c r="LX257" s="500"/>
      <c r="LY257" s="500"/>
      <c r="LZ257" s="500"/>
      <c r="MA257" s="500"/>
      <c r="MB257" s="500"/>
      <c r="MC257" s="500"/>
      <c r="MD257" s="500"/>
      <c r="ME257" s="500"/>
      <c r="MF257" s="500"/>
      <c r="MG257" s="500"/>
      <c r="MH257" s="500"/>
      <c r="MI257" s="500"/>
      <c r="MJ257" s="500"/>
      <c r="MK257" s="500"/>
      <c r="ML257" s="500"/>
      <c r="MM257" s="500"/>
      <c r="MN257" s="500"/>
      <c r="MO257" s="500"/>
      <c r="MP257" s="500"/>
      <c r="MQ257" s="500"/>
      <c r="MR257" s="500"/>
      <c r="MS257" s="500"/>
      <c r="MT257" s="500"/>
      <c r="MU257" s="500"/>
      <c r="MV257" s="500"/>
      <c r="MW257" s="500"/>
      <c r="MX257" s="500"/>
      <c r="MY257" s="500"/>
      <c r="MZ257" s="500"/>
      <c r="NA257" s="500"/>
      <c r="NB257" s="500"/>
      <c r="NC257" s="500"/>
      <c r="ND257" s="500"/>
      <c r="NE257" s="500"/>
      <c r="NF257" s="500"/>
      <c r="NG257" s="500"/>
      <c r="NH257" s="500"/>
      <c r="NI257" s="500"/>
      <c r="NJ257" s="500"/>
      <c r="NK257" s="500"/>
      <c r="NL257" s="500"/>
      <c r="NM257" s="500"/>
      <c r="NN257" s="500"/>
      <c r="NO257" s="500"/>
      <c r="NP257" s="500"/>
      <c r="NQ257" s="500"/>
      <c r="NR257" s="500"/>
      <c r="NS257" s="500"/>
      <c r="NT257" s="500"/>
      <c r="NU257" s="500"/>
      <c r="NV257" s="500"/>
      <c r="NW257" s="500"/>
      <c r="NX257" s="500"/>
      <c r="NY257" s="500"/>
      <c r="NZ257" s="500"/>
      <c r="OA257" s="500"/>
      <c r="OB257" s="500"/>
      <c r="OC257" s="500"/>
      <c r="OD257" s="500"/>
      <c r="OE257" s="500"/>
      <c r="OF257" s="500"/>
      <c r="OG257" s="500"/>
      <c r="OH257" s="500"/>
      <c r="OI257" s="500"/>
      <c r="OJ257" s="500"/>
      <c r="OK257" s="500"/>
      <c r="OL257" s="500"/>
      <c r="OM257" s="500"/>
      <c r="ON257" s="500"/>
      <c r="OO257" s="500"/>
      <c r="OP257" s="500"/>
      <c r="OQ257" s="500"/>
      <c r="OR257" s="500"/>
      <c r="OS257" s="500"/>
      <c r="OT257" s="500"/>
      <c r="OU257" s="500"/>
      <c r="OV257" s="500"/>
      <c r="OW257" s="500"/>
      <c r="OX257" s="500"/>
      <c r="OY257" s="500"/>
      <c r="OZ257" s="500"/>
      <c r="PA257" s="500"/>
      <c r="PB257" s="500"/>
      <c r="PC257" s="500"/>
      <c r="PD257" s="500"/>
      <c r="PE257" s="500"/>
      <c r="PF257" s="500"/>
      <c r="PG257" s="500"/>
      <c r="PH257" s="500"/>
      <c r="PI257" s="500"/>
      <c r="PJ257" s="500"/>
      <c r="PK257" s="500"/>
      <c r="PL257" s="500"/>
      <c r="PM257" s="500"/>
      <c r="PN257" s="500"/>
      <c r="PO257" s="500"/>
      <c r="PP257" s="500"/>
      <c r="PQ257" s="500"/>
      <c r="PR257" s="500"/>
      <c r="PS257" s="500"/>
      <c r="PT257" s="500"/>
      <c r="PU257" s="500"/>
      <c r="PV257" s="500"/>
      <c r="PW257" s="500"/>
      <c r="PX257" s="500"/>
      <c r="PY257" s="500"/>
      <c r="PZ257" s="500"/>
      <c r="QA257" s="500"/>
      <c r="QB257" s="500"/>
      <c r="QC257" s="500"/>
      <c r="QD257" s="500"/>
      <c r="QE257" s="500"/>
      <c r="QF257" s="500"/>
      <c r="QG257" s="500"/>
      <c r="QH257" s="500"/>
      <c r="QI257" s="500"/>
      <c r="QJ257" s="500"/>
      <c r="QK257" s="500"/>
      <c r="QL257" s="500"/>
      <c r="QM257" s="500"/>
      <c r="QN257" s="500"/>
      <c r="QO257" s="500"/>
      <c r="QP257" s="500"/>
      <c r="QQ257" s="500"/>
      <c r="QR257" s="500"/>
      <c r="QS257" s="500"/>
      <c r="QT257" s="500"/>
      <c r="QU257" s="500"/>
      <c r="QV257" s="500"/>
      <c r="QW257" s="500"/>
      <c r="QX257" s="500"/>
      <c r="QY257" s="500"/>
      <c r="QZ257" s="500"/>
      <c r="RA257" s="500"/>
      <c r="RB257" s="500"/>
      <c r="RC257" s="500"/>
      <c r="RD257" s="500"/>
      <c r="RE257" s="500"/>
      <c r="RF257" s="500"/>
      <c r="RG257" s="500"/>
      <c r="RH257" s="500"/>
      <c r="RI257" s="500"/>
      <c r="RJ257" s="500"/>
      <c r="RK257" s="500"/>
      <c r="RL257" s="500"/>
      <c r="RM257" s="500"/>
      <c r="RN257" s="500"/>
      <c r="RO257" s="500"/>
      <c r="RP257" s="500"/>
      <c r="RQ257" s="500"/>
      <c r="RR257" s="500"/>
      <c r="RS257" s="500"/>
      <c r="RT257" s="500"/>
      <c r="RU257" s="500"/>
      <c r="RV257" s="500"/>
      <c r="RW257" s="500"/>
      <c r="RX257" s="500"/>
      <c r="RY257" s="500"/>
      <c r="RZ257" s="500"/>
      <c r="SA257" s="500"/>
      <c r="SB257" s="500"/>
      <c r="SC257" s="500"/>
      <c r="SD257" s="500"/>
      <c r="SE257" s="500"/>
      <c r="SF257" s="500"/>
      <c r="SG257" s="500"/>
      <c r="SH257" s="500"/>
      <c r="SI257" s="500"/>
      <c r="SJ257" s="500"/>
      <c r="SK257" s="500"/>
      <c r="SL257" s="500"/>
      <c r="SM257" s="500"/>
      <c r="SN257" s="500"/>
      <c r="SO257" s="500"/>
      <c r="SP257" s="500"/>
      <c r="SQ257" s="500"/>
      <c r="SR257" s="500"/>
      <c r="SS257" s="500"/>
      <c r="ST257" s="500"/>
      <c r="SU257" s="500"/>
      <c r="SV257" s="500"/>
      <c r="SW257" s="500"/>
      <c r="SX257" s="500"/>
      <c r="SY257" s="500"/>
      <c r="SZ257" s="500"/>
      <c r="TA257" s="500"/>
      <c r="TB257" s="500"/>
      <c r="TC257" s="500"/>
      <c r="TD257" s="500"/>
      <c r="TE257" s="500"/>
      <c r="TF257" s="500"/>
      <c r="TG257" s="500"/>
      <c r="TH257" s="500"/>
      <c r="TI257" s="500"/>
      <c r="TJ257" s="500"/>
      <c r="TK257" s="500"/>
      <c r="TL257" s="500"/>
      <c r="TM257" s="500"/>
      <c r="TN257" s="500"/>
      <c r="TO257" s="500"/>
      <c r="TP257" s="500"/>
      <c r="TQ257" s="500"/>
      <c r="TR257" s="500"/>
      <c r="TS257" s="500"/>
      <c r="TT257" s="500"/>
      <c r="TU257" s="500"/>
      <c r="TV257" s="500"/>
      <c r="TW257" s="500"/>
      <c r="TX257" s="500"/>
      <c r="TY257" s="500"/>
      <c r="TZ257" s="500"/>
      <c r="UA257" s="500"/>
      <c r="UB257" s="500"/>
      <c r="UC257" s="500"/>
      <c r="UD257" s="500"/>
      <c r="UE257" s="500"/>
      <c r="UF257" s="500"/>
      <c r="UG257" s="500"/>
      <c r="UH257" s="500"/>
      <c r="UI257" s="500"/>
      <c r="UJ257" s="500"/>
      <c r="UK257" s="500"/>
      <c r="UL257" s="500"/>
      <c r="UM257" s="500"/>
      <c r="UN257" s="500"/>
      <c r="UO257" s="500"/>
      <c r="UP257" s="500"/>
      <c r="UQ257" s="500"/>
      <c r="UR257" s="500"/>
      <c r="US257" s="500"/>
      <c r="UT257" s="500"/>
      <c r="UU257" s="500"/>
      <c r="UV257" s="500"/>
      <c r="UW257" s="500"/>
      <c r="UX257" s="500"/>
      <c r="UY257" s="500"/>
      <c r="UZ257" s="500"/>
      <c r="VA257" s="500"/>
      <c r="VB257" s="500"/>
      <c r="VC257" s="500"/>
      <c r="VD257" s="500"/>
      <c r="VE257" s="500"/>
      <c r="VF257" s="500"/>
      <c r="VG257" s="500"/>
      <c r="VH257" s="500"/>
      <c r="VI257" s="500"/>
      <c r="VJ257" s="500"/>
      <c r="VK257" s="500"/>
      <c r="VL257" s="500"/>
      <c r="VM257" s="500"/>
      <c r="VN257" s="500"/>
      <c r="VO257" s="500"/>
      <c r="VP257" s="500"/>
      <c r="VQ257" s="500"/>
      <c r="VR257" s="500"/>
      <c r="VS257" s="500"/>
      <c r="VT257" s="500"/>
      <c r="VU257" s="500"/>
      <c r="VV257" s="500"/>
      <c r="VW257" s="500"/>
      <c r="VX257" s="500"/>
      <c r="VY257" s="500"/>
      <c r="VZ257" s="500"/>
      <c r="WA257" s="500"/>
      <c r="WB257" s="500"/>
      <c r="WC257" s="500"/>
      <c r="WD257" s="500"/>
      <c r="WE257" s="500"/>
      <c r="WF257" s="500"/>
      <c r="WG257" s="500"/>
      <c r="WH257" s="500"/>
      <c r="WI257" s="500"/>
      <c r="WJ257" s="500"/>
      <c r="WK257" s="500"/>
      <c r="WL257" s="500"/>
      <c r="WM257" s="500"/>
      <c r="WN257" s="500"/>
      <c r="WO257" s="500"/>
      <c r="WP257" s="500"/>
      <c r="WQ257" s="500"/>
      <c r="WR257" s="500"/>
      <c r="WS257" s="500"/>
      <c r="WT257" s="500"/>
      <c r="WU257" s="500"/>
      <c r="WV257" s="500"/>
      <c r="WW257" s="500"/>
      <c r="WX257" s="500"/>
      <c r="WY257" s="500"/>
      <c r="WZ257" s="500"/>
      <c r="XA257" s="500"/>
      <c r="XB257" s="500"/>
      <c r="XC257" s="500"/>
      <c r="XD257" s="500"/>
      <c r="XE257" s="500"/>
      <c r="XF257" s="500"/>
      <c r="XG257" s="500"/>
      <c r="XH257" s="500"/>
      <c r="XI257" s="500"/>
      <c r="XJ257" s="500"/>
      <c r="XK257" s="500"/>
      <c r="XL257" s="500"/>
      <c r="XM257" s="500"/>
      <c r="XN257" s="500"/>
      <c r="XO257" s="500"/>
      <c r="XP257" s="500"/>
      <c r="XQ257" s="500"/>
      <c r="XR257" s="500"/>
      <c r="XS257" s="500"/>
      <c r="XT257" s="500"/>
      <c r="XU257" s="500"/>
      <c r="XV257" s="500"/>
      <c r="XW257" s="500"/>
      <c r="XX257" s="500"/>
      <c r="XY257" s="500"/>
      <c r="XZ257" s="500"/>
      <c r="YA257" s="500"/>
      <c r="YB257" s="500"/>
      <c r="YC257" s="500"/>
      <c r="YD257" s="500"/>
      <c r="YE257" s="500"/>
      <c r="YF257" s="500"/>
      <c r="YG257" s="500"/>
      <c r="YH257" s="500"/>
      <c r="YI257" s="500"/>
      <c r="YJ257" s="500"/>
      <c r="YK257" s="500"/>
      <c r="YL257" s="500"/>
      <c r="YM257" s="500"/>
      <c r="YN257" s="500"/>
      <c r="YO257" s="500"/>
      <c r="YP257" s="500"/>
      <c r="YQ257" s="500"/>
      <c r="YR257" s="500"/>
      <c r="YS257" s="500"/>
      <c r="YT257" s="500"/>
      <c r="YU257" s="500"/>
      <c r="YV257" s="500"/>
      <c r="YW257" s="500"/>
      <c r="YX257" s="500"/>
      <c r="YY257" s="500"/>
      <c r="YZ257" s="500"/>
      <c r="ZA257" s="500"/>
      <c r="ZB257" s="500"/>
      <c r="ZC257" s="500"/>
      <c r="ZD257" s="500"/>
      <c r="ZE257" s="500"/>
      <c r="ZF257" s="500"/>
      <c r="ZG257" s="500"/>
      <c r="ZH257" s="500"/>
      <c r="ZI257" s="500"/>
      <c r="ZJ257" s="500"/>
      <c r="ZK257" s="500"/>
      <c r="ZL257" s="500"/>
      <c r="ZM257" s="500"/>
      <c r="ZN257" s="500"/>
      <c r="ZO257" s="500"/>
      <c r="ZP257" s="500"/>
      <c r="ZQ257" s="500"/>
      <c r="ZR257" s="500"/>
      <c r="ZS257" s="500"/>
      <c r="ZT257" s="500"/>
      <c r="ZU257" s="500"/>
      <c r="ZV257" s="500"/>
      <c r="ZW257" s="500"/>
      <c r="ZX257" s="500"/>
      <c r="ZY257" s="500"/>
      <c r="ZZ257" s="500"/>
      <c r="AAA257" s="500"/>
      <c r="AAB257" s="500"/>
      <c r="AAC257" s="500"/>
      <c r="AAD257" s="500"/>
      <c r="AAE257" s="500"/>
      <c r="AAF257" s="500"/>
      <c r="AAG257" s="500"/>
      <c r="AAH257" s="500"/>
      <c r="AAI257" s="500"/>
      <c r="AAJ257" s="500"/>
      <c r="AAK257" s="500"/>
      <c r="AAL257" s="500"/>
      <c r="AAM257" s="500"/>
      <c r="AAN257" s="500"/>
      <c r="AAO257" s="500"/>
      <c r="AAP257" s="500"/>
      <c r="AAQ257" s="500"/>
      <c r="AAR257" s="500"/>
      <c r="AAS257" s="500"/>
      <c r="AAT257" s="500"/>
      <c r="AAU257" s="500"/>
      <c r="AAV257" s="500"/>
      <c r="AAW257" s="500"/>
      <c r="AAX257" s="500"/>
      <c r="AAY257" s="500"/>
      <c r="AAZ257" s="500"/>
      <c r="ABA257" s="500"/>
      <c r="ABB257" s="500"/>
      <c r="ABC257" s="500"/>
      <c r="ABD257" s="500"/>
      <c r="ABE257" s="500"/>
      <c r="ABF257" s="500"/>
      <c r="ABG257" s="500"/>
      <c r="ABH257" s="500"/>
      <c r="ABI257" s="500"/>
      <c r="ABJ257" s="500"/>
      <c r="ABK257" s="500"/>
      <c r="ABL257" s="500"/>
      <c r="ABM257" s="500"/>
      <c r="ABN257" s="500"/>
      <c r="ABO257" s="500"/>
      <c r="ABP257" s="500"/>
      <c r="ABQ257" s="500"/>
      <c r="ABR257" s="500"/>
      <c r="ABS257" s="500"/>
      <c r="ABT257" s="500"/>
      <c r="ABU257" s="500"/>
      <c r="ABV257" s="500"/>
      <c r="ABW257" s="500"/>
      <c r="ABX257" s="500"/>
      <c r="ABY257" s="500"/>
      <c r="ABZ257" s="500"/>
      <c r="ACA257" s="500"/>
      <c r="ACB257" s="500"/>
      <c r="ACC257" s="500"/>
      <c r="ACD257" s="500"/>
      <c r="ACE257" s="500"/>
      <c r="ACF257" s="500"/>
      <c r="ACG257" s="500"/>
      <c r="ACH257" s="500"/>
      <c r="ACI257" s="500"/>
      <c r="ACJ257" s="500"/>
      <c r="ACK257" s="500"/>
      <c r="ACL257" s="500"/>
      <c r="ACM257" s="500"/>
      <c r="ACN257" s="500"/>
      <c r="ACO257" s="500"/>
      <c r="ACP257" s="500"/>
      <c r="ACQ257" s="500"/>
      <c r="ACR257" s="500"/>
      <c r="ACS257" s="500"/>
      <c r="ACT257" s="500"/>
      <c r="ACU257" s="500"/>
      <c r="ACV257" s="500"/>
      <c r="ACW257" s="500"/>
      <c r="ACX257" s="500"/>
      <c r="ACY257" s="500"/>
      <c r="ACZ257" s="500"/>
      <c r="ADA257" s="500"/>
      <c r="ADB257" s="500"/>
      <c r="ADC257" s="500"/>
      <c r="ADD257" s="500"/>
      <c r="ADE257" s="500"/>
      <c r="ADF257" s="500"/>
      <c r="ADG257" s="500"/>
      <c r="ADH257" s="500"/>
      <c r="ADI257" s="500"/>
      <c r="ADJ257" s="500"/>
      <c r="ADK257" s="500"/>
      <c r="ADL257" s="500"/>
      <c r="ADM257" s="500"/>
      <c r="ADN257" s="500"/>
      <c r="ADO257" s="500"/>
      <c r="ADP257" s="500"/>
      <c r="ADQ257" s="500"/>
      <c r="ADR257" s="500"/>
      <c r="ADS257" s="500"/>
      <c r="ADT257" s="500"/>
      <c r="ADU257" s="500"/>
      <c r="ADV257" s="500"/>
      <c r="ADW257" s="500"/>
      <c r="ADX257" s="500"/>
      <c r="ADY257" s="500"/>
      <c r="ADZ257" s="500"/>
      <c r="AEA257" s="500"/>
      <c r="AEB257" s="500"/>
      <c r="AEC257" s="500"/>
      <c r="AED257" s="500"/>
      <c r="AEE257" s="500"/>
      <c r="AEF257" s="500"/>
      <c r="AEG257" s="500"/>
      <c r="AEH257" s="500"/>
      <c r="AEI257" s="500"/>
      <c r="AEJ257" s="500"/>
      <c r="AEK257" s="500"/>
      <c r="AEL257" s="500"/>
      <c r="AEM257" s="500"/>
      <c r="AEN257" s="500"/>
      <c r="AEO257" s="500"/>
      <c r="AEP257" s="500"/>
      <c r="AEQ257" s="500"/>
      <c r="AER257" s="500"/>
      <c r="AES257" s="500"/>
      <c r="AET257" s="500"/>
      <c r="AEU257" s="500"/>
      <c r="AEV257" s="500"/>
      <c r="AEW257" s="500"/>
      <c r="AEX257" s="500"/>
      <c r="AEY257" s="500"/>
      <c r="AEZ257" s="500"/>
      <c r="AFA257" s="500"/>
      <c r="AFB257" s="500"/>
      <c r="AFC257" s="500"/>
      <c r="AFD257" s="500"/>
      <c r="AFE257" s="500"/>
      <c r="AFF257" s="500"/>
      <c r="AFG257" s="500"/>
      <c r="AFH257" s="500"/>
      <c r="AFI257" s="500"/>
      <c r="AFJ257" s="500"/>
      <c r="AFK257" s="500"/>
      <c r="AFL257" s="500"/>
      <c r="AFM257" s="500"/>
      <c r="AFN257" s="500"/>
      <c r="AFO257" s="500"/>
      <c r="AFP257" s="500"/>
      <c r="AFQ257" s="500"/>
      <c r="AFR257" s="500"/>
      <c r="AFS257" s="500"/>
      <c r="AFT257" s="500"/>
      <c r="AFU257" s="500"/>
      <c r="AFV257" s="500"/>
      <c r="AFW257" s="500"/>
      <c r="AFX257" s="500"/>
      <c r="AFY257" s="500"/>
      <c r="AFZ257" s="500"/>
      <c r="AGA257" s="500"/>
      <c r="AGB257" s="500"/>
      <c r="AGC257" s="500"/>
      <c r="AGD257" s="500"/>
      <c r="AGE257" s="500"/>
      <c r="AGF257" s="500"/>
      <c r="AGG257" s="500"/>
      <c r="AGH257" s="500"/>
      <c r="AGI257" s="500"/>
      <c r="AGJ257" s="500"/>
      <c r="AGK257" s="500"/>
      <c r="AGL257" s="500"/>
      <c r="AGM257" s="500"/>
      <c r="AGN257" s="500"/>
      <c r="AGO257" s="500"/>
      <c r="AGP257" s="500"/>
      <c r="AGQ257" s="500"/>
      <c r="AGR257" s="500"/>
      <c r="AGS257" s="500"/>
      <c r="AGT257" s="500"/>
      <c r="AGU257" s="500"/>
      <c r="AGV257" s="500"/>
      <c r="AGW257" s="500"/>
      <c r="AGX257" s="500"/>
      <c r="AGY257" s="500"/>
      <c r="AGZ257" s="500"/>
      <c r="AHA257" s="500"/>
      <c r="AHB257" s="500"/>
      <c r="AHC257" s="500"/>
      <c r="AHD257" s="500"/>
      <c r="AHE257" s="500"/>
      <c r="AHF257" s="500"/>
      <c r="AHG257" s="500"/>
      <c r="AHH257" s="500"/>
      <c r="AHI257" s="500"/>
      <c r="AHJ257" s="500"/>
      <c r="AHK257" s="500"/>
      <c r="AHL257" s="500"/>
      <c r="AHM257" s="500"/>
      <c r="AHN257" s="500"/>
      <c r="AHO257" s="500"/>
      <c r="AHP257" s="500"/>
      <c r="AHQ257" s="500"/>
      <c r="AHR257" s="500"/>
      <c r="AHS257" s="500"/>
      <c r="AHT257" s="500"/>
      <c r="AHU257" s="500"/>
      <c r="AHV257" s="500"/>
      <c r="AHW257" s="500"/>
      <c r="AHX257" s="500"/>
      <c r="AHY257" s="500"/>
      <c r="AHZ257" s="500"/>
      <c r="AIA257" s="500"/>
      <c r="AIB257" s="500"/>
      <c r="AIC257" s="500"/>
      <c r="AID257" s="500"/>
      <c r="AIE257" s="500"/>
      <c r="AIF257" s="500"/>
      <c r="AIG257" s="500"/>
      <c r="AIH257" s="500"/>
      <c r="AII257" s="500"/>
      <c r="AIJ257" s="500"/>
      <c r="AIK257" s="500"/>
      <c r="AIL257" s="500"/>
      <c r="AIM257" s="500"/>
      <c r="AIN257" s="500"/>
      <c r="AIO257" s="500"/>
      <c r="AIP257" s="500"/>
      <c r="AIQ257" s="500"/>
      <c r="AIR257" s="500"/>
      <c r="AIS257" s="500"/>
      <c r="AIT257" s="500"/>
      <c r="AIU257" s="500"/>
      <c r="AIV257" s="500"/>
      <c r="AIW257" s="500"/>
      <c r="AIX257" s="500"/>
      <c r="AIY257" s="500"/>
      <c r="AIZ257" s="500"/>
      <c r="AJA257" s="500"/>
      <c r="AJB257" s="500"/>
      <c r="AJC257" s="500"/>
      <c r="AJD257" s="500"/>
      <c r="AJE257" s="500"/>
      <c r="AJF257" s="500"/>
      <c r="AJG257" s="500"/>
      <c r="AJH257" s="500"/>
      <c r="AJI257" s="500"/>
      <c r="AJJ257" s="500"/>
      <c r="AJK257" s="500"/>
      <c r="AJL257" s="500"/>
      <c r="AJM257" s="500"/>
      <c r="AJN257" s="500"/>
      <c r="AJO257" s="500"/>
      <c r="AJP257" s="500"/>
      <c r="AJQ257" s="500"/>
      <c r="AJR257" s="500"/>
      <c r="AJS257" s="500"/>
      <c r="AJT257" s="500"/>
      <c r="AJU257" s="500"/>
      <c r="AJV257" s="500"/>
      <c r="AJW257" s="500"/>
      <c r="AJX257" s="500"/>
      <c r="AJY257" s="500"/>
      <c r="AJZ257" s="500"/>
      <c r="AKA257" s="500"/>
      <c r="AKB257" s="500"/>
      <c r="AKC257" s="500"/>
      <c r="AKD257" s="500"/>
      <c r="AKE257" s="500"/>
      <c r="AKF257" s="500"/>
      <c r="AKG257" s="500"/>
      <c r="AKH257" s="500"/>
      <c r="AKI257" s="500"/>
      <c r="AKJ257" s="500"/>
      <c r="AKK257" s="500"/>
      <c r="AKL257" s="500"/>
      <c r="AKM257" s="500"/>
      <c r="AKN257" s="500"/>
      <c r="AKO257" s="500"/>
      <c r="AKP257" s="500"/>
      <c r="AKQ257" s="500"/>
      <c r="AKR257" s="500"/>
      <c r="AKS257" s="500"/>
      <c r="AKT257" s="500"/>
      <c r="AKU257" s="500"/>
      <c r="AKV257" s="500"/>
      <c r="AKW257" s="500"/>
      <c r="AKX257" s="500"/>
      <c r="AKY257" s="500"/>
      <c r="AKZ257" s="500"/>
      <c r="ALA257" s="500"/>
      <c r="ALB257" s="500"/>
      <c r="ALC257" s="500"/>
      <c r="ALD257" s="500"/>
      <c r="ALE257" s="500"/>
      <c r="ALF257" s="500"/>
      <c r="ALG257" s="500"/>
      <c r="ALH257" s="500"/>
      <c r="ALI257" s="500"/>
      <c r="ALJ257" s="500"/>
      <c r="ALK257" s="500"/>
      <c r="ALL257" s="500"/>
      <c r="ALM257" s="500"/>
      <c r="ALN257" s="500"/>
      <c r="ALO257" s="500"/>
      <c r="ALP257" s="500"/>
      <c r="ALQ257" s="500"/>
      <c r="ALR257" s="500"/>
      <c r="ALS257" s="500"/>
      <c r="ALT257" s="500"/>
      <c r="ALU257" s="500"/>
      <c r="ALV257" s="500"/>
      <c r="ALW257" s="500"/>
      <c r="ALX257" s="500"/>
      <c r="ALY257" s="500"/>
      <c r="ALZ257" s="500"/>
      <c r="AMA257" s="500"/>
      <c r="AMB257" s="500"/>
      <c r="AMC257" s="500"/>
      <c r="AMD257" s="500"/>
      <c r="AME257" s="500"/>
      <c r="AMF257" s="500"/>
      <c r="AMG257" s="500"/>
      <c r="AMH257" s="500"/>
      <c r="AMI257" s="500"/>
      <c r="AMJ257" s="500"/>
      <c r="AMK257" s="500"/>
      <c r="AML257" s="500"/>
      <c r="AMM257" s="500"/>
      <c r="AMN257" s="500"/>
      <c r="AMO257" s="500"/>
      <c r="AMP257" s="500"/>
      <c r="AMQ257" s="500"/>
      <c r="AMR257" s="500"/>
      <c r="AMS257" s="500"/>
      <c r="AMT257" s="500"/>
      <c r="AMU257" s="500"/>
      <c r="AMV257" s="500"/>
      <c r="AMW257" s="500"/>
      <c r="AMX257" s="500"/>
      <c r="AMY257" s="500"/>
      <c r="AMZ257" s="500"/>
      <c r="ANA257" s="500"/>
      <c r="ANB257" s="500"/>
      <c r="ANC257" s="500"/>
      <c r="AND257" s="500"/>
      <c r="ANE257" s="500"/>
      <c r="ANF257" s="500"/>
      <c r="ANG257" s="500"/>
      <c r="ANH257" s="500"/>
      <c r="ANI257" s="500"/>
      <c r="ANJ257" s="500"/>
      <c r="ANK257" s="500"/>
      <c r="ANL257" s="500"/>
      <c r="ANM257" s="500"/>
      <c r="ANN257" s="500"/>
      <c r="ANO257" s="500"/>
      <c r="ANP257" s="500"/>
      <c r="ANQ257" s="500"/>
      <c r="ANR257" s="500"/>
      <c r="ANS257" s="500"/>
      <c r="ANT257" s="500"/>
      <c r="ANU257" s="500"/>
      <c r="ANV257" s="500"/>
      <c r="ANW257" s="500"/>
      <c r="ANX257" s="500"/>
      <c r="ANY257" s="500"/>
      <c r="ANZ257" s="500"/>
      <c r="AOA257" s="500"/>
      <c r="AOB257" s="500"/>
      <c r="AOC257" s="500"/>
      <c r="AOD257" s="500"/>
      <c r="AOE257" s="500"/>
      <c r="AOF257" s="500"/>
      <c r="AOG257" s="500"/>
      <c r="AOH257" s="500"/>
      <c r="AOI257" s="500"/>
      <c r="AOJ257" s="500"/>
      <c r="AOK257" s="500"/>
      <c r="AOL257" s="500"/>
      <c r="AOM257" s="500"/>
      <c r="AON257" s="500"/>
      <c r="AOO257" s="500"/>
      <c r="AOP257" s="500"/>
      <c r="AOQ257" s="500"/>
      <c r="AOR257" s="500"/>
      <c r="AOS257" s="500"/>
      <c r="AOT257" s="500"/>
      <c r="AOU257" s="500"/>
      <c r="AOV257" s="500"/>
      <c r="AOW257" s="500"/>
      <c r="AOX257" s="500"/>
      <c r="AOY257" s="500"/>
      <c r="AOZ257" s="500"/>
      <c r="APA257" s="500"/>
      <c r="APB257" s="500"/>
      <c r="APC257" s="500"/>
      <c r="APD257" s="500"/>
      <c r="APE257" s="500"/>
      <c r="APF257" s="500"/>
      <c r="APG257" s="500"/>
      <c r="APH257" s="500"/>
      <c r="API257" s="500"/>
      <c r="APJ257" s="500"/>
      <c r="APK257" s="500"/>
      <c r="APL257" s="500"/>
      <c r="APM257" s="500"/>
      <c r="APN257" s="500"/>
      <c r="APO257" s="500"/>
      <c r="APP257" s="500"/>
      <c r="APQ257" s="500"/>
      <c r="APR257" s="500"/>
      <c r="APS257" s="500"/>
      <c r="APT257" s="500"/>
      <c r="APU257" s="500"/>
      <c r="APV257" s="500"/>
      <c r="APW257" s="500"/>
      <c r="APX257" s="500"/>
      <c r="APY257" s="500"/>
      <c r="APZ257" s="500"/>
      <c r="AQA257" s="500"/>
      <c r="AQB257" s="500"/>
      <c r="AQC257" s="500"/>
      <c r="AQD257" s="500"/>
      <c r="AQE257" s="500"/>
      <c r="AQF257" s="500"/>
      <c r="AQG257" s="500"/>
      <c r="AQH257" s="500"/>
      <c r="AQI257" s="500"/>
      <c r="AQJ257" s="500"/>
      <c r="AQK257" s="500"/>
      <c r="AQL257" s="500"/>
      <c r="AQM257" s="500"/>
      <c r="AQN257" s="500"/>
      <c r="AQO257" s="500"/>
      <c r="AQP257" s="500"/>
      <c r="AQQ257" s="500"/>
      <c r="AQR257" s="500"/>
      <c r="AQS257" s="500"/>
      <c r="AQT257" s="500"/>
      <c r="AQU257" s="500"/>
      <c r="AQV257" s="500"/>
      <c r="AQW257" s="500"/>
      <c r="AQX257" s="500"/>
      <c r="AQY257" s="500"/>
      <c r="AQZ257" s="500"/>
      <c r="ARA257" s="500"/>
      <c r="ARB257" s="500"/>
      <c r="ARC257" s="500"/>
      <c r="ARD257" s="500"/>
      <c r="ARE257" s="500"/>
      <c r="ARF257" s="500"/>
      <c r="ARG257" s="500"/>
      <c r="ARH257" s="500"/>
      <c r="ARI257" s="500"/>
      <c r="ARJ257" s="500"/>
      <c r="ARK257" s="500"/>
      <c r="ARL257" s="500"/>
      <c r="ARM257" s="500"/>
      <c r="ARN257" s="500"/>
      <c r="ARO257" s="500"/>
      <c r="ARP257" s="500"/>
      <c r="ARQ257" s="500"/>
      <c r="ARR257" s="500"/>
      <c r="ARS257" s="500"/>
      <c r="ART257" s="500"/>
      <c r="ARU257" s="500"/>
      <c r="ARV257" s="500"/>
      <c r="ARW257" s="500"/>
      <c r="ARX257" s="500"/>
      <c r="ARY257" s="500"/>
      <c r="ARZ257" s="500"/>
      <c r="ASA257" s="500"/>
      <c r="ASB257" s="500"/>
      <c r="ASC257" s="500"/>
      <c r="ASD257" s="500"/>
      <c r="ASE257" s="500"/>
      <c r="ASF257" s="500"/>
      <c r="ASG257" s="500"/>
      <c r="ASH257" s="500"/>
      <c r="ASI257" s="500"/>
      <c r="ASJ257" s="500"/>
      <c r="ASK257" s="500"/>
      <c r="ASL257" s="500"/>
      <c r="ASM257" s="500"/>
      <c r="ASN257" s="500"/>
      <c r="ASO257" s="500"/>
      <c r="ASP257" s="500"/>
      <c r="ASQ257" s="500"/>
      <c r="ASR257" s="500"/>
      <c r="ASS257" s="500"/>
      <c r="AST257" s="500"/>
      <c r="ASU257" s="500"/>
      <c r="ASV257" s="500"/>
      <c r="ASW257" s="500"/>
      <c r="ASX257" s="500"/>
      <c r="ASY257" s="500"/>
      <c r="ASZ257" s="500"/>
      <c r="ATA257" s="500"/>
      <c r="ATB257" s="500"/>
      <c r="ATC257" s="500"/>
      <c r="ATD257" s="500"/>
      <c r="ATE257" s="500"/>
      <c r="ATF257" s="500"/>
      <c r="ATG257" s="500"/>
      <c r="ATH257" s="500"/>
      <c r="ATI257" s="500"/>
      <c r="ATJ257" s="500"/>
      <c r="ATK257" s="500"/>
      <c r="ATL257" s="500"/>
      <c r="ATM257" s="500"/>
      <c r="ATN257" s="500"/>
      <c r="ATO257" s="500"/>
      <c r="ATP257" s="500"/>
      <c r="ATQ257" s="500"/>
      <c r="ATR257" s="500"/>
      <c r="ATS257" s="500"/>
      <c r="ATT257" s="500"/>
      <c r="ATU257" s="500"/>
      <c r="ATV257" s="500"/>
      <c r="ATW257" s="500"/>
      <c r="ATX257" s="500"/>
      <c r="ATY257" s="500"/>
      <c r="ATZ257" s="500"/>
      <c r="AUA257" s="500"/>
      <c r="AUB257" s="500"/>
      <c r="AUC257" s="500"/>
      <c r="AUD257" s="500"/>
      <c r="AUE257" s="500"/>
      <c r="AUF257" s="500"/>
      <c r="AUG257" s="500"/>
      <c r="AUH257" s="500"/>
      <c r="AUI257" s="500"/>
      <c r="AUJ257" s="500"/>
      <c r="AUK257" s="500"/>
      <c r="AUL257" s="500"/>
      <c r="AUM257" s="500"/>
      <c r="AUN257" s="500"/>
      <c r="AUO257" s="500"/>
      <c r="AUP257" s="500"/>
      <c r="AUQ257" s="500"/>
      <c r="AUR257" s="500"/>
      <c r="AUS257" s="500"/>
      <c r="AUT257" s="500"/>
      <c r="AUU257" s="500"/>
      <c r="AUV257" s="500"/>
      <c r="AUW257" s="500"/>
      <c r="AUX257" s="500"/>
      <c r="AUY257" s="500"/>
      <c r="AUZ257" s="500"/>
      <c r="AVA257" s="500"/>
      <c r="AVB257" s="500"/>
      <c r="AVC257" s="500"/>
      <c r="AVD257" s="500"/>
      <c r="AVE257" s="500"/>
      <c r="AVF257" s="500"/>
      <c r="AVG257" s="500"/>
      <c r="AVH257" s="500"/>
      <c r="AVI257" s="500"/>
      <c r="AVJ257" s="500"/>
      <c r="AVK257" s="500"/>
      <c r="AVL257" s="500"/>
      <c r="AVM257" s="500"/>
      <c r="AVN257" s="500"/>
      <c r="AVO257" s="500"/>
      <c r="AVP257" s="500"/>
      <c r="AVQ257" s="500"/>
      <c r="AVR257" s="500"/>
      <c r="AVS257" s="500"/>
      <c r="AVT257" s="500"/>
      <c r="AVU257" s="500"/>
      <c r="AVV257" s="500"/>
      <c r="AVW257" s="500"/>
      <c r="AVX257" s="500"/>
      <c r="AVY257" s="500"/>
      <c r="AVZ257" s="500"/>
      <c r="AWA257" s="500"/>
      <c r="AWB257" s="500"/>
      <c r="AWC257" s="500"/>
      <c r="AWD257" s="500"/>
      <c r="AWE257" s="500"/>
      <c r="AWF257" s="500"/>
      <c r="AWG257" s="500"/>
      <c r="AWH257" s="500"/>
      <c r="AWI257" s="500"/>
      <c r="AWJ257" s="500"/>
      <c r="AWK257" s="500"/>
      <c r="AWL257" s="500"/>
      <c r="AWM257" s="500"/>
      <c r="AWN257" s="500"/>
      <c r="AWO257" s="500"/>
      <c r="AWP257" s="500"/>
      <c r="AWQ257" s="500"/>
      <c r="AWR257" s="500"/>
      <c r="AWS257" s="500"/>
      <c r="AWT257" s="500"/>
      <c r="AWU257" s="500"/>
      <c r="AWV257" s="500"/>
      <c r="AWW257" s="500"/>
      <c r="AWX257" s="500"/>
      <c r="AWY257" s="500"/>
      <c r="AWZ257" s="500"/>
      <c r="AXA257" s="500"/>
      <c r="AXB257" s="500"/>
      <c r="AXC257" s="500"/>
      <c r="AXD257" s="500"/>
      <c r="AXE257" s="500"/>
      <c r="AXF257" s="500"/>
      <c r="AXG257" s="500"/>
      <c r="AXH257" s="500"/>
      <c r="AXI257" s="500"/>
      <c r="AXJ257" s="500"/>
      <c r="AXK257" s="500"/>
      <c r="AXL257" s="500"/>
      <c r="AXM257" s="500"/>
      <c r="AXN257" s="500"/>
      <c r="AXO257" s="500"/>
      <c r="AXP257" s="500"/>
      <c r="AXQ257" s="500"/>
      <c r="AXR257" s="500"/>
      <c r="AXS257" s="500"/>
      <c r="AXT257" s="500"/>
      <c r="AXU257" s="500"/>
      <c r="AXV257" s="500"/>
      <c r="AXW257" s="500"/>
      <c r="AXX257" s="500"/>
      <c r="AXY257" s="500"/>
      <c r="AXZ257" s="500"/>
      <c r="AYA257" s="500"/>
      <c r="AYB257" s="500"/>
      <c r="AYC257" s="500"/>
      <c r="AYD257" s="500"/>
      <c r="AYE257" s="500"/>
      <c r="AYF257" s="500"/>
      <c r="AYG257" s="500"/>
      <c r="AYH257" s="500"/>
      <c r="AYI257" s="500"/>
      <c r="AYJ257" s="500"/>
      <c r="AYK257" s="500"/>
      <c r="AYL257" s="500"/>
      <c r="AYM257" s="500"/>
      <c r="AYN257" s="500"/>
      <c r="AYO257" s="500"/>
      <c r="AYP257" s="500"/>
      <c r="AYQ257" s="500"/>
      <c r="AYR257" s="500"/>
      <c r="AYS257" s="500"/>
      <c r="AYT257" s="500"/>
      <c r="AYU257" s="500"/>
      <c r="AYV257" s="500"/>
      <c r="AYW257" s="500"/>
      <c r="AYX257" s="500"/>
      <c r="AYY257" s="500"/>
      <c r="AYZ257" s="500"/>
      <c r="AZA257" s="500"/>
      <c r="AZB257" s="500"/>
      <c r="AZC257" s="500"/>
      <c r="AZD257" s="500"/>
      <c r="AZE257" s="500"/>
      <c r="AZF257" s="500"/>
      <c r="AZG257" s="500"/>
      <c r="AZH257" s="500"/>
      <c r="AZI257" s="500"/>
      <c r="AZJ257" s="500"/>
      <c r="AZK257" s="500"/>
      <c r="AZL257" s="500"/>
      <c r="AZM257" s="500"/>
      <c r="AZN257" s="500"/>
      <c r="AZO257" s="500"/>
      <c r="AZP257" s="500"/>
      <c r="AZQ257" s="500"/>
      <c r="AZR257" s="500"/>
      <c r="AZS257" s="500"/>
      <c r="AZT257" s="500"/>
      <c r="AZU257" s="500"/>
      <c r="AZV257" s="500"/>
      <c r="AZW257" s="500"/>
      <c r="AZX257" s="500"/>
      <c r="AZY257" s="500"/>
      <c r="AZZ257" s="500"/>
      <c r="BAA257" s="500"/>
      <c r="BAB257" s="500"/>
      <c r="BAC257" s="500"/>
      <c r="BAD257" s="500"/>
      <c r="BAE257" s="500"/>
      <c r="BAF257" s="500"/>
      <c r="BAG257" s="500"/>
      <c r="BAH257" s="500"/>
      <c r="BAI257" s="500"/>
      <c r="BAJ257" s="500"/>
      <c r="BAK257" s="500"/>
      <c r="BAL257" s="500"/>
      <c r="BAM257" s="500"/>
      <c r="BAN257" s="500"/>
      <c r="BAO257" s="500"/>
      <c r="BAP257" s="500"/>
      <c r="BAQ257" s="500"/>
      <c r="BAR257" s="500"/>
      <c r="BAS257" s="500"/>
      <c r="BAT257" s="500"/>
      <c r="BAU257" s="500"/>
      <c r="BAV257" s="500"/>
      <c r="BAW257" s="500"/>
      <c r="BAX257" s="500"/>
      <c r="BAY257" s="500"/>
      <c r="BAZ257" s="500"/>
      <c r="BBA257" s="500"/>
      <c r="BBB257" s="500"/>
      <c r="BBC257" s="500"/>
      <c r="BBD257" s="500"/>
      <c r="BBE257" s="500"/>
      <c r="BBF257" s="500"/>
      <c r="BBG257" s="500"/>
      <c r="BBH257" s="500"/>
      <c r="BBI257" s="500"/>
      <c r="BBJ257" s="500"/>
      <c r="BBK257" s="500"/>
      <c r="BBL257" s="500"/>
      <c r="BBM257" s="500"/>
      <c r="BBN257" s="500"/>
      <c r="BBO257" s="500"/>
      <c r="BBP257" s="500"/>
      <c r="BBQ257" s="500"/>
      <c r="BBR257" s="500"/>
      <c r="BBS257" s="500"/>
      <c r="BBT257" s="500"/>
      <c r="BBU257" s="500"/>
      <c r="BBV257" s="500"/>
      <c r="BBW257" s="500"/>
      <c r="BBX257" s="500"/>
      <c r="BBY257" s="500"/>
      <c r="BBZ257" s="500"/>
      <c r="BCA257" s="500"/>
      <c r="BCB257" s="500"/>
      <c r="BCC257" s="500"/>
      <c r="BCD257" s="500"/>
      <c r="BCE257" s="500"/>
      <c r="BCF257" s="500"/>
      <c r="BCG257" s="500"/>
      <c r="BCH257" s="500"/>
      <c r="BCI257" s="500"/>
      <c r="BCJ257" s="500"/>
      <c r="BCK257" s="500"/>
      <c r="BCL257" s="500"/>
      <c r="BCM257" s="500"/>
      <c r="BCN257" s="500"/>
      <c r="BCO257" s="500"/>
      <c r="BCP257" s="500"/>
      <c r="BCQ257" s="500"/>
      <c r="BCR257" s="500"/>
      <c r="BCS257" s="500"/>
      <c r="BCT257" s="500"/>
      <c r="BCU257" s="500"/>
      <c r="BCV257" s="500"/>
      <c r="BCW257" s="500"/>
      <c r="BCX257" s="500"/>
      <c r="BCY257" s="500"/>
      <c r="BCZ257" s="500"/>
      <c r="BDA257" s="500"/>
      <c r="BDB257" s="500"/>
      <c r="BDC257" s="500"/>
      <c r="BDD257" s="500"/>
      <c r="BDE257" s="500"/>
      <c r="BDF257" s="500"/>
      <c r="BDG257" s="500"/>
      <c r="BDH257" s="500"/>
      <c r="BDI257" s="500"/>
      <c r="BDJ257" s="500"/>
      <c r="BDK257" s="500"/>
      <c r="BDL257" s="500"/>
      <c r="BDM257" s="500"/>
      <c r="BDN257" s="500"/>
      <c r="BDO257" s="500"/>
      <c r="BDP257" s="500"/>
      <c r="BDQ257" s="500"/>
      <c r="BDR257" s="500"/>
      <c r="BDS257" s="500"/>
      <c r="BDT257" s="500"/>
      <c r="BDU257" s="500"/>
      <c r="BDV257" s="500"/>
      <c r="BDW257" s="500"/>
      <c r="BDX257" s="500"/>
      <c r="BDY257" s="500"/>
      <c r="BDZ257" s="500"/>
      <c r="BEA257" s="500"/>
      <c r="BEB257" s="500"/>
      <c r="BEC257" s="500"/>
      <c r="BED257" s="500"/>
      <c r="BEE257" s="500"/>
      <c r="BEF257" s="500"/>
      <c r="BEG257" s="500"/>
      <c r="BEH257" s="500"/>
      <c r="BEI257" s="500"/>
      <c r="BEJ257" s="500"/>
      <c r="BEK257" s="500"/>
      <c r="BEL257" s="500"/>
      <c r="BEM257" s="500"/>
      <c r="BEN257" s="500"/>
      <c r="BEO257" s="500"/>
      <c r="BEP257" s="500"/>
      <c r="BEQ257" s="500"/>
      <c r="BER257" s="500"/>
      <c r="BES257" s="500"/>
      <c r="BET257" s="500"/>
      <c r="BEU257" s="500"/>
      <c r="BEV257" s="500"/>
      <c r="BEW257" s="500"/>
      <c r="BEX257" s="500"/>
      <c r="BEY257" s="500"/>
      <c r="BEZ257" s="500"/>
      <c r="BFA257" s="500"/>
      <c r="BFB257" s="500"/>
      <c r="BFC257" s="500"/>
      <c r="BFD257" s="500"/>
      <c r="BFE257" s="500"/>
      <c r="BFF257" s="500"/>
      <c r="BFG257" s="500"/>
      <c r="BFH257" s="500"/>
      <c r="BFI257" s="500"/>
      <c r="BFJ257" s="500"/>
      <c r="BFK257" s="500"/>
      <c r="BFL257" s="500"/>
      <c r="BFM257" s="500"/>
      <c r="BFN257" s="500"/>
      <c r="BFO257" s="500"/>
      <c r="BFP257" s="500"/>
      <c r="BFQ257" s="500"/>
      <c r="BFR257" s="500"/>
      <c r="BFS257" s="500"/>
      <c r="BFT257" s="500"/>
      <c r="BFU257" s="500"/>
      <c r="BFV257" s="500"/>
      <c r="BFW257" s="500"/>
      <c r="BFX257" s="500"/>
      <c r="BFY257" s="500"/>
      <c r="BFZ257" s="500"/>
      <c r="BGA257" s="500"/>
      <c r="BGB257" s="500"/>
      <c r="BGC257" s="500"/>
      <c r="BGD257" s="500"/>
      <c r="BGE257" s="500"/>
      <c r="BGF257" s="500"/>
      <c r="BGG257" s="500"/>
      <c r="BGH257" s="500"/>
      <c r="BGI257" s="500"/>
      <c r="BGJ257" s="500"/>
      <c r="BGK257" s="500"/>
      <c r="BGL257" s="500"/>
      <c r="BGM257" s="500"/>
      <c r="BGN257" s="500"/>
      <c r="BGO257" s="500"/>
      <c r="BGP257" s="500"/>
      <c r="BGQ257" s="500"/>
      <c r="BGR257" s="500"/>
      <c r="BGS257" s="500"/>
      <c r="BGT257" s="500"/>
      <c r="BGU257" s="500"/>
      <c r="BGV257" s="500"/>
      <c r="BGW257" s="500"/>
      <c r="BGX257" s="500"/>
      <c r="BGY257" s="500"/>
      <c r="BGZ257" s="500"/>
      <c r="BHA257" s="500"/>
      <c r="BHB257" s="500"/>
      <c r="BHC257" s="500"/>
      <c r="BHD257" s="500"/>
      <c r="BHE257" s="500"/>
      <c r="BHF257" s="500"/>
      <c r="BHG257" s="500"/>
      <c r="BHH257" s="500"/>
      <c r="BHI257" s="500"/>
      <c r="BHJ257" s="500"/>
      <c r="BHK257" s="500"/>
      <c r="BHL257" s="500"/>
      <c r="BHM257" s="500"/>
      <c r="BHN257" s="500"/>
      <c r="BHO257" s="500"/>
      <c r="BHP257" s="500"/>
      <c r="BHQ257" s="500"/>
      <c r="BHR257" s="500"/>
      <c r="BHS257" s="500"/>
      <c r="BHT257" s="500"/>
      <c r="BHU257" s="500"/>
      <c r="BHV257" s="500"/>
      <c r="BHW257" s="500"/>
      <c r="BHX257" s="500"/>
      <c r="BHY257" s="500"/>
      <c r="BHZ257" s="500"/>
      <c r="BIA257" s="500"/>
      <c r="BIB257" s="500"/>
      <c r="BIC257" s="500"/>
      <c r="BID257" s="500"/>
      <c r="BIE257" s="500"/>
      <c r="BIF257" s="500"/>
      <c r="BIG257" s="500"/>
      <c r="BIH257" s="500"/>
      <c r="BII257" s="500"/>
      <c r="BIJ257" s="500"/>
      <c r="BIK257" s="500"/>
      <c r="BIL257" s="500"/>
      <c r="BIM257" s="500"/>
      <c r="BIN257" s="500"/>
      <c r="BIO257" s="500"/>
      <c r="BIP257" s="500"/>
      <c r="BIQ257" s="500"/>
      <c r="BIR257" s="500"/>
      <c r="BIS257" s="500"/>
      <c r="BIT257" s="500"/>
      <c r="BIU257" s="500"/>
      <c r="BIV257" s="500"/>
      <c r="BIW257" s="500"/>
      <c r="BIX257" s="500"/>
      <c r="BIY257" s="500"/>
      <c r="BIZ257" s="500"/>
      <c r="BJA257" s="500"/>
      <c r="BJB257" s="500"/>
      <c r="BJC257" s="500"/>
      <c r="BJD257" s="500"/>
      <c r="BJE257" s="500"/>
      <c r="BJF257" s="500"/>
      <c r="BJG257" s="500"/>
      <c r="BJH257" s="500"/>
      <c r="BJI257" s="500"/>
      <c r="BJJ257" s="500"/>
      <c r="BJK257" s="500"/>
      <c r="BJL257" s="500"/>
      <c r="BJM257" s="500"/>
      <c r="BJN257" s="500"/>
      <c r="BJO257" s="500"/>
      <c r="BJP257" s="500"/>
      <c r="BJQ257" s="500"/>
      <c r="BJR257" s="500"/>
      <c r="BJS257" s="500"/>
      <c r="BJT257" s="500"/>
      <c r="BJU257" s="500"/>
      <c r="BJV257" s="500"/>
      <c r="BJW257" s="500"/>
      <c r="BJX257" s="500"/>
      <c r="BJY257" s="500"/>
      <c r="BJZ257" s="500"/>
      <c r="BKA257" s="500"/>
      <c r="BKB257" s="500"/>
      <c r="BKC257" s="500"/>
      <c r="BKD257" s="500"/>
      <c r="BKE257" s="500"/>
      <c r="BKF257" s="500"/>
      <c r="BKG257" s="500"/>
      <c r="BKH257" s="500"/>
      <c r="BKI257" s="500"/>
      <c r="BKJ257" s="500"/>
      <c r="BKK257" s="500"/>
      <c r="BKL257" s="500"/>
      <c r="BKM257" s="500"/>
      <c r="BKN257" s="500"/>
      <c r="BKO257" s="500"/>
      <c r="BKP257" s="500"/>
      <c r="BKQ257" s="500"/>
      <c r="BKR257" s="500"/>
      <c r="BKS257" s="500"/>
      <c r="BKT257" s="500"/>
      <c r="BKU257" s="500"/>
      <c r="BKV257" s="500"/>
      <c r="BKW257" s="500"/>
      <c r="BKX257" s="500"/>
      <c r="BKY257" s="500"/>
      <c r="BKZ257" s="500"/>
      <c r="BLA257" s="500"/>
      <c r="BLB257" s="500"/>
      <c r="BLC257" s="500"/>
      <c r="BLD257" s="500"/>
      <c r="BLE257" s="500"/>
      <c r="BLF257" s="500"/>
      <c r="BLG257" s="500"/>
      <c r="BLH257" s="500"/>
      <c r="BLI257" s="500"/>
      <c r="BLJ257" s="500"/>
      <c r="BLK257" s="500"/>
      <c r="BLL257" s="500"/>
      <c r="BLM257" s="500"/>
      <c r="BLN257" s="500"/>
      <c r="BLO257" s="500"/>
      <c r="BLP257" s="500"/>
      <c r="BLQ257" s="500"/>
      <c r="BLR257" s="500"/>
      <c r="BLS257" s="500"/>
      <c r="BLT257" s="500"/>
      <c r="BLU257" s="500"/>
      <c r="BLV257" s="500"/>
      <c r="BLW257" s="500"/>
      <c r="BLX257" s="500"/>
      <c r="BLY257" s="500"/>
      <c r="BLZ257" s="500"/>
      <c r="BMA257" s="500"/>
      <c r="BMB257" s="500"/>
      <c r="BMC257" s="500"/>
      <c r="BMD257" s="500"/>
      <c r="BME257" s="500"/>
      <c r="BMF257" s="500"/>
      <c r="BMG257" s="500"/>
      <c r="BMH257" s="500"/>
      <c r="BMI257" s="500"/>
      <c r="BMJ257" s="500"/>
      <c r="BMK257" s="500"/>
      <c r="BML257" s="500"/>
      <c r="BMM257" s="500"/>
      <c r="BMN257" s="500"/>
      <c r="BMO257" s="500"/>
      <c r="BMP257" s="500"/>
      <c r="BMQ257" s="500"/>
      <c r="BMR257" s="500"/>
      <c r="BMS257" s="500"/>
      <c r="BMT257" s="500"/>
      <c r="BMU257" s="500"/>
      <c r="BMV257" s="500"/>
      <c r="BMW257" s="500"/>
      <c r="BMX257" s="500"/>
      <c r="BMY257" s="500"/>
      <c r="BMZ257" s="500"/>
      <c r="BNA257" s="500"/>
      <c r="BNB257" s="500"/>
      <c r="BNC257" s="500"/>
      <c r="BND257" s="500"/>
      <c r="BNE257" s="500"/>
      <c r="BNF257" s="500"/>
      <c r="BNG257" s="500"/>
      <c r="BNH257" s="500"/>
      <c r="BNI257" s="500"/>
      <c r="BNJ257" s="500"/>
      <c r="BNK257" s="500"/>
      <c r="BNL257" s="500"/>
      <c r="BNM257" s="500"/>
      <c r="BNN257" s="500"/>
      <c r="BNO257" s="500"/>
      <c r="BNP257" s="500"/>
      <c r="BNQ257" s="500"/>
      <c r="BNR257" s="500"/>
      <c r="BNS257" s="500"/>
      <c r="BNT257" s="500"/>
      <c r="BNU257" s="500"/>
      <c r="BNV257" s="500"/>
      <c r="BNW257" s="500"/>
      <c r="BNX257" s="500"/>
      <c r="BNY257" s="500"/>
      <c r="BNZ257" s="500"/>
      <c r="BOA257" s="500"/>
      <c r="BOB257" s="500"/>
      <c r="BOC257" s="500"/>
      <c r="BOD257" s="500"/>
      <c r="BOE257" s="500"/>
      <c r="BOF257" s="500"/>
      <c r="BOG257" s="500"/>
      <c r="BOH257" s="500"/>
      <c r="BOI257" s="500"/>
      <c r="BOJ257" s="500"/>
      <c r="BOK257" s="500"/>
      <c r="BOL257" s="500"/>
      <c r="BOM257" s="500"/>
      <c r="BON257" s="500"/>
      <c r="BOO257" s="500"/>
      <c r="BOP257" s="500"/>
      <c r="BOQ257" s="500"/>
      <c r="BOR257" s="500"/>
      <c r="BOS257" s="500"/>
      <c r="BOT257" s="500"/>
      <c r="BOU257" s="500"/>
      <c r="BOV257" s="500"/>
      <c r="BOW257" s="500"/>
      <c r="BOX257" s="500"/>
      <c r="BOY257" s="500"/>
      <c r="BOZ257" s="500"/>
      <c r="BPA257" s="500"/>
      <c r="BPB257" s="500"/>
      <c r="BPC257" s="500"/>
      <c r="BPD257" s="500"/>
      <c r="BPE257" s="500"/>
      <c r="BPF257" s="500"/>
      <c r="BPG257" s="500"/>
      <c r="BPH257" s="500"/>
      <c r="BPI257" s="500"/>
      <c r="BPJ257" s="500"/>
      <c r="BPK257" s="500"/>
      <c r="BPL257" s="500"/>
      <c r="BPM257" s="500"/>
      <c r="BPN257" s="500"/>
      <c r="BPO257" s="500"/>
      <c r="BPP257" s="500"/>
      <c r="BPQ257" s="500"/>
      <c r="BPR257" s="500"/>
      <c r="BPS257" s="500"/>
      <c r="BPT257" s="500"/>
      <c r="BPU257" s="500"/>
      <c r="BPV257" s="500"/>
      <c r="BPW257" s="500"/>
      <c r="BPX257" s="500"/>
      <c r="BPY257" s="500"/>
      <c r="BPZ257" s="500"/>
      <c r="BQA257" s="500"/>
      <c r="BQB257" s="500"/>
      <c r="BQC257" s="500"/>
      <c r="BQD257" s="500"/>
      <c r="BQE257" s="500"/>
      <c r="BQF257" s="500"/>
      <c r="BQG257" s="500"/>
      <c r="BQH257" s="500"/>
      <c r="BQI257" s="500"/>
      <c r="BQJ257" s="500"/>
      <c r="BQK257" s="500"/>
      <c r="BQL257" s="500"/>
      <c r="BQM257" s="500"/>
      <c r="BQN257" s="500"/>
      <c r="BQO257" s="500"/>
      <c r="BQP257" s="500"/>
      <c r="BQQ257" s="500"/>
      <c r="BQR257" s="500"/>
      <c r="BQS257" s="500"/>
      <c r="BQT257" s="500"/>
      <c r="BQU257" s="500"/>
      <c r="BQV257" s="500"/>
      <c r="BQW257" s="500"/>
      <c r="BQX257" s="500"/>
      <c r="BQY257" s="500"/>
      <c r="BQZ257" s="500"/>
      <c r="BRA257" s="500"/>
      <c r="BRB257" s="500"/>
      <c r="BRC257" s="500"/>
      <c r="BRD257" s="500"/>
      <c r="BRE257" s="500"/>
      <c r="BRF257" s="500"/>
      <c r="BRG257" s="500"/>
      <c r="BRH257" s="500"/>
      <c r="BRI257" s="500"/>
      <c r="BRJ257" s="500"/>
      <c r="BRK257" s="500"/>
      <c r="BRL257" s="500"/>
      <c r="BRM257" s="500"/>
      <c r="BRN257" s="500"/>
      <c r="BRO257" s="500"/>
      <c r="BRP257" s="500"/>
      <c r="BRQ257" s="500"/>
      <c r="BRR257" s="500"/>
      <c r="BRS257" s="500"/>
      <c r="BRT257" s="500"/>
      <c r="BRU257" s="500"/>
      <c r="BRV257" s="500"/>
      <c r="BRW257" s="500"/>
      <c r="BRX257" s="500"/>
      <c r="BRY257" s="500"/>
      <c r="BRZ257" s="500"/>
      <c r="BSA257" s="500"/>
      <c r="BSB257" s="500"/>
      <c r="BSC257" s="500"/>
      <c r="BSD257" s="500"/>
      <c r="BSE257" s="500"/>
      <c r="BSF257" s="500"/>
      <c r="BSG257" s="500"/>
      <c r="BSH257" s="500"/>
      <c r="BSI257" s="500"/>
      <c r="BSJ257" s="500"/>
      <c r="BSK257" s="500"/>
      <c r="BSL257" s="500"/>
      <c r="BSM257" s="500"/>
      <c r="BSN257" s="500"/>
      <c r="BSO257" s="500"/>
      <c r="BSP257" s="500"/>
      <c r="BSQ257" s="500"/>
      <c r="BSR257" s="500"/>
      <c r="BSS257" s="500"/>
      <c r="BST257" s="500"/>
      <c r="BSU257" s="500"/>
      <c r="BSV257" s="500"/>
      <c r="BSW257" s="500"/>
      <c r="BSX257" s="500"/>
      <c r="BSY257" s="500"/>
      <c r="BSZ257" s="500"/>
      <c r="BTA257" s="500"/>
      <c r="BTB257" s="500"/>
      <c r="BTC257" s="500"/>
      <c r="BTD257" s="500"/>
      <c r="BTE257" s="500"/>
      <c r="BTF257" s="500"/>
      <c r="BTG257" s="500"/>
      <c r="BTH257" s="500"/>
      <c r="BTI257" s="500"/>
    </row>
    <row r="258" spans="1:1881" s="499" customFormat="1" ht="44.25" customHeight="1" thickBot="1" x14ac:dyDescent="0.3">
      <c r="B258" s="743" t="s">
        <v>1094</v>
      </c>
      <c r="C258" s="742"/>
      <c r="D258" s="741"/>
      <c r="E258" s="739"/>
      <c r="F258" s="875"/>
      <c r="G258" s="583"/>
      <c r="H258" s="501"/>
      <c r="I258" s="423"/>
      <c r="J258" s="500"/>
      <c r="K258" s="500"/>
      <c r="L258" s="500"/>
      <c r="M258" s="500"/>
      <c r="N258"/>
      <c r="O258" s="500"/>
      <c r="P258" s="500"/>
      <c r="Q258" s="500"/>
      <c r="R258" s="500"/>
      <c r="S258" s="500"/>
      <c r="T258" s="500"/>
      <c r="U258" s="500"/>
      <c r="V258" s="500"/>
      <c r="W258" s="500"/>
      <c r="X258" s="500"/>
      <c r="Y258" s="500"/>
      <c r="Z258" s="500"/>
      <c r="AA258" s="500"/>
      <c r="AB258" s="500"/>
      <c r="AC258" s="500"/>
      <c r="AD258" s="500"/>
      <c r="AE258" s="500"/>
      <c r="AF258" s="500"/>
      <c r="AG258" s="500"/>
      <c r="AH258" s="500"/>
      <c r="AI258" s="500"/>
      <c r="AJ258" s="500"/>
      <c r="AK258" s="500"/>
      <c r="AL258" s="500"/>
      <c r="AM258" s="500"/>
      <c r="AN258" s="500"/>
      <c r="AO258" s="500"/>
      <c r="AP258" s="500"/>
      <c r="AQ258" s="500"/>
      <c r="AR258" s="500"/>
      <c r="AS258" s="500"/>
      <c r="AT258" s="500"/>
      <c r="AU258" s="500"/>
      <c r="AV258" s="500"/>
      <c r="AW258" s="500"/>
      <c r="AX258" s="500"/>
      <c r="AY258" s="500"/>
      <c r="AZ258" s="500"/>
      <c r="BA258" s="500"/>
      <c r="BB258" s="500"/>
      <c r="BC258" s="500"/>
      <c r="BD258" s="500"/>
      <c r="BE258" s="500"/>
      <c r="BF258" s="500"/>
      <c r="BG258" s="500"/>
      <c r="BH258" s="500"/>
      <c r="BI258" s="500"/>
      <c r="BJ258" s="500"/>
      <c r="BK258" s="500"/>
      <c r="BL258" s="500"/>
      <c r="BM258" s="500"/>
      <c r="BN258" s="500"/>
      <c r="BO258" s="500"/>
      <c r="BP258" s="500"/>
      <c r="BQ258" s="500"/>
      <c r="BR258" s="500"/>
      <c r="BS258" s="500"/>
      <c r="BT258" s="500"/>
      <c r="BU258" s="500"/>
      <c r="BV258" s="500"/>
      <c r="BW258" s="500"/>
      <c r="BX258" s="500"/>
      <c r="BY258" s="500"/>
      <c r="BZ258" s="500"/>
      <c r="CA258" s="500"/>
      <c r="CB258" s="500"/>
      <c r="CC258" s="500"/>
      <c r="CD258" s="500"/>
      <c r="CE258" s="500"/>
      <c r="CF258" s="500"/>
      <c r="CG258" s="500"/>
      <c r="CH258" s="500"/>
      <c r="CI258" s="500"/>
      <c r="CJ258" s="500"/>
      <c r="CK258" s="500"/>
      <c r="CL258" s="500"/>
      <c r="CM258" s="500"/>
      <c r="CN258" s="500"/>
      <c r="CO258" s="500"/>
      <c r="CP258" s="500"/>
      <c r="CQ258" s="500"/>
      <c r="CR258" s="500"/>
      <c r="CS258" s="500"/>
      <c r="CT258" s="500"/>
      <c r="CU258" s="500"/>
      <c r="CV258" s="500"/>
      <c r="CW258" s="500"/>
      <c r="CX258" s="500"/>
      <c r="CY258" s="500"/>
      <c r="CZ258" s="500"/>
      <c r="DA258" s="500"/>
      <c r="DB258" s="500"/>
      <c r="DC258" s="500"/>
      <c r="DD258" s="500"/>
      <c r="DE258" s="500"/>
      <c r="DF258" s="500"/>
      <c r="DG258" s="500"/>
      <c r="DH258" s="500"/>
      <c r="DI258" s="500"/>
      <c r="DJ258" s="500"/>
      <c r="DK258" s="500"/>
      <c r="DL258" s="500"/>
      <c r="DM258" s="500"/>
      <c r="DN258" s="500"/>
      <c r="DO258" s="500"/>
      <c r="DP258" s="500"/>
      <c r="DQ258" s="500"/>
      <c r="DR258" s="500"/>
      <c r="DS258" s="500"/>
      <c r="DT258" s="500"/>
      <c r="DU258" s="500"/>
      <c r="DV258" s="500"/>
      <c r="DW258" s="500"/>
      <c r="DX258" s="500"/>
      <c r="DY258" s="500"/>
      <c r="DZ258" s="500"/>
      <c r="EA258" s="500"/>
      <c r="EB258" s="500"/>
      <c r="EC258" s="500"/>
      <c r="ED258" s="500"/>
      <c r="EE258" s="500"/>
      <c r="EF258" s="500"/>
      <c r="EG258" s="500"/>
      <c r="EH258" s="500"/>
      <c r="EI258" s="500"/>
      <c r="EJ258" s="500"/>
      <c r="EK258" s="500"/>
      <c r="EL258" s="500"/>
      <c r="EM258" s="500"/>
      <c r="EN258" s="500"/>
      <c r="EO258" s="500"/>
      <c r="EP258" s="500"/>
      <c r="EQ258" s="500"/>
      <c r="ER258" s="500"/>
      <c r="ES258" s="500"/>
      <c r="ET258" s="500"/>
      <c r="EU258" s="500"/>
      <c r="EV258" s="500"/>
      <c r="EW258" s="500"/>
      <c r="EX258" s="500"/>
      <c r="EY258" s="500"/>
      <c r="EZ258" s="500"/>
      <c r="FA258" s="500"/>
      <c r="FB258" s="500"/>
      <c r="FC258" s="500"/>
      <c r="FD258" s="500"/>
      <c r="FE258" s="500"/>
      <c r="FF258" s="500"/>
      <c r="FG258" s="500"/>
      <c r="FH258" s="500"/>
      <c r="FI258" s="500"/>
      <c r="FJ258" s="500"/>
      <c r="FK258" s="500"/>
      <c r="FL258" s="500"/>
      <c r="FM258" s="500"/>
      <c r="FN258" s="500"/>
      <c r="FO258" s="500"/>
      <c r="FP258" s="500"/>
      <c r="FQ258" s="500"/>
      <c r="FR258" s="500"/>
      <c r="FS258" s="500"/>
      <c r="FT258" s="500"/>
      <c r="FU258" s="500"/>
      <c r="FV258" s="500"/>
      <c r="FW258" s="500"/>
      <c r="FX258" s="500"/>
      <c r="FY258" s="500"/>
      <c r="FZ258" s="500"/>
      <c r="GA258" s="500"/>
      <c r="GB258" s="500"/>
      <c r="GC258" s="500"/>
      <c r="GD258" s="500"/>
      <c r="GE258" s="500"/>
      <c r="GF258" s="500"/>
      <c r="GG258" s="500"/>
      <c r="GH258" s="500"/>
      <c r="GI258" s="500"/>
      <c r="GJ258" s="500"/>
      <c r="GK258" s="500"/>
      <c r="GL258" s="500"/>
      <c r="GM258" s="500"/>
      <c r="GN258" s="500"/>
      <c r="GO258" s="500"/>
      <c r="GP258" s="500"/>
      <c r="GQ258" s="500"/>
      <c r="GR258" s="500"/>
      <c r="GS258" s="500"/>
      <c r="GT258" s="500"/>
      <c r="GU258" s="500"/>
      <c r="GV258" s="500"/>
      <c r="GW258" s="500"/>
      <c r="GX258" s="500"/>
      <c r="GY258" s="500"/>
      <c r="GZ258" s="500"/>
      <c r="HA258" s="500"/>
      <c r="HB258" s="500"/>
      <c r="HC258" s="500"/>
      <c r="HD258" s="500"/>
      <c r="HE258" s="500"/>
      <c r="HF258" s="500"/>
      <c r="HG258" s="500"/>
      <c r="HH258" s="500"/>
      <c r="HI258" s="500"/>
      <c r="HJ258" s="500"/>
      <c r="HK258" s="500"/>
      <c r="HL258" s="500"/>
      <c r="HM258" s="500"/>
      <c r="HN258" s="500"/>
      <c r="HO258" s="500"/>
      <c r="HP258" s="500"/>
      <c r="HQ258" s="500"/>
      <c r="HR258" s="500"/>
      <c r="HS258" s="500"/>
      <c r="HT258" s="500"/>
      <c r="HU258" s="500"/>
      <c r="HV258" s="500"/>
      <c r="HW258" s="500"/>
      <c r="HX258" s="500"/>
      <c r="HY258" s="500"/>
      <c r="HZ258" s="500"/>
      <c r="IA258" s="500"/>
      <c r="IB258" s="500"/>
      <c r="IC258" s="500"/>
      <c r="ID258" s="500"/>
      <c r="IE258" s="500"/>
      <c r="IF258" s="500"/>
      <c r="IG258" s="500"/>
      <c r="IH258" s="500"/>
      <c r="II258" s="500"/>
      <c r="IJ258" s="500"/>
      <c r="IK258" s="500"/>
      <c r="IL258" s="500"/>
      <c r="IM258" s="500"/>
      <c r="IN258" s="500"/>
      <c r="IO258" s="500"/>
      <c r="IP258" s="500"/>
      <c r="IQ258" s="500"/>
      <c r="IR258" s="500"/>
      <c r="IS258" s="500"/>
      <c r="IT258" s="500"/>
      <c r="IU258" s="500"/>
      <c r="IV258" s="500"/>
      <c r="IW258" s="500"/>
      <c r="IX258" s="500"/>
      <c r="IY258" s="500"/>
      <c r="IZ258" s="500"/>
      <c r="JA258" s="500"/>
      <c r="JB258" s="500"/>
      <c r="JC258" s="500"/>
      <c r="JD258" s="500"/>
      <c r="JE258" s="500"/>
      <c r="JF258" s="500"/>
      <c r="JG258" s="500"/>
      <c r="JH258" s="500"/>
      <c r="JI258" s="500"/>
      <c r="JJ258" s="500"/>
      <c r="JK258" s="500"/>
      <c r="JL258" s="500"/>
      <c r="JM258" s="500"/>
      <c r="JN258" s="500"/>
      <c r="JO258" s="500"/>
      <c r="JP258" s="500"/>
      <c r="JQ258" s="500"/>
      <c r="JR258" s="500"/>
      <c r="JS258" s="500"/>
      <c r="JT258" s="500"/>
      <c r="JU258" s="500"/>
      <c r="JV258" s="500"/>
      <c r="JW258" s="500"/>
      <c r="JX258" s="500"/>
      <c r="JY258" s="500"/>
      <c r="JZ258" s="500"/>
      <c r="KA258" s="500"/>
      <c r="KB258" s="500"/>
      <c r="KC258" s="500"/>
      <c r="KD258" s="500"/>
      <c r="KE258" s="500"/>
      <c r="KF258" s="500"/>
      <c r="KG258" s="500"/>
      <c r="KH258" s="500"/>
      <c r="KI258" s="500"/>
      <c r="KJ258" s="500"/>
      <c r="KK258" s="500"/>
      <c r="KL258" s="500"/>
      <c r="KM258" s="500"/>
      <c r="KN258" s="500"/>
      <c r="KO258" s="500"/>
      <c r="KP258" s="500"/>
      <c r="KQ258" s="500"/>
      <c r="KR258" s="500"/>
      <c r="KS258" s="500"/>
      <c r="KT258" s="500"/>
      <c r="KU258" s="500"/>
      <c r="KV258" s="500"/>
      <c r="KW258" s="500"/>
      <c r="KX258" s="500"/>
      <c r="KY258" s="500"/>
      <c r="KZ258" s="500"/>
      <c r="LA258" s="500"/>
      <c r="LB258" s="500"/>
      <c r="LC258" s="500"/>
      <c r="LD258" s="500"/>
      <c r="LE258" s="500"/>
      <c r="LF258" s="500"/>
      <c r="LG258" s="500"/>
      <c r="LH258" s="500"/>
      <c r="LI258" s="500"/>
      <c r="LJ258" s="500"/>
      <c r="LK258" s="500"/>
      <c r="LL258" s="500"/>
      <c r="LM258" s="500"/>
      <c r="LN258" s="500"/>
      <c r="LO258" s="500"/>
      <c r="LP258" s="500"/>
      <c r="LQ258" s="500"/>
      <c r="LR258" s="500"/>
      <c r="LS258" s="500"/>
      <c r="LT258" s="500"/>
      <c r="LU258" s="500"/>
      <c r="LV258" s="500"/>
      <c r="LW258" s="500"/>
      <c r="LX258" s="500"/>
      <c r="LY258" s="500"/>
      <c r="LZ258" s="500"/>
      <c r="MA258" s="500"/>
      <c r="MB258" s="500"/>
      <c r="MC258" s="500"/>
      <c r="MD258" s="500"/>
      <c r="ME258" s="500"/>
      <c r="MF258" s="500"/>
      <c r="MG258" s="500"/>
      <c r="MH258" s="500"/>
      <c r="MI258" s="500"/>
      <c r="MJ258" s="500"/>
      <c r="MK258" s="500"/>
      <c r="ML258" s="500"/>
      <c r="MM258" s="500"/>
      <c r="MN258" s="500"/>
      <c r="MO258" s="500"/>
      <c r="MP258" s="500"/>
      <c r="MQ258" s="500"/>
      <c r="MR258" s="500"/>
      <c r="MS258" s="500"/>
      <c r="MT258" s="500"/>
      <c r="MU258" s="500"/>
      <c r="MV258" s="500"/>
      <c r="MW258" s="500"/>
      <c r="MX258" s="500"/>
      <c r="MY258" s="500"/>
      <c r="MZ258" s="500"/>
      <c r="NA258" s="500"/>
      <c r="NB258" s="500"/>
      <c r="NC258" s="500"/>
      <c r="ND258" s="500"/>
      <c r="NE258" s="500"/>
      <c r="NF258" s="500"/>
      <c r="NG258" s="500"/>
      <c r="NH258" s="500"/>
      <c r="NI258" s="500"/>
      <c r="NJ258" s="500"/>
      <c r="NK258" s="500"/>
      <c r="NL258" s="500"/>
      <c r="NM258" s="500"/>
      <c r="NN258" s="500"/>
      <c r="NO258" s="500"/>
      <c r="NP258" s="500"/>
      <c r="NQ258" s="500"/>
      <c r="NR258" s="500"/>
      <c r="NS258" s="500"/>
      <c r="NT258" s="500"/>
      <c r="NU258" s="500"/>
      <c r="NV258" s="500"/>
      <c r="NW258" s="500"/>
      <c r="NX258" s="500"/>
      <c r="NY258" s="500"/>
      <c r="NZ258" s="500"/>
      <c r="OA258" s="500"/>
      <c r="OB258" s="500"/>
      <c r="OC258" s="500"/>
      <c r="OD258" s="500"/>
      <c r="OE258" s="500"/>
      <c r="OF258" s="500"/>
      <c r="OG258" s="500"/>
      <c r="OH258" s="500"/>
      <c r="OI258" s="500"/>
      <c r="OJ258" s="500"/>
      <c r="OK258" s="500"/>
      <c r="OL258" s="500"/>
      <c r="OM258" s="500"/>
      <c r="ON258" s="500"/>
      <c r="OO258" s="500"/>
      <c r="OP258" s="500"/>
      <c r="OQ258" s="500"/>
      <c r="OR258" s="500"/>
      <c r="OS258" s="500"/>
      <c r="OT258" s="500"/>
      <c r="OU258" s="500"/>
      <c r="OV258" s="500"/>
      <c r="OW258" s="500"/>
      <c r="OX258" s="500"/>
      <c r="OY258" s="500"/>
      <c r="OZ258" s="500"/>
      <c r="PA258" s="500"/>
      <c r="PB258" s="500"/>
      <c r="PC258" s="500"/>
      <c r="PD258" s="500"/>
      <c r="PE258" s="500"/>
      <c r="PF258" s="500"/>
      <c r="PG258" s="500"/>
      <c r="PH258" s="500"/>
      <c r="PI258" s="500"/>
      <c r="PJ258" s="500"/>
      <c r="PK258" s="500"/>
      <c r="PL258" s="500"/>
      <c r="PM258" s="500"/>
      <c r="PN258" s="500"/>
      <c r="PO258" s="500"/>
      <c r="PP258" s="500"/>
      <c r="PQ258" s="500"/>
      <c r="PR258" s="500"/>
      <c r="PS258" s="500"/>
      <c r="PT258" s="500"/>
      <c r="PU258" s="500"/>
      <c r="PV258" s="500"/>
      <c r="PW258" s="500"/>
      <c r="PX258" s="500"/>
      <c r="PY258" s="500"/>
      <c r="PZ258" s="500"/>
      <c r="QA258" s="500"/>
      <c r="QB258" s="500"/>
      <c r="QC258" s="500"/>
      <c r="QD258" s="500"/>
      <c r="QE258" s="500"/>
      <c r="QF258" s="500"/>
      <c r="QG258" s="500"/>
      <c r="QH258" s="500"/>
      <c r="QI258" s="500"/>
      <c r="QJ258" s="500"/>
      <c r="QK258" s="500"/>
      <c r="QL258" s="500"/>
      <c r="QM258" s="500"/>
      <c r="QN258" s="500"/>
      <c r="QO258" s="500"/>
      <c r="QP258" s="500"/>
      <c r="QQ258" s="500"/>
      <c r="QR258" s="500"/>
      <c r="QS258" s="500"/>
      <c r="QT258" s="500"/>
      <c r="QU258" s="500"/>
      <c r="QV258" s="500"/>
      <c r="QW258" s="500"/>
      <c r="QX258" s="500"/>
      <c r="QY258" s="500"/>
      <c r="QZ258" s="500"/>
      <c r="RA258" s="500"/>
      <c r="RB258" s="500"/>
      <c r="RC258" s="500"/>
      <c r="RD258" s="500"/>
      <c r="RE258" s="500"/>
      <c r="RF258" s="500"/>
      <c r="RG258" s="500"/>
      <c r="RH258" s="500"/>
      <c r="RI258" s="500"/>
      <c r="RJ258" s="500"/>
      <c r="RK258" s="500"/>
      <c r="RL258" s="500"/>
      <c r="RM258" s="500"/>
      <c r="RN258" s="500"/>
      <c r="RO258" s="500"/>
      <c r="RP258" s="500"/>
      <c r="RQ258" s="500"/>
      <c r="RR258" s="500"/>
      <c r="RS258" s="500"/>
      <c r="RT258" s="500"/>
      <c r="RU258" s="500"/>
      <c r="RV258" s="500"/>
      <c r="RW258" s="500"/>
      <c r="RX258" s="500"/>
      <c r="RY258" s="500"/>
      <c r="RZ258" s="500"/>
      <c r="SA258" s="500"/>
      <c r="SB258" s="500"/>
      <c r="SC258" s="500"/>
      <c r="SD258" s="500"/>
      <c r="SE258" s="500"/>
      <c r="SF258" s="500"/>
      <c r="SG258" s="500"/>
      <c r="SH258" s="500"/>
      <c r="SI258" s="500"/>
      <c r="SJ258" s="500"/>
      <c r="SK258" s="500"/>
      <c r="SL258" s="500"/>
      <c r="SM258" s="500"/>
      <c r="SN258" s="500"/>
      <c r="SO258" s="500"/>
      <c r="SP258" s="500"/>
      <c r="SQ258" s="500"/>
      <c r="SR258" s="500"/>
      <c r="SS258" s="500"/>
      <c r="ST258" s="500"/>
      <c r="SU258" s="500"/>
      <c r="SV258" s="500"/>
      <c r="SW258" s="500"/>
      <c r="SX258" s="500"/>
      <c r="SY258" s="500"/>
      <c r="SZ258" s="500"/>
      <c r="TA258" s="500"/>
      <c r="TB258" s="500"/>
      <c r="TC258" s="500"/>
      <c r="TD258" s="500"/>
      <c r="TE258" s="500"/>
      <c r="TF258" s="500"/>
      <c r="TG258" s="500"/>
      <c r="TH258" s="500"/>
      <c r="TI258" s="500"/>
      <c r="TJ258" s="500"/>
      <c r="TK258" s="500"/>
      <c r="TL258" s="500"/>
      <c r="TM258" s="500"/>
      <c r="TN258" s="500"/>
      <c r="TO258" s="500"/>
      <c r="TP258" s="500"/>
      <c r="TQ258" s="500"/>
      <c r="TR258" s="500"/>
      <c r="TS258" s="500"/>
      <c r="TT258" s="500"/>
      <c r="TU258" s="500"/>
      <c r="TV258" s="500"/>
      <c r="TW258" s="500"/>
      <c r="TX258" s="500"/>
      <c r="TY258" s="500"/>
      <c r="TZ258" s="500"/>
      <c r="UA258" s="500"/>
      <c r="UB258" s="500"/>
      <c r="UC258" s="500"/>
      <c r="UD258" s="500"/>
      <c r="UE258" s="500"/>
      <c r="UF258" s="500"/>
      <c r="UG258" s="500"/>
      <c r="UH258" s="500"/>
      <c r="UI258" s="500"/>
      <c r="UJ258" s="500"/>
      <c r="UK258" s="500"/>
      <c r="UL258" s="500"/>
      <c r="UM258" s="500"/>
      <c r="UN258" s="500"/>
      <c r="UO258" s="500"/>
      <c r="UP258" s="500"/>
      <c r="UQ258" s="500"/>
      <c r="UR258" s="500"/>
      <c r="US258" s="500"/>
      <c r="UT258" s="500"/>
      <c r="UU258" s="500"/>
      <c r="UV258" s="500"/>
      <c r="UW258" s="500"/>
      <c r="UX258" s="500"/>
      <c r="UY258" s="500"/>
      <c r="UZ258" s="500"/>
      <c r="VA258" s="500"/>
      <c r="VB258" s="500"/>
      <c r="VC258" s="500"/>
      <c r="VD258" s="500"/>
      <c r="VE258" s="500"/>
      <c r="VF258" s="500"/>
      <c r="VG258" s="500"/>
      <c r="VH258" s="500"/>
      <c r="VI258" s="500"/>
      <c r="VJ258" s="500"/>
      <c r="VK258" s="500"/>
      <c r="VL258" s="500"/>
      <c r="VM258" s="500"/>
      <c r="VN258" s="500"/>
      <c r="VO258" s="500"/>
      <c r="VP258" s="500"/>
      <c r="VQ258" s="500"/>
      <c r="VR258" s="500"/>
      <c r="VS258" s="500"/>
      <c r="VT258" s="500"/>
      <c r="VU258" s="500"/>
      <c r="VV258" s="500"/>
      <c r="VW258" s="500"/>
      <c r="VX258" s="500"/>
      <c r="VY258" s="500"/>
      <c r="VZ258" s="500"/>
      <c r="WA258" s="500"/>
      <c r="WB258" s="500"/>
      <c r="WC258" s="500"/>
      <c r="WD258" s="500"/>
      <c r="WE258" s="500"/>
      <c r="WF258" s="500"/>
      <c r="WG258" s="500"/>
      <c r="WH258" s="500"/>
      <c r="WI258" s="500"/>
      <c r="WJ258" s="500"/>
      <c r="WK258" s="500"/>
      <c r="WL258" s="500"/>
      <c r="WM258" s="500"/>
      <c r="WN258" s="500"/>
      <c r="WO258" s="500"/>
      <c r="WP258" s="500"/>
      <c r="WQ258" s="500"/>
      <c r="WR258" s="500"/>
      <c r="WS258" s="500"/>
      <c r="WT258" s="500"/>
      <c r="WU258" s="500"/>
      <c r="WV258" s="500"/>
      <c r="WW258" s="500"/>
      <c r="WX258" s="500"/>
      <c r="WY258" s="500"/>
      <c r="WZ258" s="500"/>
      <c r="XA258" s="500"/>
      <c r="XB258" s="500"/>
      <c r="XC258" s="500"/>
      <c r="XD258" s="500"/>
      <c r="XE258" s="500"/>
      <c r="XF258" s="500"/>
      <c r="XG258" s="500"/>
      <c r="XH258" s="500"/>
      <c r="XI258" s="500"/>
      <c r="XJ258" s="500"/>
      <c r="XK258" s="500"/>
      <c r="XL258" s="500"/>
      <c r="XM258" s="500"/>
      <c r="XN258" s="500"/>
      <c r="XO258" s="500"/>
      <c r="XP258" s="500"/>
      <c r="XQ258" s="500"/>
      <c r="XR258" s="500"/>
      <c r="XS258" s="500"/>
      <c r="XT258" s="500"/>
      <c r="XU258" s="500"/>
      <c r="XV258" s="500"/>
      <c r="XW258" s="500"/>
      <c r="XX258" s="500"/>
      <c r="XY258" s="500"/>
      <c r="XZ258" s="500"/>
      <c r="YA258" s="500"/>
      <c r="YB258" s="500"/>
      <c r="YC258" s="500"/>
      <c r="YD258" s="500"/>
      <c r="YE258" s="500"/>
      <c r="YF258" s="500"/>
      <c r="YG258" s="500"/>
      <c r="YH258" s="500"/>
      <c r="YI258" s="500"/>
      <c r="YJ258" s="500"/>
      <c r="YK258" s="500"/>
      <c r="YL258" s="500"/>
      <c r="YM258" s="500"/>
      <c r="YN258" s="500"/>
      <c r="YO258" s="500"/>
      <c r="YP258" s="500"/>
      <c r="YQ258" s="500"/>
      <c r="YR258" s="500"/>
      <c r="YS258" s="500"/>
      <c r="YT258" s="500"/>
      <c r="YU258" s="500"/>
      <c r="YV258" s="500"/>
      <c r="YW258" s="500"/>
      <c r="YX258" s="500"/>
      <c r="YY258" s="500"/>
      <c r="YZ258" s="500"/>
      <c r="ZA258" s="500"/>
      <c r="ZB258" s="500"/>
      <c r="ZC258" s="500"/>
      <c r="ZD258" s="500"/>
      <c r="ZE258" s="500"/>
      <c r="ZF258" s="500"/>
      <c r="ZG258" s="500"/>
      <c r="ZH258" s="500"/>
      <c r="ZI258" s="500"/>
      <c r="ZJ258" s="500"/>
      <c r="ZK258" s="500"/>
      <c r="ZL258" s="500"/>
      <c r="ZM258" s="500"/>
      <c r="ZN258" s="500"/>
      <c r="ZO258" s="500"/>
      <c r="ZP258" s="500"/>
      <c r="ZQ258" s="500"/>
      <c r="ZR258" s="500"/>
      <c r="ZS258" s="500"/>
      <c r="ZT258" s="500"/>
      <c r="ZU258" s="500"/>
      <c r="ZV258" s="500"/>
      <c r="ZW258" s="500"/>
      <c r="ZX258" s="500"/>
      <c r="ZY258" s="500"/>
      <c r="ZZ258" s="500"/>
      <c r="AAA258" s="500"/>
      <c r="AAB258" s="500"/>
      <c r="AAC258" s="500"/>
      <c r="AAD258" s="500"/>
      <c r="AAE258" s="500"/>
      <c r="AAF258" s="500"/>
      <c r="AAG258" s="500"/>
      <c r="AAH258" s="500"/>
      <c r="AAI258" s="500"/>
      <c r="AAJ258" s="500"/>
      <c r="AAK258" s="500"/>
      <c r="AAL258" s="500"/>
      <c r="AAM258" s="500"/>
      <c r="AAN258" s="500"/>
      <c r="AAO258" s="500"/>
      <c r="AAP258" s="500"/>
      <c r="AAQ258" s="500"/>
      <c r="AAR258" s="500"/>
      <c r="AAS258" s="500"/>
      <c r="AAT258" s="500"/>
      <c r="AAU258" s="500"/>
      <c r="AAV258" s="500"/>
      <c r="AAW258" s="500"/>
      <c r="AAX258" s="500"/>
      <c r="AAY258" s="500"/>
      <c r="AAZ258" s="500"/>
      <c r="ABA258" s="500"/>
      <c r="ABB258" s="500"/>
      <c r="ABC258" s="500"/>
      <c r="ABD258" s="500"/>
      <c r="ABE258" s="500"/>
      <c r="ABF258" s="500"/>
      <c r="ABG258" s="500"/>
      <c r="ABH258" s="500"/>
      <c r="ABI258" s="500"/>
      <c r="ABJ258" s="500"/>
      <c r="ABK258" s="500"/>
      <c r="ABL258" s="500"/>
      <c r="ABM258" s="500"/>
      <c r="ABN258" s="500"/>
      <c r="ABO258" s="500"/>
      <c r="ABP258" s="500"/>
      <c r="ABQ258" s="500"/>
      <c r="ABR258" s="500"/>
      <c r="ABS258" s="500"/>
      <c r="ABT258" s="500"/>
      <c r="ABU258" s="500"/>
      <c r="ABV258" s="500"/>
      <c r="ABW258" s="500"/>
      <c r="ABX258" s="500"/>
      <c r="ABY258" s="500"/>
      <c r="ABZ258" s="500"/>
      <c r="ACA258" s="500"/>
      <c r="ACB258" s="500"/>
      <c r="ACC258" s="500"/>
      <c r="ACD258" s="500"/>
      <c r="ACE258" s="500"/>
      <c r="ACF258" s="500"/>
      <c r="ACG258" s="500"/>
      <c r="ACH258" s="500"/>
      <c r="ACI258" s="500"/>
      <c r="ACJ258" s="500"/>
      <c r="ACK258" s="500"/>
      <c r="ACL258" s="500"/>
      <c r="ACM258" s="500"/>
      <c r="ACN258" s="500"/>
      <c r="ACO258" s="500"/>
      <c r="ACP258" s="500"/>
      <c r="ACQ258" s="500"/>
      <c r="ACR258" s="500"/>
      <c r="ACS258" s="500"/>
      <c r="ACT258" s="500"/>
      <c r="ACU258" s="500"/>
      <c r="ACV258" s="500"/>
      <c r="ACW258" s="500"/>
      <c r="ACX258" s="500"/>
      <c r="ACY258" s="500"/>
      <c r="ACZ258" s="500"/>
      <c r="ADA258" s="500"/>
      <c r="ADB258" s="500"/>
      <c r="ADC258" s="500"/>
      <c r="ADD258" s="500"/>
      <c r="ADE258" s="500"/>
      <c r="ADF258" s="500"/>
      <c r="ADG258" s="500"/>
      <c r="ADH258" s="500"/>
      <c r="ADI258" s="500"/>
      <c r="ADJ258" s="500"/>
      <c r="ADK258" s="500"/>
      <c r="ADL258" s="500"/>
      <c r="ADM258" s="500"/>
      <c r="ADN258" s="500"/>
      <c r="ADO258" s="500"/>
      <c r="ADP258" s="500"/>
      <c r="ADQ258" s="500"/>
      <c r="ADR258" s="500"/>
      <c r="ADS258" s="500"/>
      <c r="ADT258" s="500"/>
      <c r="ADU258" s="500"/>
      <c r="ADV258" s="500"/>
      <c r="ADW258" s="500"/>
      <c r="ADX258" s="500"/>
      <c r="ADY258" s="500"/>
      <c r="ADZ258" s="500"/>
      <c r="AEA258" s="500"/>
      <c r="AEB258" s="500"/>
      <c r="AEC258" s="500"/>
      <c r="AED258" s="500"/>
      <c r="AEE258" s="500"/>
      <c r="AEF258" s="500"/>
      <c r="AEG258" s="500"/>
      <c r="AEH258" s="500"/>
      <c r="AEI258" s="500"/>
      <c r="AEJ258" s="500"/>
      <c r="AEK258" s="500"/>
      <c r="AEL258" s="500"/>
      <c r="AEM258" s="500"/>
      <c r="AEN258" s="500"/>
      <c r="AEO258" s="500"/>
      <c r="AEP258" s="500"/>
      <c r="AEQ258" s="500"/>
      <c r="AER258" s="500"/>
      <c r="AES258" s="500"/>
      <c r="AET258" s="500"/>
      <c r="AEU258" s="500"/>
      <c r="AEV258" s="500"/>
      <c r="AEW258" s="500"/>
      <c r="AEX258" s="500"/>
      <c r="AEY258" s="500"/>
      <c r="AEZ258" s="500"/>
      <c r="AFA258" s="500"/>
      <c r="AFB258" s="500"/>
      <c r="AFC258" s="500"/>
      <c r="AFD258" s="500"/>
      <c r="AFE258" s="500"/>
      <c r="AFF258" s="500"/>
      <c r="AFG258" s="500"/>
      <c r="AFH258" s="500"/>
      <c r="AFI258" s="500"/>
      <c r="AFJ258" s="500"/>
      <c r="AFK258" s="500"/>
      <c r="AFL258" s="500"/>
      <c r="AFM258" s="500"/>
      <c r="AFN258" s="500"/>
      <c r="AFO258" s="500"/>
      <c r="AFP258" s="500"/>
      <c r="AFQ258" s="500"/>
      <c r="AFR258" s="500"/>
      <c r="AFS258" s="500"/>
      <c r="AFT258" s="500"/>
      <c r="AFU258" s="500"/>
      <c r="AFV258" s="500"/>
      <c r="AFW258" s="500"/>
      <c r="AFX258" s="500"/>
      <c r="AFY258" s="500"/>
      <c r="AFZ258" s="500"/>
      <c r="AGA258" s="500"/>
      <c r="AGB258" s="500"/>
      <c r="AGC258" s="500"/>
      <c r="AGD258" s="500"/>
      <c r="AGE258" s="500"/>
      <c r="AGF258" s="500"/>
      <c r="AGG258" s="500"/>
      <c r="AGH258" s="500"/>
      <c r="AGI258" s="500"/>
      <c r="AGJ258" s="500"/>
      <c r="AGK258" s="500"/>
      <c r="AGL258" s="500"/>
      <c r="AGM258" s="500"/>
      <c r="AGN258" s="500"/>
      <c r="AGO258" s="500"/>
      <c r="AGP258" s="500"/>
      <c r="AGQ258" s="500"/>
      <c r="AGR258" s="500"/>
      <c r="AGS258" s="500"/>
      <c r="AGT258" s="500"/>
      <c r="AGU258" s="500"/>
      <c r="AGV258" s="500"/>
      <c r="AGW258" s="500"/>
      <c r="AGX258" s="500"/>
      <c r="AGY258" s="500"/>
      <c r="AGZ258" s="500"/>
      <c r="AHA258" s="500"/>
      <c r="AHB258" s="500"/>
      <c r="AHC258" s="500"/>
      <c r="AHD258" s="500"/>
      <c r="AHE258" s="500"/>
      <c r="AHF258" s="500"/>
      <c r="AHG258" s="500"/>
      <c r="AHH258" s="500"/>
      <c r="AHI258" s="500"/>
      <c r="AHJ258" s="500"/>
      <c r="AHK258" s="500"/>
      <c r="AHL258" s="500"/>
      <c r="AHM258" s="500"/>
      <c r="AHN258" s="500"/>
      <c r="AHO258" s="500"/>
      <c r="AHP258" s="500"/>
      <c r="AHQ258" s="500"/>
      <c r="AHR258" s="500"/>
      <c r="AHS258" s="500"/>
      <c r="AHT258" s="500"/>
      <c r="AHU258" s="500"/>
      <c r="AHV258" s="500"/>
      <c r="AHW258" s="500"/>
      <c r="AHX258" s="500"/>
      <c r="AHY258" s="500"/>
      <c r="AHZ258" s="500"/>
      <c r="AIA258" s="500"/>
      <c r="AIB258" s="500"/>
      <c r="AIC258" s="500"/>
      <c r="AID258" s="500"/>
      <c r="AIE258" s="500"/>
      <c r="AIF258" s="500"/>
      <c r="AIG258" s="500"/>
      <c r="AIH258" s="500"/>
      <c r="AII258" s="500"/>
      <c r="AIJ258" s="500"/>
      <c r="AIK258" s="500"/>
      <c r="AIL258" s="500"/>
      <c r="AIM258" s="500"/>
      <c r="AIN258" s="500"/>
      <c r="AIO258" s="500"/>
      <c r="AIP258" s="500"/>
      <c r="AIQ258" s="500"/>
      <c r="AIR258" s="500"/>
      <c r="AIS258" s="500"/>
      <c r="AIT258" s="500"/>
      <c r="AIU258" s="500"/>
      <c r="AIV258" s="500"/>
      <c r="AIW258" s="500"/>
      <c r="AIX258" s="500"/>
      <c r="AIY258" s="500"/>
      <c r="AIZ258" s="500"/>
      <c r="AJA258" s="500"/>
      <c r="AJB258" s="500"/>
      <c r="AJC258" s="500"/>
      <c r="AJD258" s="500"/>
      <c r="AJE258" s="500"/>
      <c r="AJF258" s="500"/>
      <c r="AJG258" s="500"/>
      <c r="AJH258" s="500"/>
      <c r="AJI258" s="500"/>
      <c r="AJJ258" s="500"/>
      <c r="AJK258" s="500"/>
      <c r="AJL258" s="500"/>
      <c r="AJM258" s="500"/>
      <c r="AJN258" s="500"/>
      <c r="AJO258" s="500"/>
      <c r="AJP258" s="500"/>
      <c r="AJQ258" s="500"/>
      <c r="AJR258" s="500"/>
      <c r="AJS258" s="500"/>
      <c r="AJT258" s="500"/>
      <c r="AJU258" s="500"/>
      <c r="AJV258" s="500"/>
      <c r="AJW258" s="500"/>
      <c r="AJX258" s="500"/>
      <c r="AJY258" s="500"/>
      <c r="AJZ258" s="500"/>
      <c r="AKA258" s="500"/>
      <c r="AKB258" s="500"/>
      <c r="AKC258" s="500"/>
      <c r="AKD258" s="500"/>
      <c r="AKE258" s="500"/>
      <c r="AKF258" s="500"/>
      <c r="AKG258" s="500"/>
      <c r="AKH258" s="500"/>
      <c r="AKI258" s="500"/>
      <c r="AKJ258" s="500"/>
      <c r="AKK258" s="500"/>
      <c r="AKL258" s="500"/>
      <c r="AKM258" s="500"/>
      <c r="AKN258" s="500"/>
      <c r="AKO258" s="500"/>
      <c r="AKP258" s="500"/>
      <c r="AKQ258" s="500"/>
      <c r="AKR258" s="500"/>
      <c r="AKS258" s="500"/>
      <c r="AKT258" s="500"/>
      <c r="AKU258" s="500"/>
      <c r="AKV258" s="500"/>
      <c r="AKW258" s="500"/>
      <c r="AKX258" s="500"/>
      <c r="AKY258" s="500"/>
      <c r="AKZ258" s="500"/>
      <c r="ALA258" s="500"/>
      <c r="ALB258" s="500"/>
      <c r="ALC258" s="500"/>
      <c r="ALD258" s="500"/>
      <c r="ALE258" s="500"/>
      <c r="ALF258" s="500"/>
      <c r="ALG258" s="500"/>
      <c r="ALH258" s="500"/>
      <c r="ALI258" s="500"/>
      <c r="ALJ258" s="500"/>
      <c r="ALK258" s="500"/>
      <c r="ALL258" s="500"/>
      <c r="ALM258" s="500"/>
      <c r="ALN258" s="500"/>
      <c r="ALO258" s="500"/>
      <c r="ALP258" s="500"/>
      <c r="ALQ258" s="500"/>
      <c r="ALR258" s="500"/>
      <c r="ALS258" s="500"/>
      <c r="ALT258" s="500"/>
      <c r="ALU258" s="500"/>
      <c r="ALV258" s="500"/>
      <c r="ALW258" s="500"/>
      <c r="ALX258" s="500"/>
      <c r="ALY258" s="500"/>
      <c r="ALZ258" s="500"/>
      <c r="AMA258" s="500"/>
      <c r="AMB258" s="500"/>
      <c r="AMC258" s="500"/>
      <c r="AMD258" s="500"/>
      <c r="AME258" s="500"/>
      <c r="AMF258" s="500"/>
      <c r="AMG258" s="500"/>
      <c r="AMH258" s="500"/>
      <c r="AMI258" s="500"/>
      <c r="AMJ258" s="500"/>
      <c r="AMK258" s="500"/>
      <c r="AML258" s="500"/>
      <c r="AMM258" s="500"/>
      <c r="AMN258" s="500"/>
      <c r="AMO258" s="500"/>
      <c r="AMP258" s="500"/>
      <c r="AMQ258" s="500"/>
      <c r="AMR258" s="500"/>
      <c r="AMS258" s="500"/>
      <c r="AMT258" s="500"/>
      <c r="AMU258" s="500"/>
      <c r="AMV258" s="500"/>
      <c r="AMW258" s="500"/>
      <c r="AMX258" s="500"/>
      <c r="AMY258" s="500"/>
      <c r="AMZ258" s="500"/>
      <c r="ANA258" s="500"/>
      <c r="ANB258" s="500"/>
      <c r="ANC258" s="500"/>
      <c r="AND258" s="500"/>
      <c r="ANE258" s="500"/>
      <c r="ANF258" s="500"/>
      <c r="ANG258" s="500"/>
      <c r="ANH258" s="500"/>
      <c r="ANI258" s="500"/>
      <c r="ANJ258" s="500"/>
      <c r="ANK258" s="500"/>
      <c r="ANL258" s="500"/>
      <c r="ANM258" s="500"/>
      <c r="ANN258" s="500"/>
      <c r="ANO258" s="500"/>
      <c r="ANP258" s="500"/>
      <c r="ANQ258" s="500"/>
      <c r="ANR258" s="500"/>
      <c r="ANS258" s="500"/>
      <c r="ANT258" s="500"/>
      <c r="ANU258" s="500"/>
      <c r="ANV258" s="500"/>
      <c r="ANW258" s="500"/>
      <c r="ANX258" s="500"/>
      <c r="ANY258" s="500"/>
      <c r="ANZ258" s="500"/>
      <c r="AOA258" s="500"/>
      <c r="AOB258" s="500"/>
      <c r="AOC258" s="500"/>
      <c r="AOD258" s="500"/>
      <c r="AOE258" s="500"/>
      <c r="AOF258" s="500"/>
      <c r="AOG258" s="500"/>
      <c r="AOH258" s="500"/>
      <c r="AOI258" s="500"/>
      <c r="AOJ258" s="500"/>
      <c r="AOK258" s="500"/>
      <c r="AOL258" s="500"/>
      <c r="AOM258" s="500"/>
      <c r="AON258" s="500"/>
      <c r="AOO258" s="500"/>
      <c r="AOP258" s="500"/>
      <c r="AOQ258" s="500"/>
      <c r="AOR258" s="500"/>
      <c r="AOS258" s="500"/>
      <c r="AOT258" s="500"/>
      <c r="AOU258" s="500"/>
      <c r="AOV258" s="500"/>
      <c r="AOW258" s="500"/>
      <c r="AOX258" s="500"/>
      <c r="AOY258" s="500"/>
      <c r="AOZ258" s="500"/>
      <c r="APA258" s="500"/>
      <c r="APB258" s="500"/>
      <c r="APC258" s="500"/>
      <c r="APD258" s="500"/>
      <c r="APE258" s="500"/>
      <c r="APF258" s="500"/>
      <c r="APG258" s="500"/>
      <c r="APH258" s="500"/>
      <c r="API258" s="500"/>
      <c r="APJ258" s="500"/>
      <c r="APK258" s="500"/>
      <c r="APL258" s="500"/>
      <c r="APM258" s="500"/>
      <c r="APN258" s="500"/>
      <c r="APO258" s="500"/>
      <c r="APP258" s="500"/>
      <c r="APQ258" s="500"/>
      <c r="APR258" s="500"/>
      <c r="APS258" s="500"/>
      <c r="APT258" s="500"/>
      <c r="APU258" s="500"/>
      <c r="APV258" s="500"/>
      <c r="APW258" s="500"/>
      <c r="APX258" s="500"/>
      <c r="APY258" s="500"/>
      <c r="APZ258" s="500"/>
      <c r="AQA258" s="500"/>
      <c r="AQB258" s="500"/>
      <c r="AQC258" s="500"/>
      <c r="AQD258" s="500"/>
      <c r="AQE258" s="500"/>
      <c r="AQF258" s="500"/>
      <c r="AQG258" s="500"/>
      <c r="AQH258" s="500"/>
      <c r="AQI258" s="500"/>
      <c r="AQJ258" s="500"/>
      <c r="AQK258" s="500"/>
      <c r="AQL258" s="500"/>
      <c r="AQM258" s="500"/>
      <c r="AQN258" s="500"/>
      <c r="AQO258" s="500"/>
      <c r="AQP258" s="500"/>
      <c r="AQQ258" s="500"/>
      <c r="AQR258" s="500"/>
      <c r="AQS258" s="500"/>
      <c r="AQT258" s="500"/>
      <c r="AQU258" s="500"/>
      <c r="AQV258" s="500"/>
      <c r="AQW258" s="500"/>
      <c r="AQX258" s="500"/>
      <c r="AQY258" s="500"/>
      <c r="AQZ258" s="500"/>
      <c r="ARA258" s="500"/>
      <c r="ARB258" s="500"/>
      <c r="ARC258" s="500"/>
      <c r="ARD258" s="500"/>
      <c r="ARE258" s="500"/>
      <c r="ARF258" s="500"/>
      <c r="ARG258" s="500"/>
      <c r="ARH258" s="500"/>
      <c r="ARI258" s="500"/>
      <c r="ARJ258" s="500"/>
      <c r="ARK258" s="500"/>
      <c r="ARL258" s="500"/>
      <c r="ARM258" s="500"/>
      <c r="ARN258" s="500"/>
      <c r="ARO258" s="500"/>
      <c r="ARP258" s="500"/>
      <c r="ARQ258" s="500"/>
      <c r="ARR258" s="500"/>
      <c r="ARS258" s="500"/>
      <c r="ART258" s="500"/>
      <c r="ARU258" s="500"/>
      <c r="ARV258" s="500"/>
      <c r="ARW258" s="500"/>
      <c r="ARX258" s="500"/>
      <c r="ARY258" s="500"/>
      <c r="ARZ258" s="500"/>
      <c r="ASA258" s="500"/>
      <c r="ASB258" s="500"/>
      <c r="ASC258" s="500"/>
      <c r="ASD258" s="500"/>
      <c r="ASE258" s="500"/>
      <c r="ASF258" s="500"/>
      <c r="ASG258" s="500"/>
      <c r="ASH258" s="500"/>
      <c r="ASI258" s="500"/>
      <c r="ASJ258" s="500"/>
      <c r="ASK258" s="500"/>
      <c r="ASL258" s="500"/>
      <c r="ASM258" s="500"/>
      <c r="ASN258" s="500"/>
      <c r="ASO258" s="500"/>
      <c r="ASP258" s="500"/>
      <c r="ASQ258" s="500"/>
      <c r="ASR258" s="500"/>
      <c r="ASS258" s="500"/>
      <c r="AST258" s="500"/>
      <c r="ASU258" s="500"/>
      <c r="ASV258" s="500"/>
      <c r="ASW258" s="500"/>
      <c r="ASX258" s="500"/>
      <c r="ASY258" s="500"/>
      <c r="ASZ258" s="500"/>
      <c r="ATA258" s="500"/>
      <c r="ATB258" s="500"/>
      <c r="ATC258" s="500"/>
      <c r="ATD258" s="500"/>
      <c r="ATE258" s="500"/>
      <c r="ATF258" s="500"/>
      <c r="ATG258" s="500"/>
      <c r="ATH258" s="500"/>
      <c r="ATI258" s="500"/>
      <c r="ATJ258" s="500"/>
      <c r="ATK258" s="500"/>
      <c r="ATL258" s="500"/>
      <c r="ATM258" s="500"/>
      <c r="ATN258" s="500"/>
      <c r="ATO258" s="500"/>
      <c r="ATP258" s="500"/>
      <c r="ATQ258" s="500"/>
      <c r="ATR258" s="500"/>
      <c r="ATS258" s="500"/>
      <c r="ATT258" s="500"/>
      <c r="ATU258" s="500"/>
      <c r="ATV258" s="500"/>
      <c r="ATW258" s="500"/>
      <c r="ATX258" s="500"/>
      <c r="ATY258" s="500"/>
      <c r="ATZ258" s="500"/>
      <c r="AUA258" s="500"/>
      <c r="AUB258" s="500"/>
      <c r="AUC258" s="500"/>
      <c r="AUD258" s="500"/>
      <c r="AUE258" s="500"/>
      <c r="AUF258" s="500"/>
      <c r="AUG258" s="500"/>
      <c r="AUH258" s="500"/>
      <c r="AUI258" s="500"/>
      <c r="AUJ258" s="500"/>
      <c r="AUK258" s="500"/>
      <c r="AUL258" s="500"/>
      <c r="AUM258" s="500"/>
      <c r="AUN258" s="500"/>
      <c r="AUO258" s="500"/>
      <c r="AUP258" s="500"/>
      <c r="AUQ258" s="500"/>
      <c r="AUR258" s="500"/>
      <c r="AUS258" s="500"/>
      <c r="AUT258" s="500"/>
      <c r="AUU258" s="500"/>
      <c r="AUV258" s="500"/>
      <c r="AUW258" s="500"/>
      <c r="AUX258" s="500"/>
      <c r="AUY258" s="500"/>
      <c r="AUZ258" s="500"/>
      <c r="AVA258" s="500"/>
      <c r="AVB258" s="500"/>
      <c r="AVC258" s="500"/>
      <c r="AVD258" s="500"/>
      <c r="AVE258" s="500"/>
      <c r="AVF258" s="500"/>
      <c r="AVG258" s="500"/>
      <c r="AVH258" s="500"/>
      <c r="AVI258" s="500"/>
      <c r="AVJ258" s="500"/>
      <c r="AVK258" s="500"/>
      <c r="AVL258" s="500"/>
      <c r="AVM258" s="500"/>
      <c r="AVN258" s="500"/>
      <c r="AVO258" s="500"/>
      <c r="AVP258" s="500"/>
      <c r="AVQ258" s="500"/>
      <c r="AVR258" s="500"/>
      <c r="AVS258" s="500"/>
      <c r="AVT258" s="500"/>
      <c r="AVU258" s="500"/>
      <c r="AVV258" s="500"/>
      <c r="AVW258" s="500"/>
      <c r="AVX258" s="500"/>
      <c r="AVY258" s="500"/>
      <c r="AVZ258" s="500"/>
      <c r="AWA258" s="500"/>
      <c r="AWB258" s="500"/>
      <c r="AWC258" s="500"/>
      <c r="AWD258" s="500"/>
      <c r="AWE258" s="500"/>
      <c r="AWF258" s="500"/>
      <c r="AWG258" s="500"/>
      <c r="AWH258" s="500"/>
      <c r="AWI258" s="500"/>
      <c r="AWJ258" s="500"/>
      <c r="AWK258" s="500"/>
      <c r="AWL258" s="500"/>
      <c r="AWM258" s="500"/>
      <c r="AWN258" s="500"/>
      <c r="AWO258" s="500"/>
      <c r="AWP258" s="500"/>
      <c r="AWQ258" s="500"/>
      <c r="AWR258" s="500"/>
      <c r="AWS258" s="500"/>
      <c r="AWT258" s="500"/>
      <c r="AWU258" s="500"/>
      <c r="AWV258" s="500"/>
      <c r="AWW258" s="500"/>
      <c r="AWX258" s="500"/>
      <c r="AWY258" s="500"/>
      <c r="AWZ258" s="500"/>
      <c r="AXA258" s="500"/>
      <c r="AXB258" s="500"/>
      <c r="AXC258" s="500"/>
      <c r="AXD258" s="500"/>
      <c r="AXE258" s="500"/>
      <c r="AXF258" s="500"/>
      <c r="AXG258" s="500"/>
      <c r="AXH258" s="500"/>
      <c r="AXI258" s="500"/>
      <c r="AXJ258" s="500"/>
      <c r="AXK258" s="500"/>
      <c r="AXL258" s="500"/>
      <c r="AXM258" s="500"/>
      <c r="AXN258" s="500"/>
      <c r="AXO258" s="500"/>
      <c r="AXP258" s="500"/>
      <c r="AXQ258" s="500"/>
      <c r="AXR258" s="500"/>
      <c r="AXS258" s="500"/>
      <c r="AXT258" s="500"/>
      <c r="AXU258" s="500"/>
      <c r="AXV258" s="500"/>
      <c r="AXW258" s="500"/>
      <c r="AXX258" s="500"/>
      <c r="AXY258" s="500"/>
      <c r="AXZ258" s="500"/>
      <c r="AYA258" s="500"/>
      <c r="AYB258" s="500"/>
      <c r="AYC258" s="500"/>
      <c r="AYD258" s="500"/>
      <c r="AYE258" s="500"/>
      <c r="AYF258" s="500"/>
      <c r="AYG258" s="500"/>
      <c r="AYH258" s="500"/>
      <c r="AYI258" s="500"/>
      <c r="AYJ258" s="500"/>
      <c r="AYK258" s="500"/>
      <c r="AYL258" s="500"/>
      <c r="AYM258" s="500"/>
      <c r="AYN258" s="500"/>
      <c r="AYO258" s="500"/>
      <c r="AYP258" s="500"/>
      <c r="AYQ258" s="500"/>
      <c r="AYR258" s="500"/>
      <c r="AYS258" s="500"/>
      <c r="AYT258" s="500"/>
      <c r="AYU258" s="500"/>
      <c r="AYV258" s="500"/>
      <c r="AYW258" s="500"/>
      <c r="AYX258" s="500"/>
      <c r="AYY258" s="500"/>
      <c r="AYZ258" s="500"/>
      <c r="AZA258" s="500"/>
      <c r="AZB258" s="500"/>
      <c r="AZC258" s="500"/>
      <c r="AZD258" s="500"/>
      <c r="AZE258" s="500"/>
      <c r="AZF258" s="500"/>
      <c r="AZG258" s="500"/>
      <c r="AZH258" s="500"/>
      <c r="AZI258" s="500"/>
      <c r="AZJ258" s="500"/>
      <c r="AZK258" s="500"/>
      <c r="AZL258" s="500"/>
      <c r="AZM258" s="500"/>
      <c r="AZN258" s="500"/>
      <c r="AZO258" s="500"/>
      <c r="AZP258" s="500"/>
      <c r="AZQ258" s="500"/>
      <c r="AZR258" s="500"/>
      <c r="AZS258" s="500"/>
      <c r="AZT258" s="500"/>
      <c r="AZU258" s="500"/>
      <c r="AZV258" s="500"/>
      <c r="AZW258" s="500"/>
      <c r="AZX258" s="500"/>
      <c r="AZY258" s="500"/>
      <c r="AZZ258" s="500"/>
      <c r="BAA258" s="500"/>
      <c r="BAB258" s="500"/>
      <c r="BAC258" s="500"/>
      <c r="BAD258" s="500"/>
      <c r="BAE258" s="500"/>
      <c r="BAF258" s="500"/>
      <c r="BAG258" s="500"/>
      <c r="BAH258" s="500"/>
      <c r="BAI258" s="500"/>
      <c r="BAJ258" s="500"/>
      <c r="BAK258" s="500"/>
      <c r="BAL258" s="500"/>
      <c r="BAM258" s="500"/>
      <c r="BAN258" s="500"/>
      <c r="BAO258" s="500"/>
      <c r="BAP258" s="500"/>
      <c r="BAQ258" s="500"/>
      <c r="BAR258" s="500"/>
      <c r="BAS258" s="500"/>
      <c r="BAT258" s="500"/>
      <c r="BAU258" s="500"/>
      <c r="BAV258" s="500"/>
      <c r="BAW258" s="500"/>
      <c r="BAX258" s="500"/>
      <c r="BAY258" s="500"/>
      <c r="BAZ258" s="500"/>
      <c r="BBA258" s="500"/>
      <c r="BBB258" s="500"/>
      <c r="BBC258" s="500"/>
      <c r="BBD258" s="500"/>
      <c r="BBE258" s="500"/>
      <c r="BBF258" s="500"/>
      <c r="BBG258" s="500"/>
      <c r="BBH258" s="500"/>
      <c r="BBI258" s="500"/>
      <c r="BBJ258" s="500"/>
      <c r="BBK258" s="500"/>
      <c r="BBL258" s="500"/>
      <c r="BBM258" s="500"/>
      <c r="BBN258" s="500"/>
      <c r="BBO258" s="500"/>
      <c r="BBP258" s="500"/>
      <c r="BBQ258" s="500"/>
      <c r="BBR258" s="500"/>
      <c r="BBS258" s="500"/>
      <c r="BBT258" s="500"/>
      <c r="BBU258" s="500"/>
      <c r="BBV258" s="500"/>
      <c r="BBW258" s="500"/>
      <c r="BBX258" s="500"/>
      <c r="BBY258" s="500"/>
      <c r="BBZ258" s="500"/>
      <c r="BCA258" s="500"/>
      <c r="BCB258" s="500"/>
      <c r="BCC258" s="500"/>
      <c r="BCD258" s="500"/>
      <c r="BCE258" s="500"/>
      <c r="BCF258" s="500"/>
      <c r="BCG258" s="500"/>
      <c r="BCH258" s="500"/>
      <c r="BCI258" s="500"/>
      <c r="BCJ258" s="500"/>
      <c r="BCK258" s="500"/>
      <c r="BCL258" s="500"/>
      <c r="BCM258" s="500"/>
      <c r="BCN258" s="500"/>
      <c r="BCO258" s="500"/>
      <c r="BCP258" s="500"/>
      <c r="BCQ258" s="500"/>
      <c r="BCR258" s="500"/>
      <c r="BCS258" s="500"/>
      <c r="BCT258" s="500"/>
      <c r="BCU258" s="500"/>
      <c r="BCV258" s="500"/>
      <c r="BCW258" s="500"/>
      <c r="BCX258" s="500"/>
      <c r="BCY258" s="500"/>
      <c r="BCZ258" s="500"/>
      <c r="BDA258" s="500"/>
      <c r="BDB258" s="500"/>
      <c r="BDC258" s="500"/>
      <c r="BDD258" s="500"/>
      <c r="BDE258" s="500"/>
      <c r="BDF258" s="500"/>
      <c r="BDG258" s="500"/>
      <c r="BDH258" s="500"/>
      <c r="BDI258" s="500"/>
      <c r="BDJ258" s="500"/>
      <c r="BDK258" s="500"/>
      <c r="BDL258" s="500"/>
      <c r="BDM258" s="500"/>
      <c r="BDN258" s="500"/>
      <c r="BDO258" s="500"/>
      <c r="BDP258" s="500"/>
      <c r="BDQ258" s="500"/>
      <c r="BDR258" s="500"/>
      <c r="BDS258" s="500"/>
      <c r="BDT258" s="500"/>
      <c r="BDU258" s="500"/>
      <c r="BDV258" s="500"/>
      <c r="BDW258" s="500"/>
      <c r="BDX258" s="500"/>
      <c r="BDY258" s="500"/>
      <c r="BDZ258" s="500"/>
      <c r="BEA258" s="500"/>
      <c r="BEB258" s="500"/>
      <c r="BEC258" s="500"/>
      <c r="BED258" s="500"/>
      <c r="BEE258" s="500"/>
      <c r="BEF258" s="500"/>
      <c r="BEG258" s="500"/>
      <c r="BEH258" s="500"/>
      <c r="BEI258" s="500"/>
      <c r="BEJ258" s="500"/>
      <c r="BEK258" s="500"/>
      <c r="BEL258" s="500"/>
      <c r="BEM258" s="500"/>
      <c r="BEN258" s="500"/>
      <c r="BEO258" s="500"/>
      <c r="BEP258" s="500"/>
      <c r="BEQ258" s="500"/>
      <c r="BER258" s="500"/>
      <c r="BES258" s="500"/>
      <c r="BET258" s="500"/>
      <c r="BEU258" s="500"/>
      <c r="BEV258" s="500"/>
      <c r="BEW258" s="500"/>
      <c r="BEX258" s="500"/>
      <c r="BEY258" s="500"/>
      <c r="BEZ258" s="500"/>
      <c r="BFA258" s="500"/>
      <c r="BFB258" s="500"/>
      <c r="BFC258" s="500"/>
      <c r="BFD258" s="500"/>
      <c r="BFE258" s="500"/>
      <c r="BFF258" s="500"/>
      <c r="BFG258" s="500"/>
      <c r="BFH258" s="500"/>
      <c r="BFI258" s="500"/>
      <c r="BFJ258" s="500"/>
      <c r="BFK258" s="500"/>
      <c r="BFL258" s="500"/>
      <c r="BFM258" s="500"/>
      <c r="BFN258" s="500"/>
      <c r="BFO258" s="500"/>
      <c r="BFP258" s="500"/>
      <c r="BFQ258" s="500"/>
      <c r="BFR258" s="500"/>
      <c r="BFS258" s="500"/>
      <c r="BFT258" s="500"/>
      <c r="BFU258" s="500"/>
      <c r="BFV258" s="500"/>
      <c r="BFW258" s="500"/>
      <c r="BFX258" s="500"/>
      <c r="BFY258" s="500"/>
      <c r="BFZ258" s="500"/>
      <c r="BGA258" s="500"/>
      <c r="BGB258" s="500"/>
      <c r="BGC258" s="500"/>
      <c r="BGD258" s="500"/>
      <c r="BGE258" s="500"/>
      <c r="BGF258" s="500"/>
      <c r="BGG258" s="500"/>
      <c r="BGH258" s="500"/>
      <c r="BGI258" s="500"/>
      <c r="BGJ258" s="500"/>
      <c r="BGK258" s="500"/>
      <c r="BGL258" s="500"/>
      <c r="BGM258" s="500"/>
      <c r="BGN258" s="500"/>
      <c r="BGO258" s="500"/>
      <c r="BGP258" s="500"/>
      <c r="BGQ258" s="500"/>
      <c r="BGR258" s="500"/>
      <c r="BGS258" s="500"/>
      <c r="BGT258" s="500"/>
      <c r="BGU258" s="500"/>
      <c r="BGV258" s="500"/>
      <c r="BGW258" s="500"/>
      <c r="BGX258" s="500"/>
      <c r="BGY258" s="500"/>
      <c r="BGZ258" s="500"/>
      <c r="BHA258" s="500"/>
      <c r="BHB258" s="500"/>
      <c r="BHC258" s="500"/>
      <c r="BHD258" s="500"/>
      <c r="BHE258" s="500"/>
      <c r="BHF258" s="500"/>
      <c r="BHG258" s="500"/>
      <c r="BHH258" s="500"/>
      <c r="BHI258" s="500"/>
      <c r="BHJ258" s="500"/>
      <c r="BHK258" s="500"/>
      <c r="BHL258" s="500"/>
      <c r="BHM258" s="500"/>
      <c r="BHN258" s="500"/>
      <c r="BHO258" s="500"/>
      <c r="BHP258" s="500"/>
      <c r="BHQ258" s="500"/>
      <c r="BHR258" s="500"/>
      <c r="BHS258" s="500"/>
      <c r="BHT258" s="500"/>
      <c r="BHU258" s="500"/>
      <c r="BHV258" s="500"/>
      <c r="BHW258" s="500"/>
      <c r="BHX258" s="500"/>
      <c r="BHY258" s="500"/>
      <c r="BHZ258" s="500"/>
      <c r="BIA258" s="500"/>
      <c r="BIB258" s="500"/>
      <c r="BIC258" s="500"/>
      <c r="BID258" s="500"/>
      <c r="BIE258" s="500"/>
      <c r="BIF258" s="500"/>
      <c r="BIG258" s="500"/>
      <c r="BIH258" s="500"/>
      <c r="BII258" s="500"/>
      <c r="BIJ258" s="500"/>
      <c r="BIK258" s="500"/>
      <c r="BIL258" s="500"/>
      <c r="BIM258" s="500"/>
      <c r="BIN258" s="500"/>
      <c r="BIO258" s="500"/>
      <c r="BIP258" s="500"/>
      <c r="BIQ258" s="500"/>
      <c r="BIR258" s="500"/>
      <c r="BIS258" s="500"/>
      <c r="BIT258" s="500"/>
      <c r="BIU258" s="500"/>
      <c r="BIV258" s="500"/>
      <c r="BIW258" s="500"/>
      <c r="BIX258" s="500"/>
      <c r="BIY258" s="500"/>
      <c r="BIZ258" s="500"/>
      <c r="BJA258" s="500"/>
      <c r="BJB258" s="500"/>
      <c r="BJC258" s="500"/>
      <c r="BJD258" s="500"/>
      <c r="BJE258" s="500"/>
      <c r="BJF258" s="500"/>
      <c r="BJG258" s="500"/>
      <c r="BJH258" s="500"/>
      <c r="BJI258" s="500"/>
      <c r="BJJ258" s="500"/>
      <c r="BJK258" s="500"/>
      <c r="BJL258" s="500"/>
      <c r="BJM258" s="500"/>
      <c r="BJN258" s="500"/>
      <c r="BJO258" s="500"/>
      <c r="BJP258" s="500"/>
      <c r="BJQ258" s="500"/>
      <c r="BJR258" s="500"/>
      <c r="BJS258" s="500"/>
      <c r="BJT258" s="500"/>
      <c r="BJU258" s="500"/>
      <c r="BJV258" s="500"/>
      <c r="BJW258" s="500"/>
      <c r="BJX258" s="500"/>
      <c r="BJY258" s="500"/>
      <c r="BJZ258" s="500"/>
      <c r="BKA258" s="500"/>
      <c r="BKB258" s="500"/>
      <c r="BKC258" s="500"/>
      <c r="BKD258" s="500"/>
      <c r="BKE258" s="500"/>
      <c r="BKF258" s="500"/>
      <c r="BKG258" s="500"/>
      <c r="BKH258" s="500"/>
      <c r="BKI258" s="500"/>
      <c r="BKJ258" s="500"/>
      <c r="BKK258" s="500"/>
      <c r="BKL258" s="500"/>
      <c r="BKM258" s="500"/>
      <c r="BKN258" s="500"/>
      <c r="BKO258" s="500"/>
      <c r="BKP258" s="500"/>
      <c r="BKQ258" s="500"/>
      <c r="BKR258" s="500"/>
      <c r="BKS258" s="500"/>
      <c r="BKT258" s="500"/>
      <c r="BKU258" s="500"/>
      <c r="BKV258" s="500"/>
      <c r="BKW258" s="500"/>
      <c r="BKX258" s="500"/>
      <c r="BKY258" s="500"/>
      <c r="BKZ258" s="500"/>
      <c r="BLA258" s="500"/>
      <c r="BLB258" s="500"/>
      <c r="BLC258" s="500"/>
      <c r="BLD258" s="500"/>
      <c r="BLE258" s="500"/>
      <c r="BLF258" s="500"/>
      <c r="BLG258" s="500"/>
      <c r="BLH258" s="500"/>
      <c r="BLI258" s="500"/>
      <c r="BLJ258" s="500"/>
      <c r="BLK258" s="500"/>
      <c r="BLL258" s="500"/>
      <c r="BLM258" s="500"/>
      <c r="BLN258" s="500"/>
      <c r="BLO258" s="500"/>
      <c r="BLP258" s="500"/>
      <c r="BLQ258" s="500"/>
      <c r="BLR258" s="500"/>
      <c r="BLS258" s="500"/>
      <c r="BLT258" s="500"/>
      <c r="BLU258" s="500"/>
      <c r="BLV258" s="500"/>
      <c r="BLW258" s="500"/>
      <c r="BLX258" s="500"/>
      <c r="BLY258" s="500"/>
      <c r="BLZ258" s="500"/>
      <c r="BMA258" s="500"/>
      <c r="BMB258" s="500"/>
      <c r="BMC258" s="500"/>
      <c r="BMD258" s="500"/>
      <c r="BME258" s="500"/>
      <c r="BMF258" s="500"/>
      <c r="BMG258" s="500"/>
      <c r="BMH258" s="500"/>
      <c r="BMI258" s="500"/>
      <c r="BMJ258" s="500"/>
      <c r="BMK258" s="500"/>
      <c r="BML258" s="500"/>
      <c r="BMM258" s="500"/>
      <c r="BMN258" s="500"/>
      <c r="BMO258" s="500"/>
      <c r="BMP258" s="500"/>
      <c r="BMQ258" s="500"/>
      <c r="BMR258" s="500"/>
      <c r="BMS258" s="500"/>
      <c r="BMT258" s="500"/>
      <c r="BMU258" s="500"/>
      <c r="BMV258" s="500"/>
      <c r="BMW258" s="500"/>
      <c r="BMX258" s="500"/>
      <c r="BMY258" s="500"/>
      <c r="BMZ258" s="500"/>
      <c r="BNA258" s="500"/>
      <c r="BNB258" s="500"/>
      <c r="BNC258" s="500"/>
      <c r="BND258" s="500"/>
      <c r="BNE258" s="500"/>
      <c r="BNF258" s="500"/>
      <c r="BNG258" s="500"/>
      <c r="BNH258" s="500"/>
      <c r="BNI258" s="500"/>
      <c r="BNJ258" s="500"/>
      <c r="BNK258" s="500"/>
      <c r="BNL258" s="500"/>
      <c r="BNM258" s="500"/>
      <c r="BNN258" s="500"/>
      <c r="BNO258" s="500"/>
      <c r="BNP258" s="500"/>
      <c r="BNQ258" s="500"/>
      <c r="BNR258" s="500"/>
      <c r="BNS258" s="500"/>
      <c r="BNT258" s="500"/>
      <c r="BNU258" s="500"/>
      <c r="BNV258" s="500"/>
      <c r="BNW258" s="500"/>
      <c r="BNX258" s="500"/>
      <c r="BNY258" s="500"/>
      <c r="BNZ258" s="500"/>
      <c r="BOA258" s="500"/>
      <c r="BOB258" s="500"/>
      <c r="BOC258" s="500"/>
      <c r="BOD258" s="500"/>
      <c r="BOE258" s="500"/>
      <c r="BOF258" s="500"/>
      <c r="BOG258" s="500"/>
      <c r="BOH258" s="500"/>
      <c r="BOI258" s="500"/>
      <c r="BOJ258" s="500"/>
      <c r="BOK258" s="500"/>
      <c r="BOL258" s="500"/>
      <c r="BOM258" s="500"/>
      <c r="BON258" s="500"/>
      <c r="BOO258" s="500"/>
      <c r="BOP258" s="500"/>
      <c r="BOQ258" s="500"/>
      <c r="BOR258" s="500"/>
      <c r="BOS258" s="500"/>
      <c r="BOT258" s="500"/>
      <c r="BOU258" s="500"/>
      <c r="BOV258" s="500"/>
      <c r="BOW258" s="500"/>
      <c r="BOX258" s="500"/>
      <c r="BOY258" s="500"/>
      <c r="BOZ258" s="500"/>
      <c r="BPA258" s="500"/>
      <c r="BPB258" s="500"/>
      <c r="BPC258" s="500"/>
      <c r="BPD258" s="500"/>
      <c r="BPE258" s="500"/>
      <c r="BPF258" s="500"/>
      <c r="BPG258" s="500"/>
      <c r="BPH258" s="500"/>
      <c r="BPI258" s="500"/>
      <c r="BPJ258" s="500"/>
      <c r="BPK258" s="500"/>
      <c r="BPL258" s="500"/>
      <c r="BPM258" s="500"/>
      <c r="BPN258" s="500"/>
      <c r="BPO258" s="500"/>
      <c r="BPP258" s="500"/>
      <c r="BPQ258" s="500"/>
      <c r="BPR258" s="500"/>
      <c r="BPS258" s="500"/>
      <c r="BPT258" s="500"/>
      <c r="BPU258" s="500"/>
      <c r="BPV258" s="500"/>
      <c r="BPW258" s="500"/>
      <c r="BPX258" s="500"/>
      <c r="BPY258" s="500"/>
      <c r="BPZ258" s="500"/>
      <c r="BQA258" s="500"/>
      <c r="BQB258" s="500"/>
      <c r="BQC258" s="500"/>
      <c r="BQD258" s="500"/>
      <c r="BQE258" s="500"/>
      <c r="BQF258" s="500"/>
      <c r="BQG258" s="500"/>
      <c r="BQH258" s="500"/>
      <c r="BQI258" s="500"/>
      <c r="BQJ258" s="500"/>
      <c r="BQK258" s="500"/>
      <c r="BQL258" s="500"/>
      <c r="BQM258" s="500"/>
      <c r="BQN258" s="500"/>
      <c r="BQO258" s="500"/>
      <c r="BQP258" s="500"/>
      <c r="BQQ258" s="500"/>
      <c r="BQR258" s="500"/>
      <c r="BQS258" s="500"/>
      <c r="BQT258" s="500"/>
      <c r="BQU258" s="500"/>
      <c r="BQV258" s="500"/>
      <c r="BQW258" s="500"/>
      <c r="BQX258" s="500"/>
      <c r="BQY258" s="500"/>
      <c r="BQZ258" s="500"/>
      <c r="BRA258" s="500"/>
      <c r="BRB258" s="500"/>
      <c r="BRC258" s="500"/>
      <c r="BRD258" s="500"/>
      <c r="BRE258" s="500"/>
      <c r="BRF258" s="500"/>
      <c r="BRG258" s="500"/>
      <c r="BRH258" s="500"/>
      <c r="BRI258" s="500"/>
      <c r="BRJ258" s="500"/>
      <c r="BRK258" s="500"/>
      <c r="BRL258" s="500"/>
      <c r="BRM258" s="500"/>
      <c r="BRN258" s="500"/>
      <c r="BRO258" s="500"/>
      <c r="BRP258" s="500"/>
      <c r="BRQ258" s="500"/>
      <c r="BRR258" s="500"/>
      <c r="BRS258" s="500"/>
      <c r="BRT258" s="500"/>
      <c r="BRU258" s="500"/>
      <c r="BRV258" s="500"/>
      <c r="BRW258" s="500"/>
      <c r="BRX258" s="500"/>
      <c r="BRY258" s="500"/>
      <c r="BRZ258" s="500"/>
      <c r="BSA258" s="500"/>
      <c r="BSB258" s="500"/>
      <c r="BSC258" s="500"/>
      <c r="BSD258" s="500"/>
      <c r="BSE258" s="500"/>
      <c r="BSF258" s="500"/>
      <c r="BSG258" s="500"/>
      <c r="BSH258" s="500"/>
      <c r="BSI258" s="500"/>
      <c r="BSJ258" s="500"/>
      <c r="BSK258" s="500"/>
      <c r="BSL258" s="500"/>
      <c r="BSM258" s="500"/>
      <c r="BSN258" s="500"/>
      <c r="BSO258" s="500"/>
      <c r="BSP258" s="500"/>
      <c r="BSQ258" s="500"/>
      <c r="BSR258" s="500"/>
      <c r="BSS258" s="500"/>
      <c r="BST258" s="500"/>
      <c r="BSU258" s="500"/>
      <c r="BSV258" s="500"/>
      <c r="BSW258" s="500"/>
      <c r="BSX258" s="500"/>
      <c r="BSY258" s="500"/>
      <c r="BSZ258" s="500"/>
      <c r="BTA258" s="500"/>
      <c r="BTB258" s="500"/>
      <c r="BTC258" s="500"/>
      <c r="BTD258" s="500"/>
      <c r="BTE258" s="500"/>
      <c r="BTF258" s="500"/>
      <c r="BTG258" s="500"/>
      <c r="BTH258" s="500"/>
      <c r="BTI258" s="500"/>
    </row>
    <row r="259" spans="1:1881" s="632" customFormat="1" ht="44.25" customHeight="1" thickBot="1" x14ac:dyDescent="0.3">
      <c r="B259" s="743"/>
      <c r="C259" s="884"/>
      <c r="D259" s="965" t="s">
        <v>1219</v>
      </c>
      <c r="E259" s="966"/>
      <c r="F259" s="885"/>
      <c r="G259" s="885"/>
      <c r="H259" s="635"/>
      <c r="I259" s="423"/>
      <c r="J259" s="633"/>
      <c r="K259" s="633"/>
      <c r="L259" s="633"/>
      <c r="M259" s="633"/>
      <c r="N259" s="860"/>
      <c r="O259" s="633"/>
      <c r="P259" s="633"/>
      <c r="Q259" s="633"/>
      <c r="R259" s="633"/>
      <c r="S259" s="633"/>
      <c r="T259" s="633"/>
      <c r="U259" s="633"/>
      <c r="V259" s="633"/>
      <c r="W259" s="633"/>
      <c r="X259" s="633"/>
      <c r="Y259" s="633"/>
      <c r="Z259" s="633"/>
      <c r="AA259" s="633"/>
      <c r="AB259" s="633"/>
      <c r="AC259" s="633"/>
      <c r="AD259" s="633"/>
      <c r="AE259" s="633"/>
      <c r="AF259" s="633"/>
      <c r="AG259" s="633"/>
      <c r="AH259" s="633"/>
      <c r="AI259" s="633"/>
      <c r="AJ259" s="633"/>
      <c r="AK259" s="633"/>
      <c r="AL259" s="633"/>
      <c r="AM259" s="633"/>
      <c r="AN259" s="633"/>
      <c r="AO259" s="633"/>
      <c r="AP259" s="633"/>
      <c r="AQ259" s="633"/>
      <c r="AR259" s="633"/>
      <c r="AS259" s="633"/>
      <c r="AT259" s="633"/>
      <c r="AU259" s="633"/>
      <c r="AV259" s="633"/>
      <c r="AW259" s="633"/>
      <c r="AX259" s="633"/>
      <c r="AY259" s="633"/>
      <c r="AZ259" s="633"/>
      <c r="BA259" s="633"/>
      <c r="BB259" s="633"/>
      <c r="BC259" s="633"/>
      <c r="BD259" s="633"/>
      <c r="BE259" s="633"/>
      <c r="BF259" s="633"/>
      <c r="BG259" s="633"/>
      <c r="BH259" s="633"/>
      <c r="BI259" s="633"/>
      <c r="BJ259" s="633"/>
      <c r="BK259" s="633"/>
      <c r="BL259" s="633"/>
      <c r="BM259" s="633"/>
      <c r="BN259" s="633"/>
      <c r="BO259" s="633"/>
      <c r="BP259" s="633"/>
      <c r="BQ259" s="633"/>
      <c r="BR259" s="633"/>
      <c r="BS259" s="633"/>
      <c r="BT259" s="633"/>
      <c r="BU259" s="633"/>
      <c r="BV259" s="633"/>
      <c r="BW259" s="633"/>
      <c r="BX259" s="633"/>
      <c r="BY259" s="633"/>
      <c r="BZ259" s="633"/>
      <c r="CA259" s="633"/>
      <c r="CB259" s="633"/>
      <c r="CC259" s="633"/>
      <c r="CD259" s="633"/>
      <c r="CE259" s="633"/>
      <c r="CF259" s="633"/>
      <c r="CG259" s="633"/>
      <c r="CH259" s="633"/>
      <c r="CI259" s="633"/>
      <c r="CJ259" s="633"/>
      <c r="CK259" s="633"/>
      <c r="CL259" s="633"/>
      <c r="CM259" s="633"/>
      <c r="CN259" s="633"/>
      <c r="CO259" s="633"/>
      <c r="CP259" s="633"/>
      <c r="CQ259" s="633"/>
      <c r="CR259" s="633"/>
      <c r="CS259" s="633"/>
      <c r="CT259" s="633"/>
      <c r="CU259" s="633"/>
      <c r="CV259" s="633"/>
      <c r="CW259" s="633"/>
      <c r="CX259" s="633"/>
      <c r="CY259" s="633"/>
      <c r="CZ259" s="633"/>
      <c r="DA259" s="633"/>
      <c r="DB259" s="633"/>
      <c r="DC259" s="633"/>
      <c r="DD259" s="633"/>
      <c r="DE259" s="633"/>
      <c r="DF259" s="633"/>
      <c r="DG259" s="633"/>
      <c r="DH259" s="633"/>
      <c r="DI259" s="633"/>
      <c r="DJ259" s="633"/>
      <c r="DK259" s="633"/>
      <c r="DL259" s="633"/>
      <c r="DM259" s="633"/>
      <c r="DN259" s="633"/>
      <c r="DO259" s="633"/>
      <c r="DP259" s="633"/>
      <c r="DQ259" s="633"/>
      <c r="DR259" s="633"/>
      <c r="DS259" s="633"/>
      <c r="DT259" s="633"/>
      <c r="DU259" s="633"/>
      <c r="DV259" s="633"/>
      <c r="DW259" s="633"/>
      <c r="DX259" s="633"/>
      <c r="DY259" s="633"/>
      <c r="DZ259" s="633"/>
      <c r="EA259" s="633"/>
      <c r="EB259" s="633"/>
      <c r="EC259" s="633"/>
      <c r="ED259" s="633"/>
      <c r="EE259" s="633"/>
      <c r="EF259" s="633"/>
      <c r="EG259" s="633"/>
      <c r="EH259" s="633"/>
      <c r="EI259" s="633"/>
      <c r="EJ259" s="633"/>
      <c r="EK259" s="633"/>
      <c r="EL259" s="633"/>
      <c r="EM259" s="633"/>
      <c r="EN259" s="633"/>
      <c r="EO259" s="633"/>
      <c r="EP259" s="633"/>
      <c r="EQ259" s="633"/>
      <c r="ER259" s="633"/>
      <c r="ES259" s="633"/>
      <c r="ET259" s="633"/>
      <c r="EU259" s="633"/>
      <c r="EV259" s="633"/>
      <c r="EW259" s="633"/>
      <c r="EX259" s="633"/>
      <c r="EY259" s="633"/>
      <c r="EZ259" s="633"/>
      <c r="FA259" s="633"/>
      <c r="FB259" s="633"/>
      <c r="FC259" s="633"/>
      <c r="FD259" s="633"/>
      <c r="FE259" s="633"/>
      <c r="FF259" s="633"/>
      <c r="FG259" s="633"/>
      <c r="FH259" s="633"/>
      <c r="FI259" s="633"/>
      <c r="FJ259" s="633"/>
      <c r="FK259" s="633"/>
      <c r="FL259" s="633"/>
      <c r="FM259" s="633"/>
      <c r="FN259" s="633"/>
      <c r="FO259" s="633"/>
      <c r="FP259" s="633"/>
      <c r="FQ259" s="633"/>
      <c r="FR259" s="633"/>
      <c r="FS259" s="633"/>
      <c r="FT259" s="633"/>
      <c r="FU259" s="633"/>
      <c r="FV259" s="633"/>
      <c r="FW259" s="633"/>
      <c r="FX259" s="633"/>
      <c r="FY259" s="633"/>
      <c r="FZ259" s="633"/>
      <c r="GA259" s="633"/>
      <c r="GB259" s="633"/>
      <c r="GC259" s="633"/>
      <c r="GD259" s="633"/>
      <c r="GE259" s="633"/>
      <c r="GF259" s="633"/>
      <c r="GG259" s="633"/>
      <c r="GH259" s="633"/>
      <c r="GI259" s="633"/>
      <c r="GJ259" s="633"/>
      <c r="GK259" s="633"/>
      <c r="GL259" s="633"/>
      <c r="GM259" s="633"/>
      <c r="GN259" s="633"/>
      <c r="GO259" s="633"/>
      <c r="GP259" s="633"/>
      <c r="GQ259" s="633"/>
      <c r="GR259" s="633"/>
      <c r="GS259" s="633"/>
      <c r="GT259" s="633"/>
      <c r="GU259" s="633"/>
      <c r="GV259" s="633"/>
      <c r="GW259" s="633"/>
      <c r="GX259" s="633"/>
      <c r="GY259" s="633"/>
      <c r="GZ259" s="633"/>
      <c r="HA259" s="633"/>
      <c r="HB259" s="633"/>
      <c r="HC259" s="633"/>
      <c r="HD259" s="633"/>
      <c r="HE259" s="633"/>
      <c r="HF259" s="633"/>
      <c r="HG259" s="633"/>
      <c r="HH259" s="633"/>
      <c r="HI259" s="633"/>
      <c r="HJ259" s="633"/>
      <c r="HK259" s="633"/>
      <c r="HL259" s="633"/>
      <c r="HM259" s="633"/>
      <c r="HN259" s="633"/>
      <c r="HO259" s="633"/>
      <c r="HP259" s="633"/>
      <c r="HQ259" s="633"/>
      <c r="HR259" s="633"/>
      <c r="HS259" s="633"/>
      <c r="HT259" s="633"/>
      <c r="HU259" s="633"/>
      <c r="HV259" s="633"/>
      <c r="HW259" s="633"/>
      <c r="HX259" s="633"/>
      <c r="HY259" s="633"/>
      <c r="HZ259" s="633"/>
      <c r="IA259" s="633"/>
      <c r="IB259" s="633"/>
      <c r="IC259" s="633"/>
      <c r="ID259" s="633"/>
      <c r="IE259" s="633"/>
      <c r="IF259" s="633"/>
      <c r="IG259" s="633"/>
      <c r="IH259" s="633"/>
      <c r="II259" s="633"/>
      <c r="IJ259" s="633"/>
      <c r="IK259" s="633"/>
      <c r="IL259" s="633"/>
      <c r="IM259" s="633"/>
      <c r="IN259" s="633"/>
      <c r="IO259" s="633"/>
      <c r="IP259" s="633"/>
      <c r="IQ259" s="633"/>
      <c r="IR259" s="633"/>
      <c r="IS259" s="633"/>
      <c r="IT259" s="633"/>
      <c r="IU259" s="633"/>
      <c r="IV259" s="633"/>
      <c r="IW259" s="633"/>
      <c r="IX259" s="633"/>
      <c r="IY259" s="633"/>
      <c r="IZ259" s="633"/>
      <c r="JA259" s="633"/>
      <c r="JB259" s="633"/>
      <c r="JC259" s="633"/>
      <c r="JD259" s="633"/>
      <c r="JE259" s="633"/>
      <c r="JF259" s="633"/>
      <c r="JG259" s="633"/>
      <c r="JH259" s="633"/>
      <c r="JI259" s="633"/>
      <c r="JJ259" s="633"/>
      <c r="JK259" s="633"/>
      <c r="JL259" s="633"/>
      <c r="JM259" s="633"/>
      <c r="JN259" s="633"/>
      <c r="JO259" s="633"/>
      <c r="JP259" s="633"/>
      <c r="JQ259" s="633"/>
      <c r="JR259" s="633"/>
      <c r="JS259" s="633"/>
      <c r="JT259" s="633"/>
      <c r="JU259" s="633"/>
      <c r="JV259" s="633"/>
      <c r="JW259" s="633"/>
      <c r="JX259" s="633"/>
      <c r="JY259" s="633"/>
      <c r="JZ259" s="633"/>
      <c r="KA259" s="633"/>
      <c r="KB259" s="633"/>
      <c r="KC259" s="633"/>
      <c r="KD259" s="633"/>
      <c r="KE259" s="633"/>
      <c r="KF259" s="633"/>
      <c r="KG259" s="633"/>
      <c r="KH259" s="633"/>
      <c r="KI259" s="633"/>
      <c r="KJ259" s="633"/>
      <c r="KK259" s="633"/>
      <c r="KL259" s="633"/>
      <c r="KM259" s="633"/>
      <c r="KN259" s="633"/>
      <c r="KO259" s="633"/>
      <c r="KP259" s="633"/>
      <c r="KQ259" s="633"/>
      <c r="KR259" s="633"/>
      <c r="KS259" s="633"/>
      <c r="KT259" s="633"/>
      <c r="KU259" s="633"/>
      <c r="KV259" s="633"/>
      <c r="KW259" s="633"/>
      <c r="KX259" s="633"/>
      <c r="KY259" s="633"/>
      <c r="KZ259" s="633"/>
      <c r="LA259" s="633"/>
      <c r="LB259" s="633"/>
      <c r="LC259" s="633"/>
      <c r="LD259" s="633"/>
      <c r="LE259" s="633"/>
      <c r="LF259" s="633"/>
      <c r="LG259" s="633"/>
      <c r="LH259" s="633"/>
      <c r="LI259" s="633"/>
      <c r="LJ259" s="633"/>
      <c r="LK259" s="633"/>
      <c r="LL259" s="633"/>
      <c r="LM259" s="633"/>
      <c r="LN259" s="633"/>
      <c r="LO259" s="633"/>
      <c r="LP259" s="633"/>
      <c r="LQ259" s="633"/>
      <c r="LR259" s="633"/>
      <c r="LS259" s="633"/>
      <c r="LT259" s="633"/>
      <c r="LU259" s="633"/>
      <c r="LV259" s="633"/>
      <c r="LW259" s="633"/>
      <c r="LX259" s="633"/>
      <c r="LY259" s="633"/>
      <c r="LZ259" s="633"/>
      <c r="MA259" s="633"/>
      <c r="MB259" s="633"/>
      <c r="MC259" s="633"/>
      <c r="MD259" s="633"/>
      <c r="ME259" s="633"/>
      <c r="MF259" s="633"/>
      <c r="MG259" s="633"/>
      <c r="MH259" s="633"/>
      <c r="MI259" s="633"/>
      <c r="MJ259" s="633"/>
      <c r="MK259" s="633"/>
      <c r="ML259" s="633"/>
      <c r="MM259" s="633"/>
      <c r="MN259" s="633"/>
      <c r="MO259" s="633"/>
      <c r="MP259" s="633"/>
      <c r="MQ259" s="633"/>
      <c r="MR259" s="633"/>
      <c r="MS259" s="633"/>
      <c r="MT259" s="633"/>
      <c r="MU259" s="633"/>
      <c r="MV259" s="633"/>
      <c r="MW259" s="633"/>
      <c r="MX259" s="633"/>
      <c r="MY259" s="633"/>
      <c r="MZ259" s="633"/>
      <c r="NA259" s="633"/>
      <c r="NB259" s="633"/>
      <c r="NC259" s="633"/>
      <c r="ND259" s="633"/>
      <c r="NE259" s="633"/>
      <c r="NF259" s="633"/>
      <c r="NG259" s="633"/>
      <c r="NH259" s="633"/>
      <c r="NI259" s="633"/>
      <c r="NJ259" s="633"/>
      <c r="NK259" s="633"/>
      <c r="NL259" s="633"/>
      <c r="NM259" s="633"/>
      <c r="NN259" s="633"/>
      <c r="NO259" s="633"/>
      <c r="NP259" s="633"/>
      <c r="NQ259" s="633"/>
      <c r="NR259" s="633"/>
      <c r="NS259" s="633"/>
      <c r="NT259" s="633"/>
      <c r="NU259" s="633"/>
      <c r="NV259" s="633"/>
      <c r="NW259" s="633"/>
      <c r="NX259" s="633"/>
      <c r="NY259" s="633"/>
      <c r="NZ259" s="633"/>
      <c r="OA259" s="633"/>
      <c r="OB259" s="633"/>
      <c r="OC259" s="633"/>
      <c r="OD259" s="633"/>
      <c r="OE259" s="633"/>
      <c r="OF259" s="633"/>
      <c r="OG259" s="633"/>
      <c r="OH259" s="633"/>
      <c r="OI259" s="633"/>
      <c r="OJ259" s="633"/>
      <c r="OK259" s="633"/>
      <c r="OL259" s="633"/>
      <c r="OM259" s="633"/>
      <c r="ON259" s="633"/>
      <c r="OO259" s="633"/>
      <c r="OP259" s="633"/>
      <c r="OQ259" s="633"/>
      <c r="OR259" s="633"/>
      <c r="OS259" s="633"/>
      <c r="OT259" s="633"/>
      <c r="OU259" s="633"/>
      <c r="OV259" s="633"/>
      <c r="OW259" s="633"/>
      <c r="OX259" s="633"/>
      <c r="OY259" s="633"/>
      <c r="OZ259" s="633"/>
      <c r="PA259" s="633"/>
      <c r="PB259" s="633"/>
      <c r="PC259" s="633"/>
      <c r="PD259" s="633"/>
      <c r="PE259" s="633"/>
      <c r="PF259" s="633"/>
      <c r="PG259" s="633"/>
      <c r="PH259" s="633"/>
      <c r="PI259" s="633"/>
      <c r="PJ259" s="633"/>
      <c r="PK259" s="633"/>
      <c r="PL259" s="633"/>
      <c r="PM259" s="633"/>
      <c r="PN259" s="633"/>
      <c r="PO259" s="633"/>
      <c r="PP259" s="633"/>
      <c r="PQ259" s="633"/>
      <c r="PR259" s="633"/>
      <c r="PS259" s="633"/>
      <c r="PT259" s="633"/>
      <c r="PU259" s="633"/>
      <c r="PV259" s="633"/>
      <c r="PW259" s="633"/>
      <c r="PX259" s="633"/>
      <c r="PY259" s="633"/>
      <c r="PZ259" s="633"/>
      <c r="QA259" s="633"/>
      <c r="QB259" s="633"/>
      <c r="QC259" s="633"/>
      <c r="QD259" s="633"/>
      <c r="QE259" s="633"/>
      <c r="QF259" s="633"/>
      <c r="QG259" s="633"/>
      <c r="QH259" s="633"/>
      <c r="QI259" s="633"/>
      <c r="QJ259" s="633"/>
      <c r="QK259" s="633"/>
      <c r="QL259" s="633"/>
      <c r="QM259" s="633"/>
      <c r="QN259" s="633"/>
      <c r="QO259" s="633"/>
      <c r="QP259" s="633"/>
      <c r="QQ259" s="633"/>
      <c r="QR259" s="633"/>
      <c r="QS259" s="633"/>
      <c r="QT259" s="633"/>
      <c r="QU259" s="633"/>
      <c r="QV259" s="633"/>
      <c r="QW259" s="633"/>
      <c r="QX259" s="633"/>
      <c r="QY259" s="633"/>
      <c r="QZ259" s="633"/>
      <c r="RA259" s="633"/>
      <c r="RB259" s="633"/>
      <c r="RC259" s="633"/>
      <c r="RD259" s="633"/>
      <c r="RE259" s="633"/>
      <c r="RF259" s="633"/>
      <c r="RG259" s="633"/>
      <c r="RH259" s="633"/>
      <c r="RI259" s="633"/>
      <c r="RJ259" s="633"/>
      <c r="RK259" s="633"/>
      <c r="RL259" s="633"/>
      <c r="RM259" s="633"/>
      <c r="RN259" s="633"/>
      <c r="RO259" s="633"/>
      <c r="RP259" s="633"/>
      <c r="RQ259" s="633"/>
      <c r="RR259" s="633"/>
      <c r="RS259" s="633"/>
      <c r="RT259" s="633"/>
      <c r="RU259" s="633"/>
      <c r="RV259" s="633"/>
      <c r="RW259" s="633"/>
      <c r="RX259" s="633"/>
      <c r="RY259" s="633"/>
      <c r="RZ259" s="633"/>
      <c r="SA259" s="633"/>
      <c r="SB259" s="633"/>
      <c r="SC259" s="633"/>
      <c r="SD259" s="633"/>
      <c r="SE259" s="633"/>
      <c r="SF259" s="633"/>
      <c r="SG259" s="633"/>
      <c r="SH259" s="633"/>
      <c r="SI259" s="633"/>
      <c r="SJ259" s="633"/>
      <c r="SK259" s="633"/>
      <c r="SL259" s="633"/>
      <c r="SM259" s="633"/>
      <c r="SN259" s="633"/>
      <c r="SO259" s="633"/>
      <c r="SP259" s="633"/>
      <c r="SQ259" s="633"/>
      <c r="SR259" s="633"/>
      <c r="SS259" s="633"/>
      <c r="ST259" s="633"/>
      <c r="SU259" s="633"/>
      <c r="SV259" s="633"/>
      <c r="SW259" s="633"/>
      <c r="SX259" s="633"/>
      <c r="SY259" s="633"/>
      <c r="SZ259" s="633"/>
      <c r="TA259" s="633"/>
      <c r="TB259" s="633"/>
      <c r="TC259" s="633"/>
      <c r="TD259" s="633"/>
      <c r="TE259" s="633"/>
      <c r="TF259" s="633"/>
      <c r="TG259" s="633"/>
      <c r="TH259" s="633"/>
      <c r="TI259" s="633"/>
      <c r="TJ259" s="633"/>
      <c r="TK259" s="633"/>
      <c r="TL259" s="633"/>
      <c r="TM259" s="633"/>
      <c r="TN259" s="633"/>
      <c r="TO259" s="633"/>
      <c r="TP259" s="633"/>
      <c r="TQ259" s="633"/>
      <c r="TR259" s="633"/>
      <c r="TS259" s="633"/>
      <c r="TT259" s="633"/>
      <c r="TU259" s="633"/>
      <c r="TV259" s="633"/>
      <c r="TW259" s="633"/>
      <c r="TX259" s="633"/>
      <c r="TY259" s="633"/>
      <c r="TZ259" s="633"/>
      <c r="UA259" s="633"/>
      <c r="UB259" s="633"/>
      <c r="UC259" s="633"/>
      <c r="UD259" s="633"/>
      <c r="UE259" s="633"/>
      <c r="UF259" s="633"/>
      <c r="UG259" s="633"/>
      <c r="UH259" s="633"/>
      <c r="UI259" s="633"/>
      <c r="UJ259" s="633"/>
      <c r="UK259" s="633"/>
      <c r="UL259" s="633"/>
      <c r="UM259" s="633"/>
      <c r="UN259" s="633"/>
      <c r="UO259" s="633"/>
      <c r="UP259" s="633"/>
      <c r="UQ259" s="633"/>
      <c r="UR259" s="633"/>
      <c r="US259" s="633"/>
      <c r="UT259" s="633"/>
      <c r="UU259" s="633"/>
      <c r="UV259" s="633"/>
      <c r="UW259" s="633"/>
      <c r="UX259" s="633"/>
      <c r="UY259" s="633"/>
      <c r="UZ259" s="633"/>
      <c r="VA259" s="633"/>
      <c r="VB259" s="633"/>
      <c r="VC259" s="633"/>
      <c r="VD259" s="633"/>
      <c r="VE259" s="633"/>
      <c r="VF259" s="633"/>
      <c r="VG259" s="633"/>
      <c r="VH259" s="633"/>
      <c r="VI259" s="633"/>
      <c r="VJ259" s="633"/>
      <c r="VK259" s="633"/>
      <c r="VL259" s="633"/>
      <c r="VM259" s="633"/>
      <c r="VN259" s="633"/>
      <c r="VO259" s="633"/>
      <c r="VP259" s="633"/>
      <c r="VQ259" s="633"/>
      <c r="VR259" s="633"/>
      <c r="VS259" s="633"/>
      <c r="VT259" s="633"/>
      <c r="VU259" s="633"/>
      <c r="VV259" s="633"/>
      <c r="VW259" s="633"/>
      <c r="VX259" s="633"/>
      <c r="VY259" s="633"/>
      <c r="VZ259" s="633"/>
      <c r="WA259" s="633"/>
      <c r="WB259" s="633"/>
      <c r="WC259" s="633"/>
      <c r="WD259" s="633"/>
      <c r="WE259" s="633"/>
      <c r="WF259" s="633"/>
      <c r="WG259" s="633"/>
      <c r="WH259" s="633"/>
      <c r="WI259" s="633"/>
      <c r="WJ259" s="633"/>
      <c r="WK259" s="633"/>
      <c r="WL259" s="633"/>
      <c r="WM259" s="633"/>
      <c r="WN259" s="633"/>
      <c r="WO259" s="633"/>
      <c r="WP259" s="633"/>
      <c r="WQ259" s="633"/>
      <c r="WR259" s="633"/>
      <c r="WS259" s="633"/>
      <c r="WT259" s="633"/>
      <c r="WU259" s="633"/>
      <c r="WV259" s="633"/>
      <c r="WW259" s="633"/>
      <c r="WX259" s="633"/>
      <c r="WY259" s="633"/>
      <c r="WZ259" s="633"/>
      <c r="XA259" s="633"/>
      <c r="XB259" s="633"/>
      <c r="XC259" s="633"/>
      <c r="XD259" s="633"/>
      <c r="XE259" s="633"/>
      <c r="XF259" s="633"/>
      <c r="XG259" s="633"/>
      <c r="XH259" s="633"/>
      <c r="XI259" s="633"/>
      <c r="XJ259" s="633"/>
      <c r="XK259" s="633"/>
      <c r="XL259" s="633"/>
      <c r="XM259" s="633"/>
      <c r="XN259" s="633"/>
      <c r="XO259" s="633"/>
      <c r="XP259" s="633"/>
      <c r="XQ259" s="633"/>
      <c r="XR259" s="633"/>
      <c r="XS259" s="633"/>
      <c r="XT259" s="633"/>
      <c r="XU259" s="633"/>
      <c r="XV259" s="633"/>
      <c r="XW259" s="633"/>
      <c r="XX259" s="633"/>
      <c r="XY259" s="633"/>
      <c r="XZ259" s="633"/>
      <c r="YA259" s="633"/>
      <c r="YB259" s="633"/>
      <c r="YC259" s="633"/>
      <c r="YD259" s="633"/>
      <c r="YE259" s="633"/>
      <c r="YF259" s="633"/>
      <c r="YG259" s="633"/>
      <c r="YH259" s="633"/>
      <c r="YI259" s="633"/>
      <c r="YJ259" s="633"/>
      <c r="YK259" s="633"/>
      <c r="YL259" s="633"/>
      <c r="YM259" s="633"/>
      <c r="YN259" s="633"/>
      <c r="YO259" s="633"/>
      <c r="YP259" s="633"/>
      <c r="YQ259" s="633"/>
      <c r="YR259" s="633"/>
      <c r="YS259" s="633"/>
      <c r="YT259" s="633"/>
      <c r="YU259" s="633"/>
      <c r="YV259" s="633"/>
      <c r="YW259" s="633"/>
      <c r="YX259" s="633"/>
      <c r="YY259" s="633"/>
      <c r="YZ259" s="633"/>
      <c r="ZA259" s="633"/>
      <c r="ZB259" s="633"/>
      <c r="ZC259" s="633"/>
      <c r="ZD259" s="633"/>
      <c r="ZE259" s="633"/>
      <c r="ZF259" s="633"/>
      <c r="ZG259" s="633"/>
      <c r="ZH259" s="633"/>
      <c r="ZI259" s="633"/>
      <c r="ZJ259" s="633"/>
      <c r="ZK259" s="633"/>
      <c r="ZL259" s="633"/>
      <c r="ZM259" s="633"/>
      <c r="ZN259" s="633"/>
      <c r="ZO259" s="633"/>
      <c r="ZP259" s="633"/>
      <c r="ZQ259" s="633"/>
      <c r="ZR259" s="633"/>
      <c r="ZS259" s="633"/>
      <c r="ZT259" s="633"/>
      <c r="ZU259" s="633"/>
      <c r="ZV259" s="633"/>
      <c r="ZW259" s="633"/>
      <c r="ZX259" s="633"/>
      <c r="ZY259" s="633"/>
      <c r="ZZ259" s="633"/>
      <c r="AAA259" s="633"/>
      <c r="AAB259" s="633"/>
      <c r="AAC259" s="633"/>
      <c r="AAD259" s="633"/>
      <c r="AAE259" s="633"/>
      <c r="AAF259" s="633"/>
      <c r="AAG259" s="633"/>
      <c r="AAH259" s="633"/>
      <c r="AAI259" s="633"/>
      <c r="AAJ259" s="633"/>
      <c r="AAK259" s="633"/>
      <c r="AAL259" s="633"/>
      <c r="AAM259" s="633"/>
      <c r="AAN259" s="633"/>
      <c r="AAO259" s="633"/>
      <c r="AAP259" s="633"/>
      <c r="AAQ259" s="633"/>
      <c r="AAR259" s="633"/>
      <c r="AAS259" s="633"/>
      <c r="AAT259" s="633"/>
      <c r="AAU259" s="633"/>
      <c r="AAV259" s="633"/>
      <c r="AAW259" s="633"/>
      <c r="AAX259" s="633"/>
      <c r="AAY259" s="633"/>
      <c r="AAZ259" s="633"/>
      <c r="ABA259" s="633"/>
      <c r="ABB259" s="633"/>
      <c r="ABC259" s="633"/>
      <c r="ABD259" s="633"/>
      <c r="ABE259" s="633"/>
      <c r="ABF259" s="633"/>
      <c r="ABG259" s="633"/>
      <c r="ABH259" s="633"/>
      <c r="ABI259" s="633"/>
      <c r="ABJ259" s="633"/>
      <c r="ABK259" s="633"/>
      <c r="ABL259" s="633"/>
      <c r="ABM259" s="633"/>
      <c r="ABN259" s="633"/>
      <c r="ABO259" s="633"/>
      <c r="ABP259" s="633"/>
      <c r="ABQ259" s="633"/>
      <c r="ABR259" s="633"/>
      <c r="ABS259" s="633"/>
      <c r="ABT259" s="633"/>
      <c r="ABU259" s="633"/>
      <c r="ABV259" s="633"/>
      <c r="ABW259" s="633"/>
      <c r="ABX259" s="633"/>
      <c r="ABY259" s="633"/>
      <c r="ABZ259" s="633"/>
      <c r="ACA259" s="633"/>
      <c r="ACB259" s="633"/>
      <c r="ACC259" s="633"/>
      <c r="ACD259" s="633"/>
      <c r="ACE259" s="633"/>
      <c r="ACF259" s="633"/>
      <c r="ACG259" s="633"/>
      <c r="ACH259" s="633"/>
      <c r="ACI259" s="633"/>
      <c r="ACJ259" s="633"/>
      <c r="ACK259" s="633"/>
      <c r="ACL259" s="633"/>
      <c r="ACM259" s="633"/>
      <c r="ACN259" s="633"/>
      <c r="ACO259" s="633"/>
      <c r="ACP259" s="633"/>
      <c r="ACQ259" s="633"/>
      <c r="ACR259" s="633"/>
      <c r="ACS259" s="633"/>
      <c r="ACT259" s="633"/>
      <c r="ACU259" s="633"/>
      <c r="ACV259" s="633"/>
      <c r="ACW259" s="633"/>
      <c r="ACX259" s="633"/>
      <c r="ACY259" s="633"/>
      <c r="ACZ259" s="633"/>
      <c r="ADA259" s="633"/>
      <c r="ADB259" s="633"/>
      <c r="ADC259" s="633"/>
      <c r="ADD259" s="633"/>
      <c r="ADE259" s="633"/>
      <c r="ADF259" s="633"/>
      <c r="ADG259" s="633"/>
      <c r="ADH259" s="633"/>
      <c r="ADI259" s="633"/>
      <c r="ADJ259" s="633"/>
      <c r="ADK259" s="633"/>
      <c r="ADL259" s="633"/>
      <c r="ADM259" s="633"/>
      <c r="ADN259" s="633"/>
      <c r="ADO259" s="633"/>
      <c r="ADP259" s="633"/>
      <c r="ADQ259" s="633"/>
      <c r="ADR259" s="633"/>
      <c r="ADS259" s="633"/>
      <c r="ADT259" s="633"/>
      <c r="ADU259" s="633"/>
      <c r="ADV259" s="633"/>
      <c r="ADW259" s="633"/>
      <c r="ADX259" s="633"/>
      <c r="ADY259" s="633"/>
      <c r="ADZ259" s="633"/>
      <c r="AEA259" s="633"/>
      <c r="AEB259" s="633"/>
      <c r="AEC259" s="633"/>
      <c r="AED259" s="633"/>
      <c r="AEE259" s="633"/>
      <c r="AEF259" s="633"/>
      <c r="AEG259" s="633"/>
      <c r="AEH259" s="633"/>
      <c r="AEI259" s="633"/>
      <c r="AEJ259" s="633"/>
      <c r="AEK259" s="633"/>
      <c r="AEL259" s="633"/>
      <c r="AEM259" s="633"/>
      <c r="AEN259" s="633"/>
      <c r="AEO259" s="633"/>
      <c r="AEP259" s="633"/>
      <c r="AEQ259" s="633"/>
      <c r="AER259" s="633"/>
      <c r="AES259" s="633"/>
      <c r="AET259" s="633"/>
      <c r="AEU259" s="633"/>
      <c r="AEV259" s="633"/>
      <c r="AEW259" s="633"/>
      <c r="AEX259" s="633"/>
      <c r="AEY259" s="633"/>
      <c r="AEZ259" s="633"/>
      <c r="AFA259" s="633"/>
      <c r="AFB259" s="633"/>
      <c r="AFC259" s="633"/>
      <c r="AFD259" s="633"/>
      <c r="AFE259" s="633"/>
      <c r="AFF259" s="633"/>
      <c r="AFG259" s="633"/>
      <c r="AFH259" s="633"/>
      <c r="AFI259" s="633"/>
      <c r="AFJ259" s="633"/>
      <c r="AFK259" s="633"/>
      <c r="AFL259" s="633"/>
      <c r="AFM259" s="633"/>
      <c r="AFN259" s="633"/>
      <c r="AFO259" s="633"/>
      <c r="AFP259" s="633"/>
      <c r="AFQ259" s="633"/>
      <c r="AFR259" s="633"/>
      <c r="AFS259" s="633"/>
      <c r="AFT259" s="633"/>
      <c r="AFU259" s="633"/>
      <c r="AFV259" s="633"/>
      <c r="AFW259" s="633"/>
      <c r="AFX259" s="633"/>
      <c r="AFY259" s="633"/>
      <c r="AFZ259" s="633"/>
      <c r="AGA259" s="633"/>
      <c r="AGB259" s="633"/>
      <c r="AGC259" s="633"/>
      <c r="AGD259" s="633"/>
      <c r="AGE259" s="633"/>
      <c r="AGF259" s="633"/>
      <c r="AGG259" s="633"/>
      <c r="AGH259" s="633"/>
      <c r="AGI259" s="633"/>
      <c r="AGJ259" s="633"/>
      <c r="AGK259" s="633"/>
      <c r="AGL259" s="633"/>
      <c r="AGM259" s="633"/>
      <c r="AGN259" s="633"/>
      <c r="AGO259" s="633"/>
      <c r="AGP259" s="633"/>
      <c r="AGQ259" s="633"/>
      <c r="AGR259" s="633"/>
      <c r="AGS259" s="633"/>
      <c r="AGT259" s="633"/>
      <c r="AGU259" s="633"/>
      <c r="AGV259" s="633"/>
      <c r="AGW259" s="633"/>
      <c r="AGX259" s="633"/>
      <c r="AGY259" s="633"/>
      <c r="AGZ259" s="633"/>
      <c r="AHA259" s="633"/>
      <c r="AHB259" s="633"/>
      <c r="AHC259" s="633"/>
      <c r="AHD259" s="633"/>
      <c r="AHE259" s="633"/>
      <c r="AHF259" s="633"/>
      <c r="AHG259" s="633"/>
      <c r="AHH259" s="633"/>
      <c r="AHI259" s="633"/>
      <c r="AHJ259" s="633"/>
      <c r="AHK259" s="633"/>
      <c r="AHL259" s="633"/>
      <c r="AHM259" s="633"/>
      <c r="AHN259" s="633"/>
      <c r="AHO259" s="633"/>
      <c r="AHP259" s="633"/>
      <c r="AHQ259" s="633"/>
      <c r="AHR259" s="633"/>
      <c r="AHS259" s="633"/>
      <c r="AHT259" s="633"/>
      <c r="AHU259" s="633"/>
      <c r="AHV259" s="633"/>
      <c r="AHW259" s="633"/>
      <c r="AHX259" s="633"/>
      <c r="AHY259" s="633"/>
      <c r="AHZ259" s="633"/>
      <c r="AIA259" s="633"/>
      <c r="AIB259" s="633"/>
      <c r="AIC259" s="633"/>
      <c r="AID259" s="633"/>
      <c r="AIE259" s="633"/>
      <c r="AIF259" s="633"/>
      <c r="AIG259" s="633"/>
      <c r="AIH259" s="633"/>
      <c r="AII259" s="633"/>
      <c r="AIJ259" s="633"/>
      <c r="AIK259" s="633"/>
      <c r="AIL259" s="633"/>
      <c r="AIM259" s="633"/>
      <c r="AIN259" s="633"/>
      <c r="AIO259" s="633"/>
      <c r="AIP259" s="633"/>
      <c r="AIQ259" s="633"/>
      <c r="AIR259" s="633"/>
      <c r="AIS259" s="633"/>
      <c r="AIT259" s="633"/>
      <c r="AIU259" s="633"/>
      <c r="AIV259" s="633"/>
      <c r="AIW259" s="633"/>
      <c r="AIX259" s="633"/>
      <c r="AIY259" s="633"/>
      <c r="AIZ259" s="633"/>
      <c r="AJA259" s="633"/>
      <c r="AJB259" s="633"/>
      <c r="AJC259" s="633"/>
      <c r="AJD259" s="633"/>
      <c r="AJE259" s="633"/>
      <c r="AJF259" s="633"/>
      <c r="AJG259" s="633"/>
      <c r="AJH259" s="633"/>
      <c r="AJI259" s="633"/>
      <c r="AJJ259" s="633"/>
      <c r="AJK259" s="633"/>
      <c r="AJL259" s="633"/>
      <c r="AJM259" s="633"/>
      <c r="AJN259" s="633"/>
      <c r="AJO259" s="633"/>
      <c r="AJP259" s="633"/>
      <c r="AJQ259" s="633"/>
      <c r="AJR259" s="633"/>
      <c r="AJS259" s="633"/>
      <c r="AJT259" s="633"/>
      <c r="AJU259" s="633"/>
      <c r="AJV259" s="633"/>
      <c r="AJW259" s="633"/>
      <c r="AJX259" s="633"/>
      <c r="AJY259" s="633"/>
      <c r="AJZ259" s="633"/>
      <c r="AKA259" s="633"/>
      <c r="AKB259" s="633"/>
      <c r="AKC259" s="633"/>
      <c r="AKD259" s="633"/>
      <c r="AKE259" s="633"/>
      <c r="AKF259" s="633"/>
      <c r="AKG259" s="633"/>
      <c r="AKH259" s="633"/>
      <c r="AKI259" s="633"/>
      <c r="AKJ259" s="633"/>
      <c r="AKK259" s="633"/>
      <c r="AKL259" s="633"/>
      <c r="AKM259" s="633"/>
      <c r="AKN259" s="633"/>
      <c r="AKO259" s="633"/>
      <c r="AKP259" s="633"/>
      <c r="AKQ259" s="633"/>
      <c r="AKR259" s="633"/>
      <c r="AKS259" s="633"/>
      <c r="AKT259" s="633"/>
      <c r="AKU259" s="633"/>
      <c r="AKV259" s="633"/>
      <c r="AKW259" s="633"/>
      <c r="AKX259" s="633"/>
      <c r="AKY259" s="633"/>
      <c r="AKZ259" s="633"/>
      <c r="ALA259" s="633"/>
      <c r="ALB259" s="633"/>
      <c r="ALC259" s="633"/>
      <c r="ALD259" s="633"/>
      <c r="ALE259" s="633"/>
      <c r="ALF259" s="633"/>
      <c r="ALG259" s="633"/>
      <c r="ALH259" s="633"/>
      <c r="ALI259" s="633"/>
      <c r="ALJ259" s="633"/>
      <c r="ALK259" s="633"/>
      <c r="ALL259" s="633"/>
      <c r="ALM259" s="633"/>
      <c r="ALN259" s="633"/>
      <c r="ALO259" s="633"/>
      <c r="ALP259" s="633"/>
      <c r="ALQ259" s="633"/>
      <c r="ALR259" s="633"/>
      <c r="ALS259" s="633"/>
      <c r="ALT259" s="633"/>
      <c r="ALU259" s="633"/>
      <c r="ALV259" s="633"/>
      <c r="ALW259" s="633"/>
      <c r="ALX259" s="633"/>
      <c r="ALY259" s="633"/>
      <c r="ALZ259" s="633"/>
      <c r="AMA259" s="633"/>
      <c r="AMB259" s="633"/>
      <c r="AMC259" s="633"/>
      <c r="AMD259" s="633"/>
      <c r="AME259" s="633"/>
      <c r="AMF259" s="633"/>
      <c r="AMG259" s="633"/>
      <c r="AMH259" s="633"/>
      <c r="AMI259" s="633"/>
      <c r="AMJ259" s="633"/>
      <c r="AMK259" s="633"/>
      <c r="AML259" s="633"/>
      <c r="AMM259" s="633"/>
      <c r="AMN259" s="633"/>
      <c r="AMO259" s="633"/>
      <c r="AMP259" s="633"/>
      <c r="AMQ259" s="633"/>
      <c r="AMR259" s="633"/>
      <c r="AMS259" s="633"/>
      <c r="AMT259" s="633"/>
      <c r="AMU259" s="633"/>
      <c r="AMV259" s="633"/>
      <c r="AMW259" s="633"/>
      <c r="AMX259" s="633"/>
      <c r="AMY259" s="633"/>
      <c r="AMZ259" s="633"/>
      <c r="ANA259" s="633"/>
      <c r="ANB259" s="633"/>
      <c r="ANC259" s="633"/>
      <c r="AND259" s="633"/>
      <c r="ANE259" s="633"/>
      <c r="ANF259" s="633"/>
      <c r="ANG259" s="633"/>
      <c r="ANH259" s="633"/>
      <c r="ANI259" s="633"/>
      <c r="ANJ259" s="633"/>
      <c r="ANK259" s="633"/>
      <c r="ANL259" s="633"/>
      <c r="ANM259" s="633"/>
      <c r="ANN259" s="633"/>
      <c r="ANO259" s="633"/>
      <c r="ANP259" s="633"/>
      <c r="ANQ259" s="633"/>
      <c r="ANR259" s="633"/>
      <c r="ANS259" s="633"/>
      <c r="ANT259" s="633"/>
      <c r="ANU259" s="633"/>
      <c r="ANV259" s="633"/>
      <c r="ANW259" s="633"/>
      <c r="ANX259" s="633"/>
      <c r="ANY259" s="633"/>
      <c r="ANZ259" s="633"/>
      <c r="AOA259" s="633"/>
      <c r="AOB259" s="633"/>
      <c r="AOC259" s="633"/>
      <c r="AOD259" s="633"/>
      <c r="AOE259" s="633"/>
      <c r="AOF259" s="633"/>
      <c r="AOG259" s="633"/>
      <c r="AOH259" s="633"/>
      <c r="AOI259" s="633"/>
      <c r="AOJ259" s="633"/>
      <c r="AOK259" s="633"/>
      <c r="AOL259" s="633"/>
      <c r="AOM259" s="633"/>
      <c r="AON259" s="633"/>
      <c r="AOO259" s="633"/>
      <c r="AOP259" s="633"/>
      <c r="AOQ259" s="633"/>
      <c r="AOR259" s="633"/>
      <c r="AOS259" s="633"/>
      <c r="AOT259" s="633"/>
      <c r="AOU259" s="633"/>
      <c r="AOV259" s="633"/>
      <c r="AOW259" s="633"/>
      <c r="AOX259" s="633"/>
      <c r="AOY259" s="633"/>
      <c r="AOZ259" s="633"/>
      <c r="APA259" s="633"/>
      <c r="APB259" s="633"/>
      <c r="APC259" s="633"/>
      <c r="APD259" s="633"/>
      <c r="APE259" s="633"/>
      <c r="APF259" s="633"/>
      <c r="APG259" s="633"/>
      <c r="APH259" s="633"/>
      <c r="API259" s="633"/>
      <c r="APJ259" s="633"/>
      <c r="APK259" s="633"/>
      <c r="APL259" s="633"/>
      <c r="APM259" s="633"/>
      <c r="APN259" s="633"/>
      <c r="APO259" s="633"/>
      <c r="APP259" s="633"/>
      <c r="APQ259" s="633"/>
      <c r="APR259" s="633"/>
      <c r="APS259" s="633"/>
      <c r="APT259" s="633"/>
      <c r="APU259" s="633"/>
      <c r="APV259" s="633"/>
      <c r="APW259" s="633"/>
      <c r="APX259" s="633"/>
      <c r="APY259" s="633"/>
      <c r="APZ259" s="633"/>
      <c r="AQA259" s="633"/>
      <c r="AQB259" s="633"/>
      <c r="AQC259" s="633"/>
      <c r="AQD259" s="633"/>
      <c r="AQE259" s="633"/>
      <c r="AQF259" s="633"/>
      <c r="AQG259" s="633"/>
      <c r="AQH259" s="633"/>
      <c r="AQI259" s="633"/>
      <c r="AQJ259" s="633"/>
      <c r="AQK259" s="633"/>
      <c r="AQL259" s="633"/>
      <c r="AQM259" s="633"/>
      <c r="AQN259" s="633"/>
      <c r="AQO259" s="633"/>
      <c r="AQP259" s="633"/>
      <c r="AQQ259" s="633"/>
      <c r="AQR259" s="633"/>
      <c r="AQS259" s="633"/>
      <c r="AQT259" s="633"/>
      <c r="AQU259" s="633"/>
      <c r="AQV259" s="633"/>
      <c r="AQW259" s="633"/>
      <c r="AQX259" s="633"/>
      <c r="AQY259" s="633"/>
      <c r="AQZ259" s="633"/>
      <c r="ARA259" s="633"/>
      <c r="ARB259" s="633"/>
      <c r="ARC259" s="633"/>
      <c r="ARD259" s="633"/>
      <c r="ARE259" s="633"/>
      <c r="ARF259" s="633"/>
      <c r="ARG259" s="633"/>
      <c r="ARH259" s="633"/>
      <c r="ARI259" s="633"/>
      <c r="ARJ259" s="633"/>
      <c r="ARK259" s="633"/>
      <c r="ARL259" s="633"/>
      <c r="ARM259" s="633"/>
      <c r="ARN259" s="633"/>
      <c r="ARO259" s="633"/>
      <c r="ARP259" s="633"/>
      <c r="ARQ259" s="633"/>
      <c r="ARR259" s="633"/>
      <c r="ARS259" s="633"/>
      <c r="ART259" s="633"/>
      <c r="ARU259" s="633"/>
      <c r="ARV259" s="633"/>
      <c r="ARW259" s="633"/>
      <c r="ARX259" s="633"/>
      <c r="ARY259" s="633"/>
      <c r="ARZ259" s="633"/>
      <c r="ASA259" s="633"/>
      <c r="ASB259" s="633"/>
      <c r="ASC259" s="633"/>
      <c r="ASD259" s="633"/>
      <c r="ASE259" s="633"/>
      <c r="ASF259" s="633"/>
      <c r="ASG259" s="633"/>
      <c r="ASH259" s="633"/>
      <c r="ASI259" s="633"/>
      <c r="ASJ259" s="633"/>
      <c r="ASK259" s="633"/>
      <c r="ASL259" s="633"/>
      <c r="ASM259" s="633"/>
      <c r="ASN259" s="633"/>
      <c r="ASO259" s="633"/>
      <c r="ASP259" s="633"/>
      <c r="ASQ259" s="633"/>
      <c r="ASR259" s="633"/>
      <c r="ASS259" s="633"/>
      <c r="AST259" s="633"/>
      <c r="ASU259" s="633"/>
      <c r="ASV259" s="633"/>
      <c r="ASW259" s="633"/>
      <c r="ASX259" s="633"/>
      <c r="ASY259" s="633"/>
      <c r="ASZ259" s="633"/>
      <c r="ATA259" s="633"/>
      <c r="ATB259" s="633"/>
      <c r="ATC259" s="633"/>
      <c r="ATD259" s="633"/>
      <c r="ATE259" s="633"/>
      <c r="ATF259" s="633"/>
      <c r="ATG259" s="633"/>
      <c r="ATH259" s="633"/>
      <c r="ATI259" s="633"/>
      <c r="ATJ259" s="633"/>
      <c r="ATK259" s="633"/>
      <c r="ATL259" s="633"/>
      <c r="ATM259" s="633"/>
      <c r="ATN259" s="633"/>
      <c r="ATO259" s="633"/>
      <c r="ATP259" s="633"/>
      <c r="ATQ259" s="633"/>
      <c r="ATR259" s="633"/>
      <c r="ATS259" s="633"/>
      <c r="ATT259" s="633"/>
      <c r="ATU259" s="633"/>
      <c r="ATV259" s="633"/>
      <c r="ATW259" s="633"/>
      <c r="ATX259" s="633"/>
      <c r="ATY259" s="633"/>
      <c r="ATZ259" s="633"/>
      <c r="AUA259" s="633"/>
      <c r="AUB259" s="633"/>
      <c r="AUC259" s="633"/>
      <c r="AUD259" s="633"/>
      <c r="AUE259" s="633"/>
      <c r="AUF259" s="633"/>
      <c r="AUG259" s="633"/>
      <c r="AUH259" s="633"/>
      <c r="AUI259" s="633"/>
      <c r="AUJ259" s="633"/>
      <c r="AUK259" s="633"/>
      <c r="AUL259" s="633"/>
      <c r="AUM259" s="633"/>
      <c r="AUN259" s="633"/>
      <c r="AUO259" s="633"/>
      <c r="AUP259" s="633"/>
      <c r="AUQ259" s="633"/>
      <c r="AUR259" s="633"/>
      <c r="AUS259" s="633"/>
      <c r="AUT259" s="633"/>
      <c r="AUU259" s="633"/>
      <c r="AUV259" s="633"/>
      <c r="AUW259" s="633"/>
      <c r="AUX259" s="633"/>
      <c r="AUY259" s="633"/>
      <c r="AUZ259" s="633"/>
      <c r="AVA259" s="633"/>
      <c r="AVB259" s="633"/>
      <c r="AVC259" s="633"/>
      <c r="AVD259" s="633"/>
      <c r="AVE259" s="633"/>
      <c r="AVF259" s="633"/>
      <c r="AVG259" s="633"/>
      <c r="AVH259" s="633"/>
      <c r="AVI259" s="633"/>
      <c r="AVJ259" s="633"/>
      <c r="AVK259" s="633"/>
      <c r="AVL259" s="633"/>
      <c r="AVM259" s="633"/>
      <c r="AVN259" s="633"/>
      <c r="AVO259" s="633"/>
      <c r="AVP259" s="633"/>
      <c r="AVQ259" s="633"/>
      <c r="AVR259" s="633"/>
      <c r="AVS259" s="633"/>
      <c r="AVT259" s="633"/>
      <c r="AVU259" s="633"/>
      <c r="AVV259" s="633"/>
      <c r="AVW259" s="633"/>
      <c r="AVX259" s="633"/>
      <c r="AVY259" s="633"/>
      <c r="AVZ259" s="633"/>
      <c r="AWA259" s="633"/>
      <c r="AWB259" s="633"/>
      <c r="AWC259" s="633"/>
      <c r="AWD259" s="633"/>
      <c r="AWE259" s="633"/>
      <c r="AWF259" s="633"/>
      <c r="AWG259" s="633"/>
      <c r="AWH259" s="633"/>
      <c r="AWI259" s="633"/>
      <c r="AWJ259" s="633"/>
      <c r="AWK259" s="633"/>
      <c r="AWL259" s="633"/>
      <c r="AWM259" s="633"/>
      <c r="AWN259" s="633"/>
      <c r="AWO259" s="633"/>
      <c r="AWP259" s="633"/>
      <c r="AWQ259" s="633"/>
      <c r="AWR259" s="633"/>
      <c r="AWS259" s="633"/>
      <c r="AWT259" s="633"/>
      <c r="AWU259" s="633"/>
      <c r="AWV259" s="633"/>
      <c r="AWW259" s="633"/>
      <c r="AWX259" s="633"/>
      <c r="AWY259" s="633"/>
      <c r="AWZ259" s="633"/>
      <c r="AXA259" s="633"/>
      <c r="AXB259" s="633"/>
      <c r="AXC259" s="633"/>
      <c r="AXD259" s="633"/>
      <c r="AXE259" s="633"/>
      <c r="AXF259" s="633"/>
      <c r="AXG259" s="633"/>
      <c r="AXH259" s="633"/>
      <c r="AXI259" s="633"/>
      <c r="AXJ259" s="633"/>
      <c r="AXK259" s="633"/>
      <c r="AXL259" s="633"/>
      <c r="AXM259" s="633"/>
      <c r="AXN259" s="633"/>
      <c r="AXO259" s="633"/>
      <c r="AXP259" s="633"/>
      <c r="AXQ259" s="633"/>
      <c r="AXR259" s="633"/>
      <c r="AXS259" s="633"/>
      <c r="AXT259" s="633"/>
      <c r="AXU259" s="633"/>
      <c r="AXV259" s="633"/>
      <c r="AXW259" s="633"/>
      <c r="AXX259" s="633"/>
      <c r="AXY259" s="633"/>
      <c r="AXZ259" s="633"/>
      <c r="AYA259" s="633"/>
      <c r="AYB259" s="633"/>
      <c r="AYC259" s="633"/>
      <c r="AYD259" s="633"/>
      <c r="AYE259" s="633"/>
      <c r="AYF259" s="633"/>
      <c r="AYG259" s="633"/>
      <c r="AYH259" s="633"/>
      <c r="AYI259" s="633"/>
      <c r="AYJ259" s="633"/>
      <c r="AYK259" s="633"/>
      <c r="AYL259" s="633"/>
      <c r="AYM259" s="633"/>
      <c r="AYN259" s="633"/>
      <c r="AYO259" s="633"/>
      <c r="AYP259" s="633"/>
      <c r="AYQ259" s="633"/>
      <c r="AYR259" s="633"/>
      <c r="AYS259" s="633"/>
      <c r="AYT259" s="633"/>
      <c r="AYU259" s="633"/>
      <c r="AYV259" s="633"/>
      <c r="AYW259" s="633"/>
      <c r="AYX259" s="633"/>
      <c r="AYY259" s="633"/>
      <c r="AYZ259" s="633"/>
      <c r="AZA259" s="633"/>
      <c r="AZB259" s="633"/>
      <c r="AZC259" s="633"/>
      <c r="AZD259" s="633"/>
      <c r="AZE259" s="633"/>
      <c r="AZF259" s="633"/>
      <c r="AZG259" s="633"/>
      <c r="AZH259" s="633"/>
      <c r="AZI259" s="633"/>
      <c r="AZJ259" s="633"/>
      <c r="AZK259" s="633"/>
      <c r="AZL259" s="633"/>
      <c r="AZM259" s="633"/>
      <c r="AZN259" s="633"/>
      <c r="AZO259" s="633"/>
      <c r="AZP259" s="633"/>
      <c r="AZQ259" s="633"/>
      <c r="AZR259" s="633"/>
      <c r="AZS259" s="633"/>
      <c r="AZT259" s="633"/>
      <c r="AZU259" s="633"/>
      <c r="AZV259" s="633"/>
      <c r="AZW259" s="633"/>
      <c r="AZX259" s="633"/>
      <c r="AZY259" s="633"/>
      <c r="AZZ259" s="633"/>
      <c r="BAA259" s="633"/>
      <c r="BAB259" s="633"/>
      <c r="BAC259" s="633"/>
      <c r="BAD259" s="633"/>
      <c r="BAE259" s="633"/>
      <c r="BAF259" s="633"/>
      <c r="BAG259" s="633"/>
      <c r="BAH259" s="633"/>
      <c r="BAI259" s="633"/>
      <c r="BAJ259" s="633"/>
      <c r="BAK259" s="633"/>
      <c r="BAL259" s="633"/>
      <c r="BAM259" s="633"/>
      <c r="BAN259" s="633"/>
      <c r="BAO259" s="633"/>
      <c r="BAP259" s="633"/>
      <c r="BAQ259" s="633"/>
      <c r="BAR259" s="633"/>
      <c r="BAS259" s="633"/>
      <c r="BAT259" s="633"/>
      <c r="BAU259" s="633"/>
      <c r="BAV259" s="633"/>
      <c r="BAW259" s="633"/>
      <c r="BAX259" s="633"/>
      <c r="BAY259" s="633"/>
      <c r="BAZ259" s="633"/>
      <c r="BBA259" s="633"/>
      <c r="BBB259" s="633"/>
      <c r="BBC259" s="633"/>
      <c r="BBD259" s="633"/>
      <c r="BBE259" s="633"/>
      <c r="BBF259" s="633"/>
      <c r="BBG259" s="633"/>
      <c r="BBH259" s="633"/>
      <c r="BBI259" s="633"/>
      <c r="BBJ259" s="633"/>
      <c r="BBK259" s="633"/>
      <c r="BBL259" s="633"/>
      <c r="BBM259" s="633"/>
      <c r="BBN259" s="633"/>
      <c r="BBO259" s="633"/>
      <c r="BBP259" s="633"/>
      <c r="BBQ259" s="633"/>
      <c r="BBR259" s="633"/>
      <c r="BBS259" s="633"/>
      <c r="BBT259" s="633"/>
      <c r="BBU259" s="633"/>
      <c r="BBV259" s="633"/>
      <c r="BBW259" s="633"/>
      <c r="BBX259" s="633"/>
      <c r="BBY259" s="633"/>
      <c r="BBZ259" s="633"/>
      <c r="BCA259" s="633"/>
      <c r="BCB259" s="633"/>
      <c r="BCC259" s="633"/>
      <c r="BCD259" s="633"/>
      <c r="BCE259" s="633"/>
      <c r="BCF259" s="633"/>
      <c r="BCG259" s="633"/>
      <c r="BCH259" s="633"/>
      <c r="BCI259" s="633"/>
      <c r="BCJ259" s="633"/>
      <c r="BCK259" s="633"/>
      <c r="BCL259" s="633"/>
      <c r="BCM259" s="633"/>
      <c r="BCN259" s="633"/>
      <c r="BCO259" s="633"/>
      <c r="BCP259" s="633"/>
      <c r="BCQ259" s="633"/>
      <c r="BCR259" s="633"/>
      <c r="BCS259" s="633"/>
      <c r="BCT259" s="633"/>
      <c r="BCU259" s="633"/>
      <c r="BCV259" s="633"/>
      <c r="BCW259" s="633"/>
      <c r="BCX259" s="633"/>
      <c r="BCY259" s="633"/>
      <c r="BCZ259" s="633"/>
      <c r="BDA259" s="633"/>
      <c r="BDB259" s="633"/>
      <c r="BDC259" s="633"/>
      <c r="BDD259" s="633"/>
      <c r="BDE259" s="633"/>
      <c r="BDF259" s="633"/>
      <c r="BDG259" s="633"/>
      <c r="BDH259" s="633"/>
      <c r="BDI259" s="633"/>
      <c r="BDJ259" s="633"/>
      <c r="BDK259" s="633"/>
      <c r="BDL259" s="633"/>
      <c r="BDM259" s="633"/>
      <c r="BDN259" s="633"/>
      <c r="BDO259" s="633"/>
      <c r="BDP259" s="633"/>
      <c r="BDQ259" s="633"/>
      <c r="BDR259" s="633"/>
      <c r="BDS259" s="633"/>
      <c r="BDT259" s="633"/>
      <c r="BDU259" s="633"/>
      <c r="BDV259" s="633"/>
      <c r="BDW259" s="633"/>
      <c r="BDX259" s="633"/>
      <c r="BDY259" s="633"/>
      <c r="BDZ259" s="633"/>
      <c r="BEA259" s="633"/>
      <c r="BEB259" s="633"/>
      <c r="BEC259" s="633"/>
      <c r="BED259" s="633"/>
      <c r="BEE259" s="633"/>
      <c r="BEF259" s="633"/>
      <c r="BEG259" s="633"/>
      <c r="BEH259" s="633"/>
      <c r="BEI259" s="633"/>
      <c r="BEJ259" s="633"/>
      <c r="BEK259" s="633"/>
      <c r="BEL259" s="633"/>
      <c r="BEM259" s="633"/>
      <c r="BEN259" s="633"/>
      <c r="BEO259" s="633"/>
      <c r="BEP259" s="633"/>
      <c r="BEQ259" s="633"/>
      <c r="BER259" s="633"/>
      <c r="BES259" s="633"/>
      <c r="BET259" s="633"/>
      <c r="BEU259" s="633"/>
      <c r="BEV259" s="633"/>
      <c r="BEW259" s="633"/>
      <c r="BEX259" s="633"/>
      <c r="BEY259" s="633"/>
      <c r="BEZ259" s="633"/>
      <c r="BFA259" s="633"/>
      <c r="BFB259" s="633"/>
      <c r="BFC259" s="633"/>
      <c r="BFD259" s="633"/>
      <c r="BFE259" s="633"/>
      <c r="BFF259" s="633"/>
      <c r="BFG259" s="633"/>
      <c r="BFH259" s="633"/>
      <c r="BFI259" s="633"/>
      <c r="BFJ259" s="633"/>
      <c r="BFK259" s="633"/>
      <c r="BFL259" s="633"/>
      <c r="BFM259" s="633"/>
      <c r="BFN259" s="633"/>
      <c r="BFO259" s="633"/>
      <c r="BFP259" s="633"/>
      <c r="BFQ259" s="633"/>
      <c r="BFR259" s="633"/>
      <c r="BFS259" s="633"/>
      <c r="BFT259" s="633"/>
      <c r="BFU259" s="633"/>
      <c r="BFV259" s="633"/>
      <c r="BFW259" s="633"/>
      <c r="BFX259" s="633"/>
      <c r="BFY259" s="633"/>
      <c r="BFZ259" s="633"/>
      <c r="BGA259" s="633"/>
      <c r="BGB259" s="633"/>
      <c r="BGC259" s="633"/>
      <c r="BGD259" s="633"/>
      <c r="BGE259" s="633"/>
      <c r="BGF259" s="633"/>
      <c r="BGG259" s="633"/>
      <c r="BGH259" s="633"/>
      <c r="BGI259" s="633"/>
      <c r="BGJ259" s="633"/>
      <c r="BGK259" s="633"/>
      <c r="BGL259" s="633"/>
      <c r="BGM259" s="633"/>
      <c r="BGN259" s="633"/>
      <c r="BGO259" s="633"/>
      <c r="BGP259" s="633"/>
      <c r="BGQ259" s="633"/>
      <c r="BGR259" s="633"/>
      <c r="BGS259" s="633"/>
      <c r="BGT259" s="633"/>
      <c r="BGU259" s="633"/>
      <c r="BGV259" s="633"/>
      <c r="BGW259" s="633"/>
      <c r="BGX259" s="633"/>
      <c r="BGY259" s="633"/>
      <c r="BGZ259" s="633"/>
      <c r="BHA259" s="633"/>
      <c r="BHB259" s="633"/>
      <c r="BHC259" s="633"/>
      <c r="BHD259" s="633"/>
      <c r="BHE259" s="633"/>
      <c r="BHF259" s="633"/>
      <c r="BHG259" s="633"/>
      <c r="BHH259" s="633"/>
      <c r="BHI259" s="633"/>
      <c r="BHJ259" s="633"/>
      <c r="BHK259" s="633"/>
      <c r="BHL259" s="633"/>
      <c r="BHM259" s="633"/>
      <c r="BHN259" s="633"/>
      <c r="BHO259" s="633"/>
      <c r="BHP259" s="633"/>
      <c r="BHQ259" s="633"/>
      <c r="BHR259" s="633"/>
      <c r="BHS259" s="633"/>
      <c r="BHT259" s="633"/>
      <c r="BHU259" s="633"/>
      <c r="BHV259" s="633"/>
      <c r="BHW259" s="633"/>
      <c r="BHX259" s="633"/>
      <c r="BHY259" s="633"/>
      <c r="BHZ259" s="633"/>
      <c r="BIA259" s="633"/>
      <c r="BIB259" s="633"/>
      <c r="BIC259" s="633"/>
      <c r="BID259" s="633"/>
      <c r="BIE259" s="633"/>
      <c r="BIF259" s="633"/>
      <c r="BIG259" s="633"/>
      <c r="BIH259" s="633"/>
      <c r="BII259" s="633"/>
      <c r="BIJ259" s="633"/>
      <c r="BIK259" s="633"/>
      <c r="BIL259" s="633"/>
      <c r="BIM259" s="633"/>
      <c r="BIN259" s="633"/>
      <c r="BIO259" s="633"/>
      <c r="BIP259" s="633"/>
      <c r="BIQ259" s="633"/>
      <c r="BIR259" s="633"/>
      <c r="BIS259" s="633"/>
      <c r="BIT259" s="633"/>
      <c r="BIU259" s="633"/>
      <c r="BIV259" s="633"/>
      <c r="BIW259" s="633"/>
      <c r="BIX259" s="633"/>
      <c r="BIY259" s="633"/>
      <c r="BIZ259" s="633"/>
      <c r="BJA259" s="633"/>
      <c r="BJB259" s="633"/>
      <c r="BJC259" s="633"/>
      <c r="BJD259" s="633"/>
      <c r="BJE259" s="633"/>
      <c r="BJF259" s="633"/>
      <c r="BJG259" s="633"/>
      <c r="BJH259" s="633"/>
      <c r="BJI259" s="633"/>
      <c r="BJJ259" s="633"/>
      <c r="BJK259" s="633"/>
      <c r="BJL259" s="633"/>
      <c r="BJM259" s="633"/>
      <c r="BJN259" s="633"/>
      <c r="BJO259" s="633"/>
      <c r="BJP259" s="633"/>
      <c r="BJQ259" s="633"/>
      <c r="BJR259" s="633"/>
      <c r="BJS259" s="633"/>
      <c r="BJT259" s="633"/>
      <c r="BJU259" s="633"/>
      <c r="BJV259" s="633"/>
      <c r="BJW259" s="633"/>
      <c r="BJX259" s="633"/>
      <c r="BJY259" s="633"/>
      <c r="BJZ259" s="633"/>
      <c r="BKA259" s="633"/>
      <c r="BKB259" s="633"/>
      <c r="BKC259" s="633"/>
      <c r="BKD259" s="633"/>
      <c r="BKE259" s="633"/>
      <c r="BKF259" s="633"/>
      <c r="BKG259" s="633"/>
      <c r="BKH259" s="633"/>
      <c r="BKI259" s="633"/>
      <c r="BKJ259" s="633"/>
      <c r="BKK259" s="633"/>
      <c r="BKL259" s="633"/>
      <c r="BKM259" s="633"/>
      <c r="BKN259" s="633"/>
      <c r="BKO259" s="633"/>
      <c r="BKP259" s="633"/>
      <c r="BKQ259" s="633"/>
      <c r="BKR259" s="633"/>
      <c r="BKS259" s="633"/>
      <c r="BKT259" s="633"/>
      <c r="BKU259" s="633"/>
      <c r="BKV259" s="633"/>
      <c r="BKW259" s="633"/>
      <c r="BKX259" s="633"/>
      <c r="BKY259" s="633"/>
      <c r="BKZ259" s="633"/>
      <c r="BLA259" s="633"/>
      <c r="BLB259" s="633"/>
      <c r="BLC259" s="633"/>
      <c r="BLD259" s="633"/>
      <c r="BLE259" s="633"/>
      <c r="BLF259" s="633"/>
      <c r="BLG259" s="633"/>
      <c r="BLH259" s="633"/>
      <c r="BLI259" s="633"/>
      <c r="BLJ259" s="633"/>
      <c r="BLK259" s="633"/>
      <c r="BLL259" s="633"/>
      <c r="BLM259" s="633"/>
      <c r="BLN259" s="633"/>
      <c r="BLO259" s="633"/>
      <c r="BLP259" s="633"/>
      <c r="BLQ259" s="633"/>
      <c r="BLR259" s="633"/>
      <c r="BLS259" s="633"/>
      <c r="BLT259" s="633"/>
      <c r="BLU259" s="633"/>
      <c r="BLV259" s="633"/>
      <c r="BLW259" s="633"/>
      <c r="BLX259" s="633"/>
      <c r="BLY259" s="633"/>
      <c r="BLZ259" s="633"/>
      <c r="BMA259" s="633"/>
      <c r="BMB259" s="633"/>
      <c r="BMC259" s="633"/>
      <c r="BMD259" s="633"/>
      <c r="BME259" s="633"/>
      <c r="BMF259" s="633"/>
      <c r="BMG259" s="633"/>
      <c r="BMH259" s="633"/>
      <c r="BMI259" s="633"/>
      <c r="BMJ259" s="633"/>
      <c r="BMK259" s="633"/>
      <c r="BML259" s="633"/>
      <c r="BMM259" s="633"/>
      <c r="BMN259" s="633"/>
      <c r="BMO259" s="633"/>
      <c r="BMP259" s="633"/>
      <c r="BMQ259" s="633"/>
      <c r="BMR259" s="633"/>
      <c r="BMS259" s="633"/>
      <c r="BMT259" s="633"/>
      <c r="BMU259" s="633"/>
      <c r="BMV259" s="633"/>
      <c r="BMW259" s="633"/>
      <c r="BMX259" s="633"/>
      <c r="BMY259" s="633"/>
      <c r="BMZ259" s="633"/>
      <c r="BNA259" s="633"/>
      <c r="BNB259" s="633"/>
      <c r="BNC259" s="633"/>
      <c r="BND259" s="633"/>
      <c r="BNE259" s="633"/>
      <c r="BNF259" s="633"/>
      <c r="BNG259" s="633"/>
      <c r="BNH259" s="633"/>
      <c r="BNI259" s="633"/>
      <c r="BNJ259" s="633"/>
      <c r="BNK259" s="633"/>
      <c r="BNL259" s="633"/>
      <c r="BNM259" s="633"/>
      <c r="BNN259" s="633"/>
      <c r="BNO259" s="633"/>
      <c r="BNP259" s="633"/>
      <c r="BNQ259" s="633"/>
      <c r="BNR259" s="633"/>
      <c r="BNS259" s="633"/>
      <c r="BNT259" s="633"/>
      <c r="BNU259" s="633"/>
      <c r="BNV259" s="633"/>
      <c r="BNW259" s="633"/>
      <c r="BNX259" s="633"/>
      <c r="BNY259" s="633"/>
      <c r="BNZ259" s="633"/>
      <c r="BOA259" s="633"/>
      <c r="BOB259" s="633"/>
      <c r="BOC259" s="633"/>
      <c r="BOD259" s="633"/>
      <c r="BOE259" s="633"/>
      <c r="BOF259" s="633"/>
      <c r="BOG259" s="633"/>
      <c r="BOH259" s="633"/>
      <c r="BOI259" s="633"/>
      <c r="BOJ259" s="633"/>
      <c r="BOK259" s="633"/>
      <c r="BOL259" s="633"/>
      <c r="BOM259" s="633"/>
      <c r="BON259" s="633"/>
      <c r="BOO259" s="633"/>
      <c r="BOP259" s="633"/>
      <c r="BOQ259" s="633"/>
      <c r="BOR259" s="633"/>
      <c r="BOS259" s="633"/>
      <c r="BOT259" s="633"/>
      <c r="BOU259" s="633"/>
      <c r="BOV259" s="633"/>
      <c r="BOW259" s="633"/>
      <c r="BOX259" s="633"/>
      <c r="BOY259" s="633"/>
      <c r="BOZ259" s="633"/>
      <c r="BPA259" s="633"/>
      <c r="BPB259" s="633"/>
      <c r="BPC259" s="633"/>
      <c r="BPD259" s="633"/>
      <c r="BPE259" s="633"/>
      <c r="BPF259" s="633"/>
      <c r="BPG259" s="633"/>
      <c r="BPH259" s="633"/>
      <c r="BPI259" s="633"/>
      <c r="BPJ259" s="633"/>
      <c r="BPK259" s="633"/>
      <c r="BPL259" s="633"/>
      <c r="BPM259" s="633"/>
      <c r="BPN259" s="633"/>
      <c r="BPO259" s="633"/>
      <c r="BPP259" s="633"/>
      <c r="BPQ259" s="633"/>
      <c r="BPR259" s="633"/>
      <c r="BPS259" s="633"/>
      <c r="BPT259" s="633"/>
      <c r="BPU259" s="633"/>
      <c r="BPV259" s="633"/>
      <c r="BPW259" s="633"/>
      <c r="BPX259" s="633"/>
      <c r="BPY259" s="633"/>
      <c r="BPZ259" s="633"/>
      <c r="BQA259" s="633"/>
      <c r="BQB259" s="633"/>
      <c r="BQC259" s="633"/>
      <c r="BQD259" s="633"/>
      <c r="BQE259" s="633"/>
      <c r="BQF259" s="633"/>
      <c r="BQG259" s="633"/>
      <c r="BQH259" s="633"/>
      <c r="BQI259" s="633"/>
      <c r="BQJ259" s="633"/>
      <c r="BQK259" s="633"/>
      <c r="BQL259" s="633"/>
      <c r="BQM259" s="633"/>
      <c r="BQN259" s="633"/>
      <c r="BQO259" s="633"/>
      <c r="BQP259" s="633"/>
      <c r="BQQ259" s="633"/>
      <c r="BQR259" s="633"/>
      <c r="BQS259" s="633"/>
      <c r="BQT259" s="633"/>
      <c r="BQU259" s="633"/>
      <c r="BQV259" s="633"/>
      <c r="BQW259" s="633"/>
      <c r="BQX259" s="633"/>
      <c r="BQY259" s="633"/>
      <c r="BQZ259" s="633"/>
      <c r="BRA259" s="633"/>
      <c r="BRB259" s="633"/>
      <c r="BRC259" s="633"/>
      <c r="BRD259" s="633"/>
      <c r="BRE259" s="633"/>
      <c r="BRF259" s="633"/>
      <c r="BRG259" s="633"/>
      <c r="BRH259" s="633"/>
      <c r="BRI259" s="633"/>
      <c r="BRJ259" s="633"/>
      <c r="BRK259" s="633"/>
      <c r="BRL259" s="633"/>
      <c r="BRM259" s="633"/>
      <c r="BRN259" s="633"/>
      <c r="BRO259" s="633"/>
      <c r="BRP259" s="633"/>
      <c r="BRQ259" s="633"/>
      <c r="BRR259" s="633"/>
      <c r="BRS259" s="633"/>
      <c r="BRT259" s="633"/>
      <c r="BRU259" s="633"/>
      <c r="BRV259" s="633"/>
      <c r="BRW259" s="633"/>
      <c r="BRX259" s="633"/>
      <c r="BRY259" s="633"/>
      <c r="BRZ259" s="633"/>
      <c r="BSA259" s="633"/>
      <c r="BSB259" s="633"/>
      <c r="BSC259" s="633"/>
      <c r="BSD259" s="633"/>
      <c r="BSE259" s="633"/>
      <c r="BSF259" s="633"/>
      <c r="BSG259" s="633"/>
      <c r="BSH259" s="633"/>
      <c r="BSI259" s="633"/>
      <c r="BSJ259" s="633"/>
      <c r="BSK259" s="633"/>
      <c r="BSL259" s="633"/>
      <c r="BSM259" s="633"/>
      <c r="BSN259" s="633"/>
      <c r="BSO259" s="633"/>
      <c r="BSP259" s="633"/>
      <c r="BSQ259" s="633"/>
      <c r="BSR259" s="633"/>
      <c r="BSS259" s="633"/>
      <c r="BST259" s="633"/>
      <c r="BSU259" s="633"/>
      <c r="BSV259" s="633"/>
      <c r="BSW259" s="633"/>
      <c r="BSX259" s="633"/>
      <c r="BSY259" s="633"/>
      <c r="BSZ259" s="633"/>
      <c r="BTA259" s="633"/>
      <c r="BTB259" s="633"/>
      <c r="BTC259" s="633"/>
      <c r="BTD259" s="633"/>
      <c r="BTE259" s="633"/>
      <c r="BTF259" s="633"/>
      <c r="BTG259" s="633"/>
      <c r="BTH259" s="633"/>
      <c r="BTI259" s="633"/>
    </row>
    <row r="260" spans="1:1881" s="499" customFormat="1" ht="30.75" customHeight="1" thickBot="1" x14ac:dyDescent="0.3">
      <c r="A260" s="587">
        <v>960</v>
      </c>
      <c r="B260" s="952" t="s">
        <v>1095</v>
      </c>
      <c r="C260" s="953"/>
      <c r="D260" s="954"/>
      <c r="E260" s="955"/>
      <c r="F260" s="886" t="str">
        <f>IF(ISBLANK($D260),"&lt;&lt;&lt;&lt;&lt;&lt;&lt;&lt;&lt;&lt;&lt;&lt;&lt;&lt;&lt;&lt;&lt;&lt;&lt;","")</f>
        <v>&lt;&lt;&lt;&lt;&lt;&lt;&lt;&lt;&lt;&lt;&lt;&lt;&lt;&lt;&lt;&lt;&lt;&lt;&lt;</v>
      </c>
      <c r="G260" s="886" t="str">
        <f>IF(ISBLANK($D260),"Cell D260 must be completed.","")</f>
        <v>Cell D260 must be completed.</v>
      </c>
      <c r="H260" s="501"/>
      <c r="I260" s="423"/>
      <c r="J260" s="500"/>
      <c r="K260" s="500"/>
      <c r="L260" s="500"/>
      <c r="M260" s="500"/>
      <c r="N260"/>
      <c r="O260" s="500"/>
      <c r="P260" s="500"/>
      <c r="Q260" s="500"/>
      <c r="R260" s="500"/>
      <c r="S260" s="500"/>
      <c r="T260" s="500"/>
      <c r="U260" s="500"/>
      <c r="V260" s="500"/>
      <c r="W260" s="500"/>
      <c r="X260" s="500"/>
      <c r="Y260" s="500"/>
      <c r="Z260" s="500"/>
      <c r="AA260" s="500"/>
      <c r="AB260" s="500"/>
      <c r="AC260" s="500"/>
      <c r="AD260" s="500"/>
      <c r="AE260" s="500"/>
      <c r="AF260" s="500"/>
      <c r="AG260" s="500"/>
      <c r="AH260" s="500"/>
      <c r="AI260" s="500"/>
      <c r="AJ260" s="500"/>
      <c r="AK260" s="500"/>
      <c r="AL260" s="500"/>
      <c r="AM260" s="500"/>
      <c r="AN260" s="500"/>
      <c r="AO260" s="500"/>
      <c r="AP260" s="500"/>
      <c r="AQ260" s="500"/>
      <c r="AR260" s="500"/>
      <c r="AS260" s="500"/>
      <c r="AT260" s="500"/>
      <c r="AU260" s="500"/>
      <c r="AV260" s="500"/>
      <c r="AW260" s="500"/>
      <c r="AX260" s="500"/>
      <c r="AY260" s="500"/>
      <c r="AZ260" s="500"/>
      <c r="BA260" s="500"/>
      <c r="BB260" s="500"/>
      <c r="BC260" s="500"/>
      <c r="BD260" s="500"/>
      <c r="BE260" s="500"/>
      <c r="BF260" s="500"/>
      <c r="BG260" s="500"/>
      <c r="BH260" s="500"/>
      <c r="BI260" s="500"/>
      <c r="BJ260" s="500"/>
      <c r="BK260" s="500"/>
      <c r="BL260" s="500"/>
      <c r="BM260" s="500"/>
      <c r="BN260" s="500"/>
      <c r="BO260" s="500"/>
      <c r="BP260" s="500"/>
      <c r="BQ260" s="500"/>
      <c r="BR260" s="500"/>
      <c r="BS260" s="500"/>
      <c r="BT260" s="500"/>
      <c r="BU260" s="500"/>
      <c r="BV260" s="500"/>
      <c r="BW260" s="500"/>
      <c r="BX260" s="500"/>
      <c r="BY260" s="500"/>
      <c r="BZ260" s="500"/>
      <c r="CA260" s="500"/>
      <c r="CB260" s="500"/>
      <c r="CC260" s="500"/>
      <c r="CD260" s="500"/>
      <c r="CE260" s="500"/>
      <c r="CF260" s="500"/>
      <c r="CG260" s="500"/>
      <c r="CH260" s="500"/>
      <c r="CI260" s="500"/>
      <c r="CJ260" s="500"/>
      <c r="CK260" s="500"/>
      <c r="CL260" s="500"/>
      <c r="CM260" s="500"/>
      <c r="CN260" s="500"/>
      <c r="CO260" s="500"/>
      <c r="CP260" s="500"/>
      <c r="CQ260" s="500"/>
      <c r="CR260" s="500"/>
      <c r="CS260" s="500"/>
      <c r="CT260" s="500"/>
      <c r="CU260" s="500"/>
      <c r="CV260" s="500"/>
      <c r="CW260" s="500"/>
      <c r="CX260" s="500"/>
      <c r="CY260" s="500"/>
      <c r="CZ260" s="500"/>
      <c r="DA260" s="500"/>
      <c r="DB260" s="500"/>
      <c r="DC260" s="500"/>
      <c r="DD260" s="500"/>
      <c r="DE260" s="500"/>
      <c r="DF260" s="500"/>
      <c r="DG260" s="500"/>
      <c r="DH260" s="500"/>
      <c r="DI260" s="500"/>
      <c r="DJ260" s="500"/>
      <c r="DK260" s="500"/>
      <c r="DL260" s="500"/>
      <c r="DM260" s="500"/>
      <c r="DN260" s="500"/>
      <c r="DO260" s="500"/>
      <c r="DP260" s="500"/>
      <c r="DQ260" s="500"/>
      <c r="DR260" s="500"/>
      <c r="DS260" s="500"/>
      <c r="DT260" s="500"/>
      <c r="DU260" s="500"/>
      <c r="DV260" s="500"/>
      <c r="DW260" s="500"/>
      <c r="DX260" s="500"/>
      <c r="DY260" s="500"/>
      <c r="DZ260" s="500"/>
      <c r="EA260" s="500"/>
      <c r="EB260" s="500"/>
      <c r="EC260" s="500"/>
      <c r="ED260" s="500"/>
      <c r="EE260" s="500"/>
      <c r="EF260" s="500"/>
      <c r="EG260" s="500"/>
      <c r="EH260" s="500"/>
      <c r="EI260" s="500"/>
      <c r="EJ260" s="500"/>
      <c r="EK260" s="500"/>
      <c r="EL260" s="500"/>
      <c r="EM260" s="500"/>
      <c r="EN260" s="500"/>
      <c r="EO260" s="500"/>
      <c r="EP260" s="500"/>
      <c r="EQ260" s="500"/>
      <c r="ER260" s="500"/>
      <c r="ES260" s="500"/>
      <c r="ET260" s="500"/>
      <c r="EU260" s="500"/>
      <c r="EV260" s="500"/>
      <c r="EW260" s="500"/>
      <c r="EX260" s="500"/>
      <c r="EY260" s="500"/>
      <c r="EZ260" s="500"/>
      <c r="FA260" s="500"/>
      <c r="FB260" s="500"/>
      <c r="FC260" s="500"/>
      <c r="FD260" s="500"/>
      <c r="FE260" s="500"/>
      <c r="FF260" s="500"/>
      <c r="FG260" s="500"/>
      <c r="FH260" s="500"/>
      <c r="FI260" s="500"/>
      <c r="FJ260" s="500"/>
      <c r="FK260" s="500"/>
      <c r="FL260" s="500"/>
      <c r="FM260" s="500"/>
      <c r="FN260" s="500"/>
      <c r="FO260" s="500"/>
      <c r="FP260" s="500"/>
      <c r="FQ260" s="500"/>
      <c r="FR260" s="500"/>
      <c r="FS260" s="500"/>
      <c r="FT260" s="500"/>
      <c r="FU260" s="500"/>
      <c r="FV260" s="500"/>
      <c r="FW260" s="500"/>
      <c r="FX260" s="500"/>
      <c r="FY260" s="500"/>
      <c r="FZ260" s="500"/>
      <c r="GA260" s="500"/>
      <c r="GB260" s="500"/>
      <c r="GC260" s="500"/>
      <c r="GD260" s="500"/>
      <c r="GE260" s="500"/>
      <c r="GF260" s="500"/>
      <c r="GG260" s="500"/>
      <c r="GH260" s="500"/>
      <c r="GI260" s="500"/>
      <c r="GJ260" s="500"/>
      <c r="GK260" s="500"/>
      <c r="GL260" s="500"/>
      <c r="GM260" s="500"/>
      <c r="GN260" s="500"/>
      <c r="GO260" s="500"/>
      <c r="GP260" s="500"/>
      <c r="GQ260" s="500"/>
      <c r="GR260" s="500"/>
      <c r="GS260" s="500"/>
      <c r="GT260" s="500"/>
      <c r="GU260" s="500"/>
      <c r="GV260" s="500"/>
      <c r="GW260" s="500"/>
      <c r="GX260" s="500"/>
      <c r="GY260" s="500"/>
      <c r="GZ260" s="500"/>
      <c r="HA260" s="500"/>
      <c r="HB260" s="500"/>
      <c r="HC260" s="500"/>
      <c r="HD260" s="500"/>
      <c r="HE260" s="500"/>
      <c r="HF260" s="500"/>
      <c r="HG260" s="500"/>
      <c r="HH260" s="500"/>
      <c r="HI260" s="500"/>
      <c r="HJ260" s="500"/>
      <c r="HK260" s="500"/>
      <c r="HL260" s="500"/>
      <c r="HM260" s="500"/>
      <c r="HN260" s="500"/>
      <c r="HO260" s="500"/>
      <c r="HP260" s="500"/>
      <c r="HQ260" s="500"/>
      <c r="HR260" s="500"/>
      <c r="HS260" s="500"/>
      <c r="HT260" s="500"/>
      <c r="HU260" s="500"/>
      <c r="HV260" s="500"/>
      <c r="HW260" s="500"/>
      <c r="HX260" s="500"/>
      <c r="HY260" s="500"/>
      <c r="HZ260" s="500"/>
      <c r="IA260" s="500"/>
      <c r="IB260" s="500"/>
      <c r="IC260" s="500"/>
      <c r="ID260" s="500"/>
      <c r="IE260" s="500"/>
      <c r="IF260" s="500"/>
      <c r="IG260" s="500"/>
      <c r="IH260" s="500"/>
      <c r="II260" s="500"/>
      <c r="IJ260" s="500"/>
      <c r="IK260" s="500"/>
      <c r="IL260" s="500"/>
      <c r="IM260" s="500"/>
      <c r="IN260" s="500"/>
      <c r="IO260" s="500"/>
      <c r="IP260" s="500"/>
      <c r="IQ260" s="500"/>
      <c r="IR260" s="500"/>
      <c r="IS260" s="500"/>
      <c r="IT260" s="500"/>
      <c r="IU260" s="500"/>
      <c r="IV260" s="500"/>
      <c r="IW260" s="500"/>
      <c r="IX260" s="500"/>
      <c r="IY260" s="500"/>
      <c r="IZ260" s="500"/>
      <c r="JA260" s="500"/>
      <c r="JB260" s="500"/>
      <c r="JC260" s="500"/>
      <c r="JD260" s="500"/>
      <c r="JE260" s="500"/>
      <c r="JF260" s="500"/>
      <c r="JG260" s="500"/>
      <c r="JH260" s="500"/>
      <c r="JI260" s="500"/>
      <c r="JJ260" s="500"/>
      <c r="JK260" s="500"/>
      <c r="JL260" s="500"/>
      <c r="JM260" s="500"/>
      <c r="JN260" s="500"/>
      <c r="JO260" s="500"/>
      <c r="JP260" s="500"/>
      <c r="JQ260" s="500"/>
      <c r="JR260" s="500"/>
      <c r="JS260" s="500"/>
      <c r="JT260" s="500"/>
      <c r="JU260" s="500"/>
      <c r="JV260" s="500"/>
      <c r="JW260" s="500"/>
      <c r="JX260" s="500"/>
      <c r="JY260" s="500"/>
      <c r="JZ260" s="500"/>
      <c r="KA260" s="500"/>
      <c r="KB260" s="500"/>
      <c r="KC260" s="500"/>
      <c r="KD260" s="500"/>
      <c r="KE260" s="500"/>
      <c r="KF260" s="500"/>
      <c r="KG260" s="500"/>
      <c r="KH260" s="500"/>
      <c r="KI260" s="500"/>
      <c r="KJ260" s="500"/>
      <c r="KK260" s="500"/>
      <c r="KL260" s="500"/>
      <c r="KM260" s="500"/>
      <c r="KN260" s="500"/>
      <c r="KO260" s="500"/>
      <c r="KP260" s="500"/>
      <c r="KQ260" s="500"/>
      <c r="KR260" s="500"/>
      <c r="KS260" s="500"/>
      <c r="KT260" s="500"/>
      <c r="KU260" s="500"/>
      <c r="KV260" s="500"/>
      <c r="KW260" s="500"/>
      <c r="KX260" s="500"/>
      <c r="KY260" s="500"/>
      <c r="KZ260" s="500"/>
      <c r="LA260" s="500"/>
      <c r="LB260" s="500"/>
      <c r="LC260" s="500"/>
      <c r="LD260" s="500"/>
      <c r="LE260" s="500"/>
      <c r="LF260" s="500"/>
      <c r="LG260" s="500"/>
      <c r="LH260" s="500"/>
      <c r="LI260" s="500"/>
      <c r="LJ260" s="500"/>
      <c r="LK260" s="500"/>
      <c r="LL260" s="500"/>
      <c r="LM260" s="500"/>
      <c r="LN260" s="500"/>
      <c r="LO260" s="500"/>
      <c r="LP260" s="500"/>
      <c r="LQ260" s="500"/>
      <c r="LR260" s="500"/>
      <c r="LS260" s="500"/>
      <c r="LT260" s="500"/>
      <c r="LU260" s="500"/>
      <c r="LV260" s="500"/>
      <c r="LW260" s="500"/>
      <c r="LX260" s="500"/>
      <c r="LY260" s="500"/>
      <c r="LZ260" s="500"/>
      <c r="MA260" s="500"/>
      <c r="MB260" s="500"/>
      <c r="MC260" s="500"/>
      <c r="MD260" s="500"/>
      <c r="ME260" s="500"/>
      <c r="MF260" s="500"/>
      <c r="MG260" s="500"/>
      <c r="MH260" s="500"/>
      <c r="MI260" s="500"/>
      <c r="MJ260" s="500"/>
      <c r="MK260" s="500"/>
      <c r="ML260" s="500"/>
      <c r="MM260" s="500"/>
      <c r="MN260" s="500"/>
      <c r="MO260" s="500"/>
      <c r="MP260" s="500"/>
      <c r="MQ260" s="500"/>
      <c r="MR260" s="500"/>
      <c r="MS260" s="500"/>
      <c r="MT260" s="500"/>
      <c r="MU260" s="500"/>
      <c r="MV260" s="500"/>
      <c r="MW260" s="500"/>
      <c r="MX260" s="500"/>
      <c r="MY260" s="500"/>
      <c r="MZ260" s="500"/>
      <c r="NA260" s="500"/>
      <c r="NB260" s="500"/>
      <c r="NC260" s="500"/>
      <c r="ND260" s="500"/>
      <c r="NE260" s="500"/>
      <c r="NF260" s="500"/>
      <c r="NG260" s="500"/>
      <c r="NH260" s="500"/>
      <c r="NI260" s="500"/>
      <c r="NJ260" s="500"/>
      <c r="NK260" s="500"/>
      <c r="NL260" s="500"/>
      <c r="NM260" s="500"/>
      <c r="NN260" s="500"/>
      <c r="NO260" s="500"/>
      <c r="NP260" s="500"/>
      <c r="NQ260" s="500"/>
      <c r="NR260" s="500"/>
      <c r="NS260" s="500"/>
      <c r="NT260" s="500"/>
      <c r="NU260" s="500"/>
      <c r="NV260" s="500"/>
      <c r="NW260" s="500"/>
      <c r="NX260" s="500"/>
      <c r="NY260" s="500"/>
      <c r="NZ260" s="500"/>
      <c r="OA260" s="500"/>
      <c r="OB260" s="500"/>
      <c r="OC260" s="500"/>
      <c r="OD260" s="500"/>
      <c r="OE260" s="500"/>
      <c r="OF260" s="500"/>
      <c r="OG260" s="500"/>
      <c r="OH260" s="500"/>
      <c r="OI260" s="500"/>
      <c r="OJ260" s="500"/>
      <c r="OK260" s="500"/>
      <c r="OL260" s="500"/>
      <c r="OM260" s="500"/>
      <c r="ON260" s="500"/>
      <c r="OO260" s="500"/>
      <c r="OP260" s="500"/>
      <c r="OQ260" s="500"/>
      <c r="OR260" s="500"/>
      <c r="OS260" s="500"/>
      <c r="OT260" s="500"/>
      <c r="OU260" s="500"/>
      <c r="OV260" s="500"/>
      <c r="OW260" s="500"/>
      <c r="OX260" s="500"/>
      <c r="OY260" s="500"/>
      <c r="OZ260" s="500"/>
      <c r="PA260" s="500"/>
      <c r="PB260" s="500"/>
      <c r="PC260" s="500"/>
      <c r="PD260" s="500"/>
      <c r="PE260" s="500"/>
      <c r="PF260" s="500"/>
      <c r="PG260" s="500"/>
      <c r="PH260" s="500"/>
      <c r="PI260" s="500"/>
      <c r="PJ260" s="500"/>
      <c r="PK260" s="500"/>
      <c r="PL260" s="500"/>
      <c r="PM260" s="500"/>
      <c r="PN260" s="500"/>
      <c r="PO260" s="500"/>
      <c r="PP260" s="500"/>
      <c r="PQ260" s="500"/>
      <c r="PR260" s="500"/>
      <c r="PS260" s="500"/>
      <c r="PT260" s="500"/>
      <c r="PU260" s="500"/>
      <c r="PV260" s="500"/>
      <c r="PW260" s="500"/>
      <c r="PX260" s="500"/>
      <c r="PY260" s="500"/>
      <c r="PZ260" s="500"/>
      <c r="QA260" s="500"/>
      <c r="QB260" s="500"/>
      <c r="QC260" s="500"/>
      <c r="QD260" s="500"/>
      <c r="QE260" s="500"/>
      <c r="QF260" s="500"/>
      <c r="QG260" s="500"/>
      <c r="QH260" s="500"/>
      <c r="QI260" s="500"/>
      <c r="QJ260" s="500"/>
      <c r="QK260" s="500"/>
      <c r="QL260" s="500"/>
      <c r="QM260" s="500"/>
      <c r="QN260" s="500"/>
      <c r="QO260" s="500"/>
      <c r="QP260" s="500"/>
      <c r="QQ260" s="500"/>
      <c r="QR260" s="500"/>
      <c r="QS260" s="500"/>
      <c r="QT260" s="500"/>
      <c r="QU260" s="500"/>
      <c r="QV260" s="500"/>
      <c r="QW260" s="500"/>
      <c r="QX260" s="500"/>
      <c r="QY260" s="500"/>
      <c r="QZ260" s="500"/>
      <c r="RA260" s="500"/>
      <c r="RB260" s="500"/>
      <c r="RC260" s="500"/>
      <c r="RD260" s="500"/>
      <c r="RE260" s="500"/>
      <c r="RF260" s="500"/>
      <c r="RG260" s="500"/>
      <c r="RH260" s="500"/>
      <c r="RI260" s="500"/>
      <c r="RJ260" s="500"/>
      <c r="RK260" s="500"/>
      <c r="RL260" s="500"/>
      <c r="RM260" s="500"/>
      <c r="RN260" s="500"/>
      <c r="RO260" s="500"/>
      <c r="RP260" s="500"/>
      <c r="RQ260" s="500"/>
      <c r="RR260" s="500"/>
      <c r="RS260" s="500"/>
      <c r="RT260" s="500"/>
      <c r="RU260" s="500"/>
      <c r="RV260" s="500"/>
      <c r="RW260" s="500"/>
      <c r="RX260" s="500"/>
      <c r="RY260" s="500"/>
      <c r="RZ260" s="500"/>
      <c r="SA260" s="500"/>
      <c r="SB260" s="500"/>
      <c r="SC260" s="500"/>
      <c r="SD260" s="500"/>
      <c r="SE260" s="500"/>
      <c r="SF260" s="500"/>
      <c r="SG260" s="500"/>
      <c r="SH260" s="500"/>
      <c r="SI260" s="500"/>
      <c r="SJ260" s="500"/>
      <c r="SK260" s="500"/>
      <c r="SL260" s="500"/>
      <c r="SM260" s="500"/>
      <c r="SN260" s="500"/>
      <c r="SO260" s="500"/>
      <c r="SP260" s="500"/>
      <c r="SQ260" s="500"/>
      <c r="SR260" s="500"/>
      <c r="SS260" s="500"/>
      <c r="ST260" s="500"/>
      <c r="SU260" s="500"/>
      <c r="SV260" s="500"/>
      <c r="SW260" s="500"/>
      <c r="SX260" s="500"/>
      <c r="SY260" s="500"/>
      <c r="SZ260" s="500"/>
      <c r="TA260" s="500"/>
      <c r="TB260" s="500"/>
      <c r="TC260" s="500"/>
      <c r="TD260" s="500"/>
      <c r="TE260" s="500"/>
      <c r="TF260" s="500"/>
      <c r="TG260" s="500"/>
      <c r="TH260" s="500"/>
      <c r="TI260" s="500"/>
      <c r="TJ260" s="500"/>
      <c r="TK260" s="500"/>
      <c r="TL260" s="500"/>
      <c r="TM260" s="500"/>
      <c r="TN260" s="500"/>
      <c r="TO260" s="500"/>
      <c r="TP260" s="500"/>
      <c r="TQ260" s="500"/>
      <c r="TR260" s="500"/>
      <c r="TS260" s="500"/>
      <c r="TT260" s="500"/>
      <c r="TU260" s="500"/>
      <c r="TV260" s="500"/>
      <c r="TW260" s="500"/>
      <c r="TX260" s="500"/>
      <c r="TY260" s="500"/>
      <c r="TZ260" s="500"/>
      <c r="UA260" s="500"/>
      <c r="UB260" s="500"/>
      <c r="UC260" s="500"/>
      <c r="UD260" s="500"/>
      <c r="UE260" s="500"/>
      <c r="UF260" s="500"/>
      <c r="UG260" s="500"/>
      <c r="UH260" s="500"/>
      <c r="UI260" s="500"/>
      <c r="UJ260" s="500"/>
      <c r="UK260" s="500"/>
      <c r="UL260" s="500"/>
      <c r="UM260" s="500"/>
      <c r="UN260" s="500"/>
      <c r="UO260" s="500"/>
      <c r="UP260" s="500"/>
      <c r="UQ260" s="500"/>
      <c r="UR260" s="500"/>
      <c r="US260" s="500"/>
      <c r="UT260" s="500"/>
      <c r="UU260" s="500"/>
      <c r="UV260" s="500"/>
      <c r="UW260" s="500"/>
      <c r="UX260" s="500"/>
      <c r="UY260" s="500"/>
      <c r="UZ260" s="500"/>
      <c r="VA260" s="500"/>
      <c r="VB260" s="500"/>
      <c r="VC260" s="500"/>
      <c r="VD260" s="500"/>
      <c r="VE260" s="500"/>
      <c r="VF260" s="500"/>
      <c r="VG260" s="500"/>
      <c r="VH260" s="500"/>
      <c r="VI260" s="500"/>
      <c r="VJ260" s="500"/>
      <c r="VK260" s="500"/>
      <c r="VL260" s="500"/>
      <c r="VM260" s="500"/>
      <c r="VN260" s="500"/>
      <c r="VO260" s="500"/>
      <c r="VP260" s="500"/>
      <c r="VQ260" s="500"/>
      <c r="VR260" s="500"/>
      <c r="VS260" s="500"/>
      <c r="VT260" s="500"/>
      <c r="VU260" s="500"/>
      <c r="VV260" s="500"/>
      <c r="VW260" s="500"/>
      <c r="VX260" s="500"/>
      <c r="VY260" s="500"/>
      <c r="VZ260" s="500"/>
      <c r="WA260" s="500"/>
      <c r="WB260" s="500"/>
      <c r="WC260" s="500"/>
      <c r="WD260" s="500"/>
      <c r="WE260" s="500"/>
      <c r="WF260" s="500"/>
      <c r="WG260" s="500"/>
      <c r="WH260" s="500"/>
      <c r="WI260" s="500"/>
      <c r="WJ260" s="500"/>
      <c r="WK260" s="500"/>
      <c r="WL260" s="500"/>
      <c r="WM260" s="500"/>
      <c r="WN260" s="500"/>
      <c r="WO260" s="500"/>
      <c r="WP260" s="500"/>
      <c r="WQ260" s="500"/>
      <c r="WR260" s="500"/>
      <c r="WS260" s="500"/>
      <c r="WT260" s="500"/>
      <c r="WU260" s="500"/>
      <c r="WV260" s="500"/>
      <c r="WW260" s="500"/>
      <c r="WX260" s="500"/>
      <c r="WY260" s="500"/>
      <c r="WZ260" s="500"/>
      <c r="XA260" s="500"/>
      <c r="XB260" s="500"/>
      <c r="XC260" s="500"/>
      <c r="XD260" s="500"/>
      <c r="XE260" s="500"/>
      <c r="XF260" s="500"/>
      <c r="XG260" s="500"/>
      <c r="XH260" s="500"/>
      <c r="XI260" s="500"/>
      <c r="XJ260" s="500"/>
      <c r="XK260" s="500"/>
      <c r="XL260" s="500"/>
      <c r="XM260" s="500"/>
      <c r="XN260" s="500"/>
      <c r="XO260" s="500"/>
      <c r="XP260" s="500"/>
      <c r="XQ260" s="500"/>
      <c r="XR260" s="500"/>
      <c r="XS260" s="500"/>
      <c r="XT260" s="500"/>
      <c r="XU260" s="500"/>
      <c r="XV260" s="500"/>
      <c r="XW260" s="500"/>
      <c r="XX260" s="500"/>
      <c r="XY260" s="500"/>
      <c r="XZ260" s="500"/>
      <c r="YA260" s="500"/>
      <c r="YB260" s="500"/>
      <c r="YC260" s="500"/>
      <c r="YD260" s="500"/>
      <c r="YE260" s="500"/>
      <c r="YF260" s="500"/>
      <c r="YG260" s="500"/>
      <c r="YH260" s="500"/>
      <c r="YI260" s="500"/>
      <c r="YJ260" s="500"/>
      <c r="YK260" s="500"/>
      <c r="YL260" s="500"/>
      <c r="YM260" s="500"/>
      <c r="YN260" s="500"/>
      <c r="YO260" s="500"/>
      <c r="YP260" s="500"/>
      <c r="YQ260" s="500"/>
      <c r="YR260" s="500"/>
      <c r="YS260" s="500"/>
      <c r="YT260" s="500"/>
      <c r="YU260" s="500"/>
      <c r="YV260" s="500"/>
      <c r="YW260" s="500"/>
      <c r="YX260" s="500"/>
      <c r="YY260" s="500"/>
      <c r="YZ260" s="500"/>
      <c r="ZA260" s="500"/>
      <c r="ZB260" s="500"/>
      <c r="ZC260" s="500"/>
      <c r="ZD260" s="500"/>
      <c r="ZE260" s="500"/>
      <c r="ZF260" s="500"/>
      <c r="ZG260" s="500"/>
      <c r="ZH260" s="500"/>
      <c r="ZI260" s="500"/>
      <c r="ZJ260" s="500"/>
      <c r="ZK260" s="500"/>
      <c r="ZL260" s="500"/>
      <c r="ZM260" s="500"/>
      <c r="ZN260" s="500"/>
      <c r="ZO260" s="500"/>
      <c r="ZP260" s="500"/>
      <c r="ZQ260" s="500"/>
      <c r="ZR260" s="500"/>
      <c r="ZS260" s="500"/>
      <c r="ZT260" s="500"/>
      <c r="ZU260" s="500"/>
      <c r="ZV260" s="500"/>
      <c r="ZW260" s="500"/>
      <c r="ZX260" s="500"/>
      <c r="ZY260" s="500"/>
      <c r="ZZ260" s="500"/>
      <c r="AAA260" s="500"/>
      <c r="AAB260" s="500"/>
      <c r="AAC260" s="500"/>
      <c r="AAD260" s="500"/>
      <c r="AAE260" s="500"/>
      <c r="AAF260" s="500"/>
      <c r="AAG260" s="500"/>
      <c r="AAH260" s="500"/>
      <c r="AAI260" s="500"/>
      <c r="AAJ260" s="500"/>
      <c r="AAK260" s="500"/>
      <c r="AAL260" s="500"/>
      <c r="AAM260" s="500"/>
      <c r="AAN260" s="500"/>
      <c r="AAO260" s="500"/>
      <c r="AAP260" s="500"/>
      <c r="AAQ260" s="500"/>
      <c r="AAR260" s="500"/>
      <c r="AAS260" s="500"/>
      <c r="AAT260" s="500"/>
      <c r="AAU260" s="500"/>
      <c r="AAV260" s="500"/>
      <c r="AAW260" s="500"/>
      <c r="AAX260" s="500"/>
      <c r="AAY260" s="500"/>
      <c r="AAZ260" s="500"/>
      <c r="ABA260" s="500"/>
      <c r="ABB260" s="500"/>
      <c r="ABC260" s="500"/>
      <c r="ABD260" s="500"/>
      <c r="ABE260" s="500"/>
      <c r="ABF260" s="500"/>
      <c r="ABG260" s="500"/>
      <c r="ABH260" s="500"/>
      <c r="ABI260" s="500"/>
      <c r="ABJ260" s="500"/>
      <c r="ABK260" s="500"/>
      <c r="ABL260" s="500"/>
      <c r="ABM260" s="500"/>
      <c r="ABN260" s="500"/>
      <c r="ABO260" s="500"/>
      <c r="ABP260" s="500"/>
      <c r="ABQ260" s="500"/>
      <c r="ABR260" s="500"/>
      <c r="ABS260" s="500"/>
      <c r="ABT260" s="500"/>
      <c r="ABU260" s="500"/>
      <c r="ABV260" s="500"/>
      <c r="ABW260" s="500"/>
      <c r="ABX260" s="500"/>
      <c r="ABY260" s="500"/>
      <c r="ABZ260" s="500"/>
      <c r="ACA260" s="500"/>
      <c r="ACB260" s="500"/>
      <c r="ACC260" s="500"/>
      <c r="ACD260" s="500"/>
      <c r="ACE260" s="500"/>
      <c r="ACF260" s="500"/>
      <c r="ACG260" s="500"/>
      <c r="ACH260" s="500"/>
      <c r="ACI260" s="500"/>
      <c r="ACJ260" s="500"/>
      <c r="ACK260" s="500"/>
      <c r="ACL260" s="500"/>
      <c r="ACM260" s="500"/>
      <c r="ACN260" s="500"/>
      <c r="ACO260" s="500"/>
      <c r="ACP260" s="500"/>
      <c r="ACQ260" s="500"/>
      <c r="ACR260" s="500"/>
      <c r="ACS260" s="500"/>
      <c r="ACT260" s="500"/>
      <c r="ACU260" s="500"/>
      <c r="ACV260" s="500"/>
      <c r="ACW260" s="500"/>
      <c r="ACX260" s="500"/>
      <c r="ACY260" s="500"/>
      <c r="ACZ260" s="500"/>
      <c r="ADA260" s="500"/>
      <c r="ADB260" s="500"/>
      <c r="ADC260" s="500"/>
      <c r="ADD260" s="500"/>
      <c r="ADE260" s="500"/>
      <c r="ADF260" s="500"/>
      <c r="ADG260" s="500"/>
      <c r="ADH260" s="500"/>
      <c r="ADI260" s="500"/>
      <c r="ADJ260" s="500"/>
      <c r="ADK260" s="500"/>
      <c r="ADL260" s="500"/>
      <c r="ADM260" s="500"/>
      <c r="ADN260" s="500"/>
      <c r="ADO260" s="500"/>
      <c r="ADP260" s="500"/>
      <c r="ADQ260" s="500"/>
      <c r="ADR260" s="500"/>
      <c r="ADS260" s="500"/>
      <c r="ADT260" s="500"/>
      <c r="ADU260" s="500"/>
      <c r="ADV260" s="500"/>
      <c r="ADW260" s="500"/>
      <c r="ADX260" s="500"/>
      <c r="ADY260" s="500"/>
      <c r="ADZ260" s="500"/>
      <c r="AEA260" s="500"/>
      <c r="AEB260" s="500"/>
      <c r="AEC260" s="500"/>
      <c r="AED260" s="500"/>
      <c r="AEE260" s="500"/>
      <c r="AEF260" s="500"/>
      <c r="AEG260" s="500"/>
      <c r="AEH260" s="500"/>
      <c r="AEI260" s="500"/>
      <c r="AEJ260" s="500"/>
      <c r="AEK260" s="500"/>
      <c r="AEL260" s="500"/>
      <c r="AEM260" s="500"/>
      <c r="AEN260" s="500"/>
      <c r="AEO260" s="500"/>
      <c r="AEP260" s="500"/>
      <c r="AEQ260" s="500"/>
      <c r="AER260" s="500"/>
      <c r="AES260" s="500"/>
      <c r="AET260" s="500"/>
      <c r="AEU260" s="500"/>
      <c r="AEV260" s="500"/>
      <c r="AEW260" s="500"/>
      <c r="AEX260" s="500"/>
      <c r="AEY260" s="500"/>
      <c r="AEZ260" s="500"/>
      <c r="AFA260" s="500"/>
      <c r="AFB260" s="500"/>
      <c r="AFC260" s="500"/>
      <c r="AFD260" s="500"/>
      <c r="AFE260" s="500"/>
      <c r="AFF260" s="500"/>
      <c r="AFG260" s="500"/>
      <c r="AFH260" s="500"/>
      <c r="AFI260" s="500"/>
      <c r="AFJ260" s="500"/>
      <c r="AFK260" s="500"/>
      <c r="AFL260" s="500"/>
      <c r="AFM260" s="500"/>
      <c r="AFN260" s="500"/>
      <c r="AFO260" s="500"/>
      <c r="AFP260" s="500"/>
      <c r="AFQ260" s="500"/>
      <c r="AFR260" s="500"/>
      <c r="AFS260" s="500"/>
      <c r="AFT260" s="500"/>
      <c r="AFU260" s="500"/>
      <c r="AFV260" s="500"/>
      <c r="AFW260" s="500"/>
      <c r="AFX260" s="500"/>
      <c r="AFY260" s="500"/>
      <c r="AFZ260" s="500"/>
      <c r="AGA260" s="500"/>
      <c r="AGB260" s="500"/>
      <c r="AGC260" s="500"/>
      <c r="AGD260" s="500"/>
      <c r="AGE260" s="500"/>
      <c r="AGF260" s="500"/>
      <c r="AGG260" s="500"/>
      <c r="AGH260" s="500"/>
      <c r="AGI260" s="500"/>
      <c r="AGJ260" s="500"/>
      <c r="AGK260" s="500"/>
      <c r="AGL260" s="500"/>
      <c r="AGM260" s="500"/>
      <c r="AGN260" s="500"/>
      <c r="AGO260" s="500"/>
      <c r="AGP260" s="500"/>
      <c r="AGQ260" s="500"/>
      <c r="AGR260" s="500"/>
      <c r="AGS260" s="500"/>
      <c r="AGT260" s="500"/>
      <c r="AGU260" s="500"/>
      <c r="AGV260" s="500"/>
      <c r="AGW260" s="500"/>
      <c r="AGX260" s="500"/>
      <c r="AGY260" s="500"/>
      <c r="AGZ260" s="500"/>
      <c r="AHA260" s="500"/>
      <c r="AHB260" s="500"/>
      <c r="AHC260" s="500"/>
      <c r="AHD260" s="500"/>
      <c r="AHE260" s="500"/>
      <c r="AHF260" s="500"/>
      <c r="AHG260" s="500"/>
      <c r="AHH260" s="500"/>
      <c r="AHI260" s="500"/>
      <c r="AHJ260" s="500"/>
      <c r="AHK260" s="500"/>
      <c r="AHL260" s="500"/>
      <c r="AHM260" s="500"/>
      <c r="AHN260" s="500"/>
      <c r="AHO260" s="500"/>
      <c r="AHP260" s="500"/>
      <c r="AHQ260" s="500"/>
      <c r="AHR260" s="500"/>
      <c r="AHS260" s="500"/>
      <c r="AHT260" s="500"/>
      <c r="AHU260" s="500"/>
      <c r="AHV260" s="500"/>
      <c r="AHW260" s="500"/>
      <c r="AHX260" s="500"/>
      <c r="AHY260" s="500"/>
      <c r="AHZ260" s="500"/>
      <c r="AIA260" s="500"/>
      <c r="AIB260" s="500"/>
      <c r="AIC260" s="500"/>
      <c r="AID260" s="500"/>
      <c r="AIE260" s="500"/>
      <c r="AIF260" s="500"/>
      <c r="AIG260" s="500"/>
      <c r="AIH260" s="500"/>
      <c r="AII260" s="500"/>
      <c r="AIJ260" s="500"/>
      <c r="AIK260" s="500"/>
      <c r="AIL260" s="500"/>
      <c r="AIM260" s="500"/>
      <c r="AIN260" s="500"/>
      <c r="AIO260" s="500"/>
      <c r="AIP260" s="500"/>
      <c r="AIQ260" s="500"/>
      <c r="AIR260" s="500"/>
      <c r="AIS260" s="500"/>
      <c r="AIT260" s="500"/>
      <c r="AIU260" s="500"/>
      <c r="AIV260" s="500"/>
      <c r="AIW260" s="500"/>
      <c r="AIX260" s="500"/>
      <c r="AIY260" s="500"/>
      <c r="AIZ260" s="500"/>
      <c r="AJA260" s="500"/>
      <c r="AJB260" s="500"/>
      <c r="AJC260" s="500"/>
      <c r="AJD260" s="500"/>
      <c r="AJE260" s="500"/>
      <c r="AJF260" s="500"/>
      <c r="AJG260" s="500"/>
      <c r="AJH260" s="500"/>
      <c r="AJI260" s="500"/>
      <c r="AJJ260" s="500"/>
      <c r="AJK260" s="500"/>
      <c r="AJL260" s="500"/>
      <c r="AJM260" s="500"/>
      <c r="AJN260" s="500"/>
      <c r="AJO260" s="500"/>
      <c r="AJP260" s="500"/>
      <c r="AJQ260" s="500"/>
      <c r="AJR260" s="500"/>
      <c r="AJS260" s="500"/>
      <c r="AJT260" s="500"/>
      <c r="AJU260" s="500"/>
      <c r="AJV260" s="500"/>
      <c r="AJW260" s="500"/>
      <c r="AJX260" s="500"/>
      <c r="AJY260" s="500"/>
      <c r="AJZ260" s="500"/>
      <c r="AKA260" s="500"/>
      <c r="AKB260" s="500"/>
      <c r="AKC260" s="500"/>
      <c r="AKD260" s="500"/>
      <c r="AKE260" s="500"/>
      <c r="AKF260" s="500"/>
      <c r="AKG260" s="500"/>
      <c r="AKH260" s="500"/>
      <c r="AKI260" s="500"/>
      <c r="AKJ260" s="500"/>
      <c r="AKK260" s="500"/>
      <c r="AKL260" s="500"/>
      <c r="AKM260" s="500"/>
      <c r="AKN260" s="500"/>
      <c r="AKO260" s="500"/>
      <c r="AKP260" s="500"/>
      <c r="AKQ260" s="500"/>
      <c r="AKR260" s="500"/>
      <c r="AKS260" s="500"/>
      <c r="AKT260" s="500"/>
      <c r="AKU260" s="500"/>
      <c r="AKV260" s="500"/>
      <c r="AKW260" s="500"/>
      <c r="AKX260" s="500"/>
      <c r="AKY260" s="500"/>
      <c r="AKZ260" s="500"/>
      <c r="ALA260" s="500"/>
      <c r="ALB260" s="500"/>
      <c r="ALC260" s="500"/>
      <c r="ALD260" s="500"/>
      <c r="ALE260" s="500"/>
      <c r="ALF260" s="500"/>
      <c r="ALG260" s="500"/>
      <c r="ALH260" s="500"/>
      <c r="ALI260" s="500"/>
      <c r="ALJ260" s="500"/>
      <c r="ALK260" s="500"/>
      <c r="ALL260" s="500"/>
      <c r="ALM260" s="500"/>
      <c r="ALN260" s="500"/>
      <c r="ALO260" s="500"/>
      <c r="ALP260" s="500"/>
      <c r="ALQ260" s="500"/>
      <c r="ALR260" s="500"/>
      <c r="ALS260" s="500"/>
      <c r="ALT260" s="500"/>
      <c r="ALU260" s="500"/>
      <c r="ALV260" s="500"/>
      <c r="ALW260" s="500"/>
      <c r="ALX260" s="500"/>
      <c r="ALY260" s="500"/>
      <c r="ALZ260" s="500"/>
      <c r="AMA260" s="500"/>
      <c r="AMB260" s="500"/>
      <c r="AMC260" s="500"/>
      <c r="AMD260" s="500"/>
      <c r="AME260" s="500"/>
      <c r="AMF260" s="500"/>
      <c r="AMG260" s="500"/>
      <c r="AMH260" s="500"/>
      <c r="AMI260" s="500"/>
      <c r="AMJ260" s="500"/>
      <c r="AMK260" s="500"/>
      <c r="AML260" s="500"/>
      <c r="AMM260" s="500"/>
      <c r="AMN260" s="500"/>
      <c r="AMO260" s="500"/>
      <c r="AMP260" s="500"/>
      <c r="AMQ260" s="500"/>
      <c r="AMR260" s="500"/>
      <c r="AMS260" s="500"/>
      <c r="AMT260" s="500"/>
      <c r="AMU260" s="500"/>
      <c r="AMV260" s="500"/>
      <c r="AMW260" s="500"/>
      <c r="AMX260" s="500"/>
      <c r="AMY260" s="500"/>
      <c r="AMZ260" s="500"/>
      <c r="ANA260" s="500"/>
      <c r="ANB260" s="500"/>
      <c r="ANC260" s="500"/>
      <c r="AND260" s="500"/>
      <c r="ANE260" s="500"/>
      <c r="ANF260" s="500"/>
      <c r="ANG260" s="500"/>
      <c r="ANH260" s="500"/>
      <c r="ANI260" s="500"/>
      <c r="ANJ260" s="500"/>
      <c r="ANK260" s="500"/>
      <c r="ANL260" s="500"/>
      <c r="ANM260" s="500"/>
      <c r="ANN260" s="500"/>
      <c r="ANO260" s="500"/>
      <c r="ANP260" s="500"/>
      <c r="ANQ260" s="500"/>
      <c r="ANR260" s="500"/>
      <c r="ANS260" s="500"/>
      <c r="ANT260" s="500"/>
      <c r="ANU260" s="500"/>
      <c r="ANV260" s="500"/>
      <c r="ANW260" s="500"/>
      <c r="ANX260" s="500"/>
      <c r="ANY260" s="500"/>
      <c r="ANZ260" s="500"/>
      <c r="AOA260" s="500"/>
      <c r="AOB260" s="500"/>
      <c r="AOC260" s="500"/>
      <c r="AOD260" s="500"/>
      <c r="AOE260" s="500"/>
      <c r="AOF260" s="500"/>
      <c r="AOG260" s="500"/>
      <c r="AOH260" s="500"/>
      <c r="AOI260" s="500"/>
      <c r="AOJ260" s="500"/>
      <c r="AOK260" s="500"/>
      <c r="AOL260" s="500"/>
      <c r="AOM260" s="500"/>
      <c r="AON260" s="500"/>
      <c r="AOO260" s="500"/>
      <c r="AOP260" s="500"/>
      <c r="AOQ260" s="500"/>
      <c r="AOR260" s="500"/>
      <c r="AOS260" s="500"/>
      <c r="AOT260" s="500"/>
      <c r="AOU260" s="500"/>
      <c r="AOV260" s="500"/>
      <c r="AOW260" s="500"/>
      <c r="AOX260" s="500"/>
      <c r="AOY260" s="500"/>
      <c r="AOZ260" s="500"/>
      <c r="APA260" s="500"/>
      <c r="APB260" s="500"/>
      <c r="APC260" s="500"/>
      <c r="APD260" s="500"/>
      <c r="APE260" s="500"/>
      <c r="APF260" s="500"/>
      <c r="APG260" s="500"/>
      <c r="APH260" s="500"/>
      <c r="API260" s="500"/>
      <c r="APJ260" s="500"/>
      <c r="APK260" s="500"/>
      <c r="APL260" s="500"/>
      <c r="APM260" s="500"/>
      <c r="APN260" s="500"/>
      <c r="APO260" s="500"/>
      <c r="APP260" s="500"/>
      <c r="APQ260" s="500"/>
      <c r="APR260" s="500"/>
      <c r="APS260" s="500"/>
      <c r="APT260" s="500"/>
      <c r="APU260" s="500"/>
      <c r="APV260" s="500"/>
      <c r="APW260" s="500"/>
      <c r="APX260" s="500"/>
      <c r="APY260" s="500"/>
      <c r="APZ260" s="500"/>
      <c r="AQA260" s="500"/>
      <c r="AQB260" s="500"/>
      <c r="AQC260" s="500"/>
      <c r="AQD260" s="500"/>
      <c r="AQE260" s="500"/>
      <c r="AQF260" s="500"/>
      <c r="AQG260" s="500"/>
      <c r="AQH260" s="500"/>
      <c r="AQI260" s="500"/>
      <c r="AQJ260" s="500"/>
      <c r="AQK260" s="500"/>
      <c r="AQL260" s="500"/>
      <c r="AQM260" s="500"/>
      <c r="AQN260" s="500"/>
      <c r="AQO260" s="500"/>
      <c r="AQP260" s="500"/>
      <c r="AQQ260" s="500"/>
      <c r="AQR260" s="500"/>
      <c r="AQS260" s="500"/>
      <c r="AQT260" s="500"/>
      <c r="AQU260" s="500"/>
      <c r="AQV260" s="500"/>
      <c r="AQW260" s="500"/>
      <c r="AQX260" s="500"/>
      <c r="AQY260" s="500"/>
      <c r="AQZ260" s="500"/>
      <c r="ARA260" s="500"/>
      <c r="ARB260" s="500"/>
      <c r="ARC260" s="500"/>
      <c r="ARD260" s="500"/>
      <c r="ARE260" s="500"/>
      <c r="ARF260" s="500"/>
      <c r="ARG260" s="500"/>
      <c r="ARH260" s="500"/>
      <c r="ARI260" s="500"/>
      <c r="ARJ260" s="500"/>
      <c r="ARK260" s="500"/>
      <c r="ARL260" s="500"/>
      <c r="ARM260" s="500"/>
      <c r="ARN260" s="500"/>
      <c r="ARO260" s="500"/>
      <c r="ARP260" s="500"/>
      <c r="ARQ260" s="500"/>
      <c r="ARR260" s="500"/>
      <c r="ARS260" s="500"/>
      <c r="ART260" s="500"/>
      <c r="ARU260" s="500"/>
      <c r="ARV260" s="500"/>
      <c r="ARW260" s="500"/>
      <c r="ARX260" s="500"/>
      <c r="ARY260" s="500"/>
      <c r="ARZ260" s="500"/>
      <c r="ASA260" s="500"/>
      <c r="ASB260" s="500"/>
      <c r="ASC260" s="500"/>
      <c r="ASD260" s="500"/>
      <c r="ASE260" s="500"/>
      <c r="ASF260" s="500"/>
      <c r="ASG260" s="500"/>
      <c r="ASH260" s="500"/>
      <c r="ASI260" s="500"/>
      <c r="ASJ260" s="500"/>
      <c r="ASK260" s="500"/>
      <c r="ASL260" s="500"/>
      <c r="ASM260" s="500"/>
      <c r="ASN260" s="500"/>
      <c r="ASO260" s="500"/>
      <c r="ASP260" s="500"/>
      <c r="ASQ260" s="500"/>
      <c r="ASR260" s="500"/>
      <c r="ASS260" s="500"/>
      <c r="AST260" s="500"/>
      <c r="ASU260" s="500"/>
      <c r="ASV260" s="500"/>
      <c r="ASW260" s="500"/>
      <c r="ASX260" s="500"/>
      <c r="ASY260" s="500"/>
      <c r="ASZ260" s="500"/>
      <c r="ATA260" s="500"/>
      <c r="ATB260" s="500"/>
      <c r="ATC260" s="500"/>
      <c r="ATD260" s="500"/>
      <c r="ATE260" s="500"/>
      <c r="ATF260" s="500"/>
      <c r="ATG260" s="500"/>
      <c r="ATH260" s="500"/>
      <c r="ATI260" s="500"/>
      <c r="ATJ260" s="500"/>
      <c r="ATK260" s="500"/>
      <c r="ATL260" s="500"/>
      <c r="ATM260" s="500"/>
      <c r="ATN260" s="500"/>
      <c r="ATO260" s="500"/>
      <c r="ATP260" s="500"/>
      <c r="ATQ260" s="500"/>
      <c r="ATR260" s="500"/>
      <c r="ATS260" s="500"/>
      <c r="ATT260" s="500"/>
      <c r="ATU260" s="500"/>
      <c r="ATV260" s="500"/>
      <c r="ATW260" s="500"/>
      <c r="ATX260" s="500"/>
      <c r="ATY260" s="500"/>
      <c r="ATZ260" s="500"/>
      <c r="AUA260" s="500"/>
      <c r="AUB260" s="500"/>
      <c r="AUC260" s="500"/>
      <c r="AUD260" s="500"/>
      <c r="AUE260" s="500"/>
      <c r="AUF260" s="500"/>
      <c r="AUG260" s="500"/>
      <c r="AUH260" s="500"/>
      <c r="AUI260" s="500"/>
      <c r="AUJ260" s="500"/>
      <c r="AUK260" s="500"/>
      <c r="AUL260" s="500"/>
      <c r="AUM260" s="500"/>
      <c r="AUN260" s="500"/>
      <c r="AUO260" s="500"/>
      <c r="AUP260" s="500"/>
      <c r="AUQ260" s="500"/>
      <c r="AUR260" s="500"/>
      <c r="AUS260" s="500"/>
      <c r="AUT260" s="500"/>
      <c r="AUU260" s="500"/>
      <c r="AUV260" s="500"/>
      <c r="AUW260" s="500"/>
      <c r="AUX260" s="500"/>
      <c r="AUY260" s="500"/>
      <c r="AUZ260" s="500"/>
      <c r="AVA260" s="500"/>
      <c r="AVB260" s="500"/>
      <c r="AVC260" s="500"/>
      <c r="AVD260" s="500"/>
      <c r="AVE260" s="500"/>
      <c r="AVF260" s="500"/>
      <c r="AVG260" s="500"/>
      <c r="AVH260" s="500"/>
      <c r="AVI260" s="500"/>
      <c r="AVJ260" s="500"/>
      <c r="AVK260" s="500"/>
      <c r="AVL260" s="500"/>
      <c r="AVM260" s="500"/>
      <c r="AVN260" s="500"/>
      <c r="AVO260" s="500"/>
      <c r="AVP260" s="500"/>
      <c r="AVQ260" s="500"/>
      <c r="AVR260" s="500"/>
      <c r="AVS260" s="500"/>
      <c r="AVT260" s="500"/>
      <c r="AVU260" s="500"/>
      <c r="AVV260" s="500"/>
      <c r="AVW260" s="500"/>
      <c r="AVX260" s="500"/>
      <c r="AVY260" s="500"/>
      <c r="AVZ260" s="500"/>
      <c r="AWA260" s="500"/>
      <c r="AWB260" s="500"/>
      <c r="AWC260" s="500"/>
      <c r="AWD260" s="500"/>
      <c r="AWE260" s="500"/>
      <c r="AWF260" s="500"/>
      <c r="AWG260" s="500"/>
      <c r="AWH260" s="500"/>
      <c r="AWI260" s="500"/>
      <c r="AWJ260" s="500"/>
      <c r="AWK260" s="500"/>
      <c r="AWL260" s="500"/>
      <c r="AWM260" s="500"/>
      <c r="AWN260" s="500"/>
      <c r="AWO260" s="500"/>
      <c r="AWP260" s="500"/>
      <c r="AWQ260" s="500"/>
      <c r="AWR260" s="500"/>
      <c r="AWS260" s="500"/>
      <c r="AWT260" s="500"/>
      <c r="AWU260" s="500"/>
      <c r="AWV260" s="500"/>
      <c r="AWW260" s="500"/>
      <c r="AWX260" s="500"/>
      <c r="AWY260" s="500"/>
      <c r="AWZ260" s="500"/>
      <c r="AXA260" s="500"/>
      <c r="AXB260" s="500"/>
      <c r="AXC260" s="500"/>
      <c r="AXD260" s="500"/>
      <c r="AXE260" s="500"/>
      <c r="AXF260" s="500"/>
      <c r="AXG260" s="500"/>
      <c r="AXH260" s="500"/>
      <c r="AXI260" s="500"/>
      <c r="AXJ260" s="500"/>
      <c r="AXK260" s="500"/>
      <c r="AXL260" s="500"/>
      <c r="AXM260" s="500"/>
      <c r="AXN260" s="500"/>
      <c r="AXO260" s="500"/>
      <c r="AXP260" s="500"/>
      <c r="AXQ260" s="500"/>
      <c r="AXR260" s="500"/>
      <c r="AXS260" s="500"/>
      <c r="AXT260" s="500"/>
      <c r="AXU260" s="500"/>
      <c r="AXV260" s="500"/>
      <c r="AXW260" s="500"/>
      <c r="AXX260" s="500"/>
      <c r="AXY260" s="500"/>
      <c r="AXZ260" s="500"/>
      <c r="AYA260" s="500"/>
      <c r="AYB260" s="500"/>
      <c r="AYC260" s="500"/>
      <c r="AYD260" s="500"/>
      <c r="AYE260" s="500"/>
      <c r="AYF260" s="500"/>
      <c r="AYG260" s="500"/>
      <c r="AYH260" s="500"/>
      <c r="AYI260" s="500"/>
      <c r="AYJ260" s="500"/>
      <c r="AYK260" s="500"/>
      <c r="AYL260" s="500"/>
      <c r="AYM260" s="500"/>
      <c r="AYN260" s="500"/>
      <c r="AYO260" s="500"/>
      <c r="AYP260" s="500"/>
      <c r="AYQ260" s="500"/>
      <c r="AYR260" s="500"/>
      <c r="AYS260" s="500"/>
      <c r="AYT260" s="500"/>
      <c r="AYU260" s="500"/>
      <c r="AYV260" s="500"/>
      <c r="AYW260" s="500"/>
      <c r="AYX260" s="500"/>
      <c r="AYY260" s="500"/>
      <c r="AYZ260" s="500"/>
      <c r="AZA260" s="500"/>
      <c r="AZB260" s="500"/>
      <c r="AZC260" s="500"/>
      <c r="AZD260" s="500"/>
      <c r="AZE260" s="500"/>
      <c r="AZF260" s="500"/>
      <c r="AZG260" s="500"/>
      <c r="AZH260" s="500"/>
      <c r="AZI260" s="500"/>
      <c r="AZJ260" s="500"/>
      <c r="AZK260" s="500"/>
      <c r="AZL260" s="500"/>
      <c r="AZM260" s="500"/>
      <c r="AZN260" s="500"/>
      <c r="AZO260" s="500"/>
      <c r="AZP260" s="500"/>
      <c r="AZQ260" s="500"/>
      <c r="AZR260" s="500"/>
      <c r="AZS260" s="500"/>
      <c r="AZT260" s="500"/>
      <c r="AZU260" s="500"/>
      <c r="AZV260" s="500"/>
      <c r="AZW260" s="500"/>
      <c r="AZX260" s="500"/>
      <c r="AZY260" s="500"/>
      <c r="AZZ260" s="500"/>
      <c r="BAA260" s="500"/>
      <c r="BAB260" s="500"/>
      <c r="BAC260" s="500"/>
      <c r="BAD260" s="500"/>
      <c r="BAE260" s="500"/>
      <c r="BAF260" s="500"/>
      <c r="BAG260" s="500"/>
      <c r="BAH260" s="500"/>
      <c r="BAI260" s="500"/>
      <c r="BAJ260" s="500"/>
      <c r="BAK260" s="500"/>
      <c r="BAL260" s="500"/>
      <c r="BAM260" s="500"/>
      <c r="BAN260" s="500"/>
      <c r="BAO260" s="500"/>
      <c r="BAP260" s="500"/>
      <c r="BAQ260" s="500"/>
      <c r="BAR260" s="500"/>
      <c r="BAS260" s="500"/>
      <c r="BAT260" s="500"/>
      <c r="BAU260" s="500"/>
      <c r="BAV260" s="500"/>
      <c r="BAW260" s="500"/>
      <c r="BAX260" s="500"/>
      <c r="BAY260" s="500"/>
      <c r="BAZ260" s="500"/>
      <c r="BBA260" s="500"/>
      <c r="BBB260" s="500"/>
      <c r="BBC260" s="500"/>
      <c r="BBD260" s="500"/>
      <c r="BBE260" s="500"/>
      <c r="BBF260" s="500"/>
      <c r="BBG260" s="500"/>
      <c r="BBH260" s="500"/>
      <c r="BBI260" s="500"/>
      <c r="BBJ260" s="500"/>
      <c r="BBK260" s="500"/>
      <c r="BBL260" s="500"/>
      <c r="BBM260" s="500"/>
      <c r="BBN260" s="500"/>
      <c r="BBO260" s="500"/>
      <c r="BBP260" s="500"/>
      <c r="BBQ260" s="500"/>
      <c r="BBR260" s="500"/>
      <c r="BBS260" s="500"/>
      <c r="BBT260" s="500"/>
      <c r="BBU260" s="500"/>
      <c r="BBV260" s="500"/>
      <c r="BBW260" s="500"/>
      <c r="BBX260" s="500"/>
      <c r="BBY260" s="500"/>
      <c r="BBZ260" s="500"/>
      <c r="BCA260" s="500"/>
      <c r="BCB260" s="500"/>
      <c r="BCC260" s="500"/>
      <c r="BCD260" s="500"/>
      <c r="BCE260" s="500"/>
      <c r="BCF260" s="500"/>
      <c r="BCG260" s="500"/>
      <c r="BCH260" s="500"/>
      <c r="BCI260" s="500"/>
      <c r="BCJ260" s="500"/>
      <c r="BCK260" s="500"/>
      <c r="BCL260" s="500"/>
      <c r="BCM260" s="500"/>
      <c r="BCN260" s="500"/>
      <c r="BCO260" s="500"/>
      <c r="BCP260" s="500"/>
      <c r="BCQ260" s="500"/>
      <c r="BCR260" s="500"/>
      <c r="BCS260" s="500"/>
      <c r="BCT260" s="500"/>
      <c r="BCU260" s="500"/>
      <c r="BCV260" s="500"/>
      <c r="BCW260" s="500"/>
      <c r="BCX260" s="500"/>
      <c r="BCY260" s="500"/>
      <c r="BCZ260" s="500"/>
      <c r="BDA260" s="500"/>
      <c r="BDB260" s="500"/>
      <c r="BDC260" s="500"/>
      <c r="BDD260" s="500"/>
      <c r="BDE260" s="500"/>
      <c r="BDF260" s="500"/>
      <c r="BDG260" s="500"/>
      <c r="BDH260" s="500"/>
      <c r="BDI260" s="500"/>
      <c r="BDJ260" s="500"/>
      <c r="BDK260" s="500"/>
      <c r="BDL260" s="500"/>
      <c r="BDM260" s="500"/>
      <c r="BDN260" s="500"/>
      <c r="BDO260" s="500"/>
      <c r="BDP260" s="500"/>
      <c r="BDQ260" s="500"/>
      <c r="BDR260" s="500"/>
      <c r="BDS260" s="500"/>
      <c r="BDT260" s="500"/>
      <c r="BDU260" s="500"/>
      <c r="BDV260" s="500"/>
      <c r="BDW260" s="500"/>
      <c r="BDX260" s="500"/>
      <c r="BDY260" s="500"/>
      <c r="BDZ260" s="500"/>
      <c r="BEA260" s="500"/>
      <c r="BEB260" s="500"/>
      <c r="BEC260" s="500"/>
      <c r="BED260" s="500"/>
      <c r="BEE260" s="500"/>
      <c r="BEF260" s="500"/>
      <c r="BEG260" s="500"/>
      <c r="BEH260" s="500"/>
      <c r="BEI260" s="500"/>
      <c r="BEJ260" s="500"/>
      <c r="BEK260" s="500"/>
      <c r="BEL260" s="500"/>
      <c r="BEM260" s="500"/>
      <c r="BEN260" s="500"/>
      <c r="BEO260" s="500"/>
      <c r="BEP260" s="500"/>
      <c r="BEQ260" s="500"/>
      <c r="BER260" s="500"/>
      <c r="BES260" s="500"/>
      <c r="BET260" s="500"/>
      <c r="BEU260" s="500"/>
      <c r="BEV260" s="500"/>
      <c r="BEW260" s="500"/>
      <c r="BEX260" s="500"/>
      <c r="BEY260" s="500"/>
      <c r="BEZ260" s="500"/>
      <c r="BFA260" s="500"/>
      <c r="BFB260" s="500"/>
      <c r="BFC260" s="500"/>
      <c r="BFD260" s="500"/>
      <c r="BFE260" s="500"/>
      <c r="BFF260" s="500"/>
      <c r="BFG260" s="500"/>
      <c r="BFH260" s="500"/>
      <c r="BFI260" s="500"/>
      <c r="BFJ260" s="500"/>
      <c r="BFK260" s="500"/>
      <c r="BFL260" s="500"/>
      <c r="BFM260" s="500"/>
      <c r="BFN260" s="500"/>
      <c r="BFO260" s="500"/>
      <c r="BFP260" s="500"/>
      <c r="BFQ260" s="500"/>
      <c r="BFR260" s="500"/>
      <c r="BFS260" s="500"/>
      <c r="BFT260" s="500"/>
      <c r="BFU260" s="500"/>
      <c r="BFV260" s="500"/>
      <c r="BFW260" s="500"/>
      <c r="BFX260" s="500"/>
      <c r="BFY260" s="500"/>
      <c r="BFZ260" s="500"/>
      <c r="BGA260" s="500"/>
      <c r="BGB260" s="500"/>
      <c r="BGC260" s="500"/>
      <c r="BGD260" s="500"/>
      <c r="BGE260" s="500"/>
      <c r="BGF260" s="500"/>
      <c r="BGG260" s="500"/>
      <c r="BGH260" s="500"/>
      <c r="BGI260" s="500"/>
      <c r="BGJ260" s="500"/>
      <c r="BGK260" s="500"/>
      <c r="BGL260" s="500"/>
      <c r="BGM260" s="500"/>
      <c r="BGN260" s="500"/>
      <c r="BGO260" s="500"/>
      <c r="BGP260" s="500"/>
      <c r="BGQ260" s="500"/>
      <c r="BGR260" s="500"/>
      <c r="BGS260" s="500"/>
      <c r="BGT260" s="500"/>
      <c r="BGU260" s="500"/>
      <c r="BGV260" s="500"/>
      <c r="BGW260" s="500"/>
      <c r="BGX260" s="500"/>
      <c r="BGY260" s="500"/>
      <c r="BGZ260" s="500"/>
      <c r="BHA260" s="500"/>
      <c r="BHB260" s="500"/>
      <c r="BHC260" s="500"/>
      <c r="BHD260" s="500"/>
      <c r="BHE260" s="500"/>
      <c r="BHF260" s="500"/>
      <c r="BHG260" s="500"/>
      <c r="BHH260" s="500"/>
      <c r="BHI260" s="500"/>
      <c r="BHJ260" s="500"/>
      <c r="BHK260" s="500"/>
      <c r="BHL260" s="500"/>
      <c r="BHM260" s="500"/>
      <c r="BHN260" s="500"/>
      <c r="BHO260" s="500"/>
      <c r="BHP260" s="500"/>
      <c r="BHQ260" s="500"/>
      <c r="BHR260" s="500"/>
      <c r="BHS260" s="500"/>
      <c r="BHT260" s="500"/>
      <c r="BHU260" s="500"/>
      <c r="BHV260" s="500"/>
      <c r="BHW260" s="500"/>
      <c r="BHX260" s="500"/>
      <c r="BHY260" s="500"/>
      <c r="BHZ260" s="500"/>
      <c r="BIA260" s="500"/>
      <c r="BIB260" s="500"/>
      <c r="BIC260" s="500"/>
      <c r="BID260" s="500"/>
      <c r="BIE260" s="500"/>
      <c r="BIF260" s="500"/>
      <c r="BIG260" s="500"/>
      <c r="BIH260" s="500"/>
      <c r="BII260" s="500"/>
      <c r="BIJ260" s="500"/>
      <c r="BIK260" s="500"/>
      <c r="BIL260" s="500"/>
      <c r="BIM260" s="500"/>
      <c r="BIN260" s="500"/>
      <c r="BIO260" s="500"/>
      <c r="BIP260" s="500"/>
      <c r="BIQ260" s="500"/>
      <c r="BIR260" s="500"/>
      <c r="BIS260" s="500"/>
      <c r="BIT260" s="500"/>
      <c r="BIU260" s="500"/>
      <c r="BIV260" s="500"/>
      <c r="BIW260" s="500"/>
      <c r="BIX260" s="500"/>
      <c r="BIY260" s="500"/>
      <c r="BIZ260" s="500"/>
      <c r="BJA260" s="500"/>
      <c r="BJB260" s="500"/>
      <c r="BJC260" s="500"/>
      <c r="BJD260" s="500"/>
      <c r="BJE260" s="500"/>
      <c r="BJF260" s="500"/>
      <c r="BJG260" s="500"/>
      <c r="BJH260" s="500"/>
      <c r="BJI260" s="500"/>
      <c r="BJJ260" s="500"/>
      <c r="BJK260" s="500"/>
      <c r="BJL260" s="500"/>
      <c r="BJM260" s="500"/>
      <c r="BJN260" s="500"/>
      <c r="BJO260" s="500"/>
      <c r="BJP260" s="500"/>
      <c r="BJQ260" s="500"/>
      <c r="BJR260" s="500"/>
      <c r="BJS260" s="500"/>
      <c r="BJT260" s="500"/>
      <c r="BJU260" s="500"/>
      <c r="BJV260" s="500"/>
      <c r="BJW260" s="500"/>
      <c r="BJX260" s="500"/>
      <c r="BJY260" s="500"/>
      <c r="BJZ260" s="500"/>
      <c r="BKA260" s="500"/>
      <c r="BKB260" s="500"/>
      <c r="BKC260" s="500"/>
      <c r="BKD260" s="500"/>
      <c r="BKE260" s="500"/>
      <c r="BKF260" s="500"/>
      <c r="BKG260" s="500"/>
      <c r="BKH260" s="500"/>
      <c r="BKI260" s="500"/>
      <c r="BKJ260" s="500"/>
      <c r="BKK260" s="500"/>
      <c r="BKL260" s="500"/>
      <c r="BKM260" s="500"/>
      <c r="BKN260" s="500"/>
      <c r="BKO260" s="500"/>
      <c r="BKP260" s="500"/>
      <c r="BKQ260" s="500"/>
      <c r="BKR260" s="500"/>
      <c r="BKS260" s="500"/>
      <c r="BKT260" s="500"/>
      <c r="BKU260" s="500"/>
      <c r="BKV260" s="500"/>
      <c r="BKW260" s="500"/>
      <c r="BKX260" s="500"/>
      <c r="BKY260" s="500"/>
      <c r="BKZ260" s="500"/>
      <c r="BLA260" s="500"/>
      <c r="BLB260" s="500"/>
      <c r="BLC260" s="500"/>
      <c r="BLD260" s="500"/>
      <c r="BLE260" s="500"/>
      <c r="BLF260" s="500"/>
      <c r="BLG260" s="500"/>
      <c r="BLH260" s="500"/>
      <c r="BLI260" s="500"/>
      <c r="BLJ260" s="500"/>
      <c r="BLK260" s="500"/>
      <c r="BLL260" s="500"/>
      <c r="BLM260" s="500"/>
      <c r="BLN260" s="500"/>
      <c r="BLO260" s="500"/>
      <c r="BLP260" s="500"/>
      <c r="BLQ260" s="500"/>
      <c r="BLR260" s="500"/>
      <c r="BLS260" s="500"/>
      <c r="BLT260" s="500"/>
      <c r="BLU260" s="500"/>
      <c r="BLV260" s="500"/>
      <c r="BLW260" s="500"/>
      <c r="BLX260" s="500"/>
      <c r="BLY260" s="500"/>
      <c r="BLZ260" s="500"/>
      <c r="BMA260" s="500"/>
      <c r="BMB260" s="500"/>
      <c r="BMC260" s="500"/>
      <c r="BMD260" s="500"/>
      <c r="BME260" s="500"/>
      <c r="BMF260" s="500"/>
      <c r="BMG260" s="500"/>
      <c r="BMH260" s="500"/>
      <c r="BMI260" s="500"/>
      <c r="BMJ260" s="500"/>
      <c r="BMK260" s="500"/>
      <c r="BML260" s="500"/>
      <c r="BMM260" s="500"/>
      <c r="BMN260" s="500"/>
      <c r="BMO260" s="500"/>
      <c r="BMP260" s="500"/>
      <c r="BMQ260" s="500"/>
      <c r="BMR260" s="500"/>
      <c r="BMS260" s="500"/>
      <c r="BMT260" s="500"/>
      <c r="BMU260" s="500"/>
      <c r="BMV260" s="500"/>
      <c r="BMW260" s="500"/>
      <c r="BMX260" s="500"/>
      <c r="BMY260" s="500"/>
      <c r="BMZ260" s="500"/>
      <c r="BNA260" s="500"/>
      <c r="BNB260" s="500"/>
      <c r="BNC260" s="500"/>
      <c r="BND260" s="500"/>
      <c r="BNE260" s="500"/>
      <c r="BNF260" s="500"/>
      <c r="BNG260" s="500"/>
      <c r="BNH260" s="500"/>
      <c r="BNI260" s="500"/>
      <c r="BNJ260" s="500"/>
      <c r="BNK260" s="500"/>
      <c r="BNL260" s="500"/>
      <c r="BNM260" s="500"/>
      <c r="BNN260" s="500"/>
      <c r="BNO260" s="500"/>
      <c r="BNP260" s="500"/>
      <c r="BNQ260" s="500"/>
      <c r="BNR260" s="500"/>
      <c r="BNS260" s="500"/>
      <c r="BNT260" s="500"/>
      <c r="BNU260" s="500"/>
      <c r="BNV260" s="500"/>
      <c r="BNW260" s="500"/>
      <c r="BNX260" s="500"/>
      <c r="BNY260" s="500"/>
      <c r="BNZ260" s="500"/>
      <c r="BOA260" s="500"/>
      <c r="BOB260" s="500"/>
      <c r="BOC260" s="500"/>
      <c r="BOD260" s="500"/>
      <c r="BOE260" s="500"/>
      <c r="BOF260" s="500"/>
      <c r="BOG260" s="500"/>
      <c r="BOH260" s="500"/>
      <c r="BOI260" s="500"/>
      <c r="BOJ260" s="500"/>
      <c r="BOK260" s="500"/>
      <c r="BOL260" s="500"/>
      <c r="BOM260" s="500"/>
      <c r="BON260" s="500"/>
      <c r="BOO260" s="500"/>
      <c r="BOP260" s="500"/>
      <c r="BOQ260" s="500"/>
      <c r="BOR260" s="500"/>
      <c r="BOS260" s="500"/>
      <c r="BOT260" s="500"/>
      <c r="BOU260" s="500"/>
      <c r="BOV260" s="500"/>
      <c r="BOW260" s="500"/>
      <c r="BOX260" s="500"/>
      <c r="BOY260" s="500"/>
      <c r="BOZ260" s="500"/>
      <c r="BPA260" s="500"/>
      <c r="BPB260" s="500"/>
      <c r="BPC260" s="500"/>
      <c r="BPD260" s="500"/>
      <c r="BPE260" s="500"/>
      <c r="BPF260" s="500"/>
      <c r="BPG260" s="500"/>
      <c r="BPH260" s="500"/>
      <c r="BPI260" s="500"/>
      <c r="BPJ260" s="500"/>
      <c r="BPK260" s="500"/>
      <c r="BPL260" s="500"/>
      <c r="BPM260" s="500"/>
      <c r="BPN260" s="500"/>
      <c r="BPO260" s="500"/>
      <c r="BPP260" s="500"/>
      <c r="BPQ260" s="500"/>
      <c r="BPR260" s="500"/>
      <c r="BPS260" s="500"/>
      <c r="BPT260" s="500"/>
      <c r="BPU260" s="500"/>
      <c r="BPV260" s="500"/>
      <c r="BPW260" s="500"/>
      <c r="BPX260" s="500"/>
      <c r="BPY260" s="500"/>
      <c r="BPZ260" s="500"/>
      <c r="BQA260" s="500"/>
      <c r="BQB260" s="500"/>
      <c r="BQC260" s="500"/>
      <c r="BQD260" s="500"/>
      <c r="BQE260" s="500"/>
      <c r="BQF260" s="500"/>
      <c r="BQG260" s="500"/>
      <c r="BQH260" s="500"/>
      <c r="BQI260" s="500"/>
      <c r="BQJ260" s="500"/>
      <c r="BQK260" s="500"/>
      <c r="BQL260" s="500"/>
      <c r="BQM260" s="500"/>
      <c r="BQN260" s="500"/>
      <c r="BQO260" s="500"/>
      <c r="BQP260" s="500"/>
      <c r="BQQ260" s="500"/>
      <c r="BQR260" s="500"/>
      <c r="BQS260" s="500"/>
      <c r="BQT260" s="500"/>
      <c r="BQU260" s="500"/>
      <c r="BQV260" s="500"/>
      <c r="BQW260" s="500"/>
      <c r="BQX260" s="500"/>
      <c r="BQY260" s="500"/>
      <c r="BQZ260" s="500"/>
      <c r="BRA260" s="500"/>
      <c r="BRB260" s="500"/>
      <c r="BRC260" s="500"/>
      <c r="BRD260" s="500"/>
      <c r="BRE260" s="500"/>
      <c r="BRF260" s="500"/>
      <c r="BRG260" s="500"/>
      <c r="BRH260" s="500"/>
      <c r="BRI260" s="500"/>
      <c r="BRJ260" s="500"/>
      <c r="BRK260" s="500"/>
      <c r="BRL260" s="500"/>
      <c r="BRM260" s="500"/>
      <c r="BRN260" s="500"/>
      <c r="BRO260" s="500"/>
      <c r="BRP260" s="500"/>
      <c r="BRQ260" s="500"/>
      <c r="BRR260" s="500"/>
      <c r="BRS260" s="500"/>
      <c r="BRT260" s="500"/>
      <c r="BRU260" s="500"/>
      <c r="BRV260" s="500"/>
      <c r="BRW260" s="500"/>
      <c r="BRX260" s="500"/>
      <c r="BRY260" s="500"/>
      <c r="BRZ260" s="500"/>
      <c r="BSA260" s="500"/>
      <c r="BSB260" s="500"/>
      <c r="BSC260" s="500"/>
      <c r="BSD260" s="500"/>
      <c r="BSE260" s="500"/>
      <c r="BSF260" s="500"/>
      <c r="BSG260" s="500"/>
      <c r="BSH260" s="500"/>
      <c r="BSI260" s="500"/>
      <c r="BSJ260" s="500"/>
      <c r="BSK260" s="500"/>
      <c r="BSL260" s="500"/>
      <c r="BSM260" s="500"/>
      <c r="BSN260" s="500"/>
      <c r="BSO260" s="500"/>
      <c r="BSP260" s="500"/>
      <c r="BSQ260" s="500"/>
      <c r="BSR260" s="500"/>
      <c r="BSS260" s="500"/>
      <c r="BST260" s="500"/>
      <c r="BSU260" s="500"/>
      <c r="BSV260" s="500"/>
      <c r="BSW260" s="500"/>
      <c r="BSX260" s="500"/>
      <c r="BSY260" s="500"/>
      <c r="BSZ260" s="500"/>
      <c r="BTA260" s="500"/>
      <c r="BTB260" s="500"/>
      <c r="BTC260" s="500"/>
      <c r="BTD260" s="500"/>
      <c r="BTE260" s="500"/>
      <c r="BTF260" s="500"/>
      <c r="BTG260" s="500"/>
      <c r="BTH260" s="500"/>
      <c r="BTI260" s="500"/>
    </row>
    <row r="261" spans="1:1881" s="499" customFormat="1" ht="30.75" customHeight="1" thickBot="1" x14ac:dyDescent="0.3">
      <c r="A261" s="587">
        <v>962</v>
      </c>
      <c r="B261" s="952" t="s">
        <v>931</v>
      </c>
      <c r="C261" s="953"/>
      <c r="D261" s="954"/>
      <c r="E261" s="955"/>
      <c r="F261" s="886" t="str">
        <f t="shared" ref="F261:F264" si="4">IF(ISBLANK($D261),"&lt;&lt;&lt;&lt;&lt;&lt;&lt;&lt;&lt;&lt;&lt;&lt;&lt;&lt;&lt;&lt;&lt;&lt;&lt;","")</f>
        <v>&lt;&lt;&lt;&lt;&lt;&lt;&lt;&lt;&lt;&lt;&lt;&lt;&lt;&lt;&lt;&lt;&lt;&lt;&lt;</v>
      </c>
      <c r="G261" s="886" t="str">
        <f>IF(ISBLANK($D261),"Cell D261 must be completed.","")</f>
        <v>Cell D261 must be completed.</v>
      </c>
      <c r="H261" s="501"/>
      <c r="I261" s="423"/>
      <c r="J261" s="500"/>
      <c r="K261" s="500"/>
      <c r="L261" s="500"/>
      <c r="M261" s="500"/>
      <c r="N261"/>
      <c r="O261" s="500"/>
      <c r="P261" s="500"/>
      <c r="Q261" s="500"/>
      <c r="R261" s="500"/>
      <c r="S261" s="500"/>
      <c r="T261" s="500"/>
      <c r="U261" s="500"/>
      <c r="V261" s="500"/>
      <c r="W261" s="500"/>
      <c r="X261" s="500"/>
      <c r="Y261" s="500"/>
      <c r="Z261" s="500"/>
      <c r="AA261" s="500"/>
      <c r="AB261" s="500"/>
      <c r="AC261" s="500"/>
      <c r="AD261" s="500"/>
      <c r="AE261" s="500"/>
      <c r="AF261" s="500"/>
      <c r="AG261" s="500"/>
      <c r="AH261" s="500"/>
      <c r="AI261" s="500"/>
      <c r="AJ261" s="500"/>
      <c r="AK261" s="500"/>
      <c r="AL261" s="500"/>
      <c r="AM261" s="500"/>
      <c r="AN261" s="500"/>
      <c r="AO261" s="500"/>
      <c r="AP261" s="500"/>
      <c r="AQ261" s="500"/>
      <c r="AR261" s="500"/>
      <c r="AS261" s="500"/>
      <c r="AT261" s="500"/>
      <c r="AU261" s="500"/>
      <c r="AV261" s="500"/>
      <c r="AW261" s="500"/>
      <c r="AX261" s="500"/>
      <c r="AY261" s="500"/>
      <c r="AZ261" s="500"/>
      <c r="BA261" s="500"/>
      <c r="BB261" s="500"/>
      <c r="BC261" s="500"/>
      <c r="BD261" s="500"/>
      <c r="BE261" s="500"/>
      <c r="BF261" s="500"/>
      <c r="BG261" s="500"/>
      <c r="BH261" s="500"/>
      <c r="BI261" s="500"/>
      <c r="BJ261" s="500"/>
      <c r="BK261" s="500"/>
      <c r="BL261" s="500"/>
      <c r="BM261" s="500"/>
      <c r="BN261" s="500"/>
      <c r="BO261" s="500"/>
      <c r="BP261" s="500"/>
      <c r="BQ261" s="500"/>
      <c r="BR261" s="500"/>
      <c r="BS261" s="500"/>
      <c r="BT261" s="500"/>
      <c r="BU261" s="500"/>
      <c r="BV261" s="500"/>
      <c r="BW261" s="500"/>
      <c r="BX261" s="500"/>
      <c r="BY261" s="500"/>
      <c r="BZ261" s="500"/>
      <c r="CA261" s="500"/>
      <c r="CB261" s="500"/>
      <c r="CC261" s="500"/>
      <c r="CD261" s="500"/>
      <c r="CE261" s="500"/>
      <c r="CF261" s="500"/>
      <c r="CG261" s="500"/>
      <c r="CH261" s="500"/>
      <c r="CI261" s="500"/>
      <c r="CJ261" s="500"/>
      <c r="CK261" s="500"/>
      <c r="CL261" s="500"/>
      <c r="CM261" s="500"/>
      <c r="CN261" s="500"/>
      <c r="CO261" s="500"/>
      <c r="CP261" s="500"/>
      <c r="CQ261" s="500"/>
      <c r="CR261" s="500"/>
      <c r="CS261" s="500"/>
      <c r="CT261" s="500"/>
      <c r="CU261" s="500"/>
      <c r="CV261" s="500"/>
      <c r="CW261" s="500"/>
      <c r="CX261" s="500"/>
      <c r="CY261" s="500"/>
      <c r="CZ261" s="500"/>
      <c r="DA261" s="500"/>
      <c r="DB261" s="500"/>
      <c r="DC261" s="500"/>
      <c r="DD261" s="500"/>
      <c r="DE261" s="500"/>
      <c r="DF261" s="500"/>
      <c r="DG261" s="500"/>
      <c r="DH261" s="500"/>
      <c r="DI261" s="500"/>
      <c r="DJ261" s="500"/>
      <c r="DK261" s="500"/>
      <c r="DL261" s="500"/>
      <c r="DM261" s="500"/>
      <c r="DN261" s="500"/>
      <c r="DO261" s="500"/>
      <c r="DP261" s="500"/>
      <c r="DQ261" s="500"/>
      <c r="DR261" s="500"/>
      <c r="DS261" s="500"/>
      <c r="DT261" s="500"/>
      <c r="DU261" s="500"/>
      <c r="DV261" s="500"/>
      <c r="DW261" s="500"/>
      <c r="DX261" s="500"/>
      <c r="DY261" s="500"/>
      <c r="DZ261" s="500"/>
      <c r="EA261" s="500"/>
      <c r="EB261" s="500"/>
      <c r="EC261" s="500"/>
      <c r="ED261" s="500"/>
      <c r="EE261" s="500"/>
      <c r="EF261" s="500"/>
      <c r="EG261" s="500"/>
      <c r="EH261" s="500"/>
      <c r="EI261" s="500"/>
      <c r="EJ261" s="500"/>
      <c r="EK261" s="500"/>
      <c r="EL261" s="500"/>
      <c r="EM261" s="500"/>
      <c r="EN261" s="500"/>
      <c r="EO261" s="500"/>
      <c r="EP261" s="500"/>
      <c r="EQ261" s="500"/>
      <c r="ER261" s="500"/>
      <c r="ES261" s="500"/>
      <c r="ET261" s="500"/>
      <c r="EU261" s="500"/>
      <c r="EV261" s="500"/>
      <c r="EW261" s="500"/>
      <c r="EX261" s="500"/>
      <c r="EY261" s="500"/>
      <c r="EZ261" s="500"/>
      <c r="FA261" s="500"/>
      <c r="FB261" s="500"/>
      <c r="FC261" s="500"/>
      <c r="FD261" s="500"/>
      <c r="FE261" s="500"/>
      <c r="FF261" s="500"/>
      <c r="FG261" s="500"/>
      <c r="FH261" s="500"/>
      <c r="FI261" s="500"/>
      <c r="FJ261" s="500"/>
      <c r="FK261" s="500"/>
      <c r="FL261" s="500"/>
      <c r="FM261" s="500"/>
      <c r="FN261" s="500"/>
      <c r="FO261" s="500"/>
      <c r="FP261" s="500"/>
      <c r="FQ261" s="500"/>
      <c r="FR261" s="500"/>
      <c r="FS261" s="500"/>
      <c r="FT261" s="500"/>
      <c r="FU261" s="500"/>
      <c r="FV261" s="500"/>
      <c r="FW261" s="500"/>
      <c r="FX261" s="500"/>
      <c r="FY261" s="500"/>
      <c r="FZ261" s="500"/>
      <c r="GA261" s="500"/>
      <c r="GB261" s="500"/>
      <c r="GC261" s="500"/>
      <c r="GD261" s="500"/>
      <c r="GE261" s="500"/>
      <c r="GF261" s="500"/>
      <c r="GG261" s="500"/>
      <c r="GH261" s="500"/>
      <c r="GI261" s="500"/>
      <c r="GJ261" s="500"/>
      <c r="GK261" s="500"/>
      <c r="GL261" s="500"/>
      <c r="GM261" s="500"/>
      <c r="GN261" s="500"/>
      <c r="GO261" s="500"/>
      <c r="GP261" s="500"/>
      <c r="GQ261" s="500"/>
      <c r="GR261" s="500"/>
      <c r="GS261" s="500"/>
      <c r="GT261" s="500"/>
      <c r="GU261" s="500"/>
      <c r="GV261" s="500"/>
      <c r="GW261" s="500"/>
      <c r="GX261" s="500"/>
      <c r="GY261" s="500"/>
      <c r="GZ261" s="500"/>
      <c r="HA261" s="500"/>
      <c r="HB261" s="500"/>
      <c r="HC261" s="500"/>
      <c r="HD261" s="500"/>
      <c r="HE261" s="500"/>
      <c r="HF261" s="500"/>
      <c r="HG261" s="500"/>
      <c r="HH261" s="500"/>
      <c r="HI261" s="500"/>
      <c r="HJ261" s="500"/>
      <c r="HK261" s="500"/>
      <c r="HL261" s="500"/>
      <c r="HM261" s="500"/>
      <c r="HN261" s="500"/>
      <c r="HO261" s="500"/>
      <c r="HP261" s="500"/>
      <c r="HQ261" s="500"/>
      <c r="HR261" s="500"/>
      <c r="HS261" s="500"/>
      <c r="HT261" s="500"/>
      <c r="HU261" s="500"/>
      <c r="HV261" s="500"/>
      <c r="HW261" s="500"/>
      <c r="HX261" s="500"/>
      <c r="HY261" s="500"/>
      <c r="HZ261" s="500"/>
      <c r="IA261" s="500"/>
      <c r="IB261" s="500"/>
      <c r="IC261" s="500"/>
      <c r="ID261" s="500"/>
      <c r="IE261" s="500"/>
      <c r="IF261" s="500"/>
      <c r="IG261" s="500"/>
      <c r="IH261" s="500"/>
      <c r="II261" s="500"/>
      <c r="IJ261" s="500"/>
      <c r="IK261" s="500"/>
      <c r="IL261" s="500"/>
      <c r="IM261" s="500"/>
      <c r="IN261" s="500"/>
      <c r="IO261" s="500"/>
      <c r="IP261" s="500"/>
      <c r="IQ261" s="500"/>
      <c r="IR261" s="500"/>
      <c r="IS261" s="500"/>
      <c r="IT261" s="500"/>
      <c r="IU261" s="500"/>
      <c r="IV261" s="500"/>
      <c r="IW261" s="500"/>
      <c r="IX261" s="500"/>
      <c r="IY261" s="500"/>
      <c r="IZ261" s="500"/>
      <c r="JA261" s="500"/>
      <c r="JB261" s="500"/>
      <c r="JC261" s="500"/>
      <c r="JD261" s="500"/>
      <c r="JE261" s="500"/>
      <c r="JF261" s="500"/>
      <c r="JG261" s="500"/>
      <c r="JH261" s="500"/>
      <c r="JI261" s="500"/>
      <c r="JJ261" s="500"/>
      <c r="JK261" s="500"/>
      <c r="JL261" s="500"/>
      <c r="JM261" s="500"/>
      <c r="JN261" s="500"/>
      <c r="JO261" s="500"/>
      <c r="JP261" s="500"/>
      <c r="JQ261" s="500"/>
      <c r="JR261" s="500"/>
      <c r="JS261" s="500"/>
      <c r="JT261" s="500"/>
      <c r="JU261" s="500"/>
      <c r="JV261" s="500"/>
      <c r="JW261" s="500"/>
      <c r="JX261" s="500"/>
      <c r="JY261" s="500"/>
      <c r="JZ261" s="500"/>
      <c r="KA261" s="500"/>
      <c r="KB261" s="500"/>
      <c r="KC261" s="500"/>
      <c r="KD261" s="500"/>
      <c r="KE261" s="500"/>
      <c r="KF261" s="500"/>
      <c r="KG261" s="500"/>
      <c r="KH261" s="500"/>
      <c r="KI261" s="500"/>
      <c r="KJ261" s="500"/>
      <c r="KK261" s="500"/>
      <c r="KL261" s="500"/>
      <c r="KM261" s="500"/>
      <c r="KN261" s="500"/>
      <c r="KO261" s="500"/>
      <c r="KP261" s="500"/>
      <c r="KQ261" s="500"/>
      <c r="KR261" s="500"/>
      <c r="KS261" s="500"/>
      <c r="KT261" s="500"/>
      <c r="KU261" s="500"/>
      <c r="KV261" s="500"/>
      <c r="KW261" s="500"/>
      <c r="KX261" s="500"/>
      <c r="KY261" s="500"/>
      <c r="KZ261" s="500"/>
      <c r="LA261" s="500"/>
      <c r="LB261" s="500"/>
      <c r="LC261" s="500"/>
      <c r="LD261" s="500"/>
      <c r="LE261" s="500"/>
      <c r="LF261" s="500"/>
      <c r="LG261" s="500"/>
      <c r="LH261" s="500"/>
      <c r="LI261" s="500"/>
      <c r="LJ261" s="500"/>
      <c r="LK261" s="500"/>
      <c r="LL261" s="500"/>
      <c r="LM261" s="500"/>
      <c r="LN261" s="500"/>
      <c r="LO261" s="500"/>
      <c r="LP261" s="500"/>
      <c r="LQ261" s="500"/>
      <c r="LR261" s="500"/>
      <c r="LS261" s="500"/>
      <c r="LT261" s="500"/>
      <c r="LU261" s="500"/>
      <c r="LV261" s="500"/>
      <c r="LW261" s="500"/>
      <c r="LX261" s="500"/>
      <c r="LY261" s="500"/>
      <c r="LZ261" s="500"/>
      <c r="MA261" s="500"/>
      <c r="MB261" s="500"/>
      <c r="MC261" s="500"/>
      <c r="MD261" s="500"/>
      <c r="ME261" s="500"/>
      <c r="MF261" s="500"/>
      <c r="MG261" s="500"/>
      <c r="MH261" s="500"/>
      <c r="MI261" s="500"/>
      <c r="MJ261" s="500"/>
      <c r="MK261" s="500"/>
      <c r="ML261" s="500"/>
      <c r="MM261" s="500"/>
      <c r="MN261" s="500"/>
      <c r="MO261" s="500"/>
      <c r="MP261" s="500"/>
      <c r="MQ261" s="500"/>
      <c r="MR261" s="500"/>
      <c r="MS261" s="500"/>
      <c r="MT261" s="500"/>
      <c r="MU261" s="500"/>
      <c r="MV261" s="500"/>
      <c r="MW261" s="500"/>
      <c r="MX261" s="500"/>
      <c r="MY261" s="500"/>
      <c r="MZ261" s="500"/>
      <c r="NA261" s="500"/>
      <c r="NB261" s="500"/>
      <c r="NC261" s="500"/>
      <c r="ND261" s="500"/>
      <c r="NE261" s="500"/>
      <c r="NF261" s="500"/>
      <c r="NG261" s="500"/>
      <c r="NH261" s="500"/>
      <c r="NI261" s="500"/>
      <c r="NJ261" s="500"/>
      <c r="NK261" s="500"/>
      <c r="NL261" s="500"/>
      <c r="NM261" s="500"/>
      <c r="NN261" s="500"/>
      <c r="NO261" s="500"/>
      <c r="NP261" s="500"/>
      <c r="NQ261" s="500"/>
      <c r="NR261" s="500"/>
      <c r="NS261" s="500"/>
      <c r="NT261" s="500"/>
      <c r="NU261" s="500"/>
      <c r="NV261" s="500"/>
      <c r="NW261" s="500"/>
      <c r="NX261" s="500"/>
      <c r="NY261" s="500"/>
      <c r="NZ261" s="500"/>
      <c r="OA261" s="500"/>
      <c r="OB261" s="500"/>
      <c r="OC261" s="500"/>
      <c r="OD261" s="500"/>
      <c r="OE261" s="500"/>
      <c r="OF261" s="500"/>
      <c r="OG261" s="500"/>
      <c r="OH261" s="500"/>
      <c r="OI261" s="500"/>
      <c r="OJ261" s="500"/>
      <c r="OK261" s="500"/>
      <c r="OL261" s="500"/>
      <c r="OM261" s="500"/>
      <c r="ON261" s="500"/>
      <c r="OO261" s="500"/>
      <c r="OP261" s="500"/>
      <c r="OQ261" s="500"/>
      <c r="OR261" s="500"/>
      <c r="OS261" s="500"/>
      <c r="OT261" s="500"/>
      <c r="OU261" s="500"/>
      <c r="OV261" s="500"/>
      <c r="OW261" s="500"/>
      <c r="OX261" s="500"/>
      <c r="OY261" s="500"/>
      <c r="OZ261" s="500"/>
      <c r="PA261" s="500"/>
      <c r="PB261" s="500"/>
      <c r="PC261" s="500"/>
      <c r="PD261" s="500"/>
      <c r="PE261" s="500"/>
      <c r="PF261" s="500"/>
      <c r="PG261" s="500"/>
      <c r="PH261" s="500"/>
      <c r="PI261" s="500"/>
      <c r="PJ261" s="500"/>
      <c r="PK261" s="500"/>
      <c r="PL261" s="500"/>
      <c r="PM261" s="500"/>
      <c r="PN261" s="500"/>
      <c r="PO261" s="500"/>
      <c r="PP261" s="500"/>
      <c r="PQ261" s="500"/>
      <c r="PR261" s="500"/>
      <c r="PS261" s="500"/>
      <c r="PT261" s="500"/>
      <c r="PU261" s="500"/>
      <c r="PV261" s="500"/>
      <c r="PW261" s="500"/>
      <c r="PX261" s="500"/>
      <c r="PY261" s="500"/>
      <c r="PZ261" s="500"/>
      <c r="QA261" s="500"/>
      <c r="QB261" s="500"/>
      <c r="QC261" s="500"/>
      <c r="QD261" s="500"/>
      <c r="QE261" s="500"/>
      <c r="QF261" s="500"/>
      <c r="QG261" s="500"/>
      <c r="QH261" s="500"/>
      <c r="QI261" s="500"/>
      <c r="QJ261" s="500"/>
      <c r="QK261" s="500"/>
      <c r="QL261" s="500"/>
      <c r="QM261" s="500"/>
      <c r="QN261" s="500"/>
      <c r="QO261" s="500"/>
      <c r="QP261" s="500"/>
      <c r="QQ261" s="500"/>
      <c r="QR261" s="500"/>
      <c r="QS261" s="500"/>
      <c r="QT261" s="500"/>
      <c r="QU261" s="500"/>
      <c r="QV261" s="500"/>
      <c r="QW261" s="500"/>
      <c r="QX261" s="500"/>
      <c r="QY261" s="500"/>
      <c r="QZ261" s="500"/>
      <c r="RA261" s="500"/>
      <c r="RB261" s="500"/>
      <c r="RC261" s="500"/>
      <c r="RD261" s="500"/>
      <c r="RE261" s="500"/>
      <c r="RF261" s="500"/>
      <c r="RG261" s="500"/>
      <c r="RH261" s="500"/>
      <c r="RI261" s="500"/>
      <c r="RJ261" s="500"/>
      <c r="RK261" s="500"/>
      <c r="RL261" s="500"/>
      <c r="RM261" s="500"/>
      <c r="RN261" s="500"/>
      <c r="RO261" s="500"/>
      <c r="RP261" s="500"/>
      <c r="RQ261" s="500"/>
      <c r="RR261" s="500"/>
      <c r="RS261" s="500"/>
      <c r="RT261" s="500"/>
      <c r="RU261" s="500"/>
      <c r="RV261" s="500"/>
      <c r="RW261" s="500"/>
      <c r="RX261" s="500"/>
      <c r="RY261" s="500"/>
      <c r="RZ261" s="500"/>
      <c r="SA261" s="500"/>
      <c r="SB261" s="500"/>
      <c r="SC261" s="500"/>
      <c r="SD261" s="500"/>
      <c r="SE261" s="500"/>
      <c r="SF261" s="500"/>
      <c r="SG261" s="500"/>
      <c r="SH261" s="500"/>
      <c r="SI261" s="500"/>
      <c r="SJ261" s="500"/>
      <c r="SK261" s="500"/>
      <c r="SL261" s="500"/>
      <c r="SM261" s="500"/>
      <c r="SN261" s="500"/>
      <c r="SO261" s="500"/>
      <c r="SP261" s="500"/>
      <c r="SQ261" s="500"/>
      <c r="SR261" s="500"/>
      <c r="SS261" s="500"/>
      <c r="ST261" s="500"/>
      <c r="SU261" s="500"/>
      <c r="SV261" s="500"/>
      <c r="SW261" s="500"/>
      <c r="SX261" s="500"/>
      <c r="SY261" s="500"/>
      <c r="SZ261" s="500"/>
      <c r="TA261" s="500"/>
      <c r="TB261" s="500"/>
      <c r="TC261" s="500"/>
      <c r="TD261" s="500"/>
      <c r="TE261" s="500"/>
      <c r="TF261" s="500"/>
      <c r="TG261" s="500"/>
      <c r="TH261" s="500"/>
      <c r="TI261" s="500"/>
      <c r="TJ261" s="500"/>
      <c r="TK261" s="500"/>
      <c r="TL261" s="500"/>
      <c r="TM261" s="500"/>
      <c r="TN261" s="500"/>
      <c r="TO261" s="500"/>
      <c r="TP261" s="500"/>
      <c r="TQ261" s="500"/>
      <c r="TR261" s="500"/>
      <c r="TS261" s="500"/>
      <c r="TT261" s="500"/>
      <c r="TU261" s="500"/>
      <c r="TV261" s="500"/>
      <c r="TW261" s="500"/>
      <c r="TX261" s="500"/>
      <c r="TY261" s="500"/>
      <c r="TZ261" s="500"/>
      <c r="UA261" s="500"/>
      <c r="UB261" s="500"/>
      <c r="UC261" s="500"/>
      <c r="UD261" s="500"/>
      <c r="UE261" s="500"/>
      <c r="UF261" s="500"/>
      <c r="UG261" s="500"/>
      <c r="UH261" s="500"/>
      <c r="UI261" s="500"/>
      <c r="UJ261" s="500"/>
      <c r="UK261" s="500"/>
      <c r="UL261" s="500"/>
      <c r="UM261" s="500"/>
      <c r="UN261" s="500"/>
      <c r="UO261" s="500"/>
      <c r="UP261" s="500"/>
      <c r="UQ261" s="500"/>
      <c r="UR261" s="500"/>
      <c r="US261" s="500"/>
      <c r="UT261" s="500"/>
      <c r="UU261" s="500"/>
      <c r="UV261" s="500"/>
      <c r="UW261" s="500"/>
      <c r="UX261" s="500"/>
      <c r="UY261" s="500"/>
      <c r="UZ261" s="500"/>
      <c r="VA261" s="500"/>
      <c r="VB261" s="500"/>
      <c r="VC261" s="500"/>
      <c r="VD261" s="500"/>
      <c r="VE261" s="500"/>
      <c r="VF261" s="500"/>
      <c r="VG261" s="500"/>
      <c r="VH261" s="500"/>
      <c r="VI261" s="500"/>
      <c r="VJ261" s="500"/>
      <c r="VK261" s="500"/>
      <c r="VL261" s="500"/>
      <c r="VM261" s="500"/>
      <c r="VN261" s="500"/>
      <c r="VO261" s="500"/>
      <c r="VP261" s="500"/>
      <c r="VQ261" s="500"/>
      <c r="VR261" s="500"/>
      <c r="VS261" s="500"/>
      <c r="VT261" s="500"/>
      <c r="VU261" s="500"/>
      <c r="VV261" s="500"/>
      <c r="VW261" s="500"/>
      <c r="VX261" s="500"/>
      <c r="VY261" s="500"/>
      <c r="VZ261" s="500"/>
      <c r="WA261" s="500"/>
      <c r="WB261" s="500"/>
      <c r="WC261" s="500"/>
      <c r="WD261" s="500"/>
      <c r="WE261" s="500"/>
      <c r="WF261" s="500"/>
      <c r="WG261" s="500"/>
      <c r="WH261" s="500"/>
      <c r="WI261" s="500"/>
      <c r="WJ261" s="500"/>
      <c r="WK261" s="500"/>
      <c r="WL261" s="500"/>
      <c r="WM261" s="500"/>
      <c r="WN261" s="500"/>
      <c r="WO261" s="500"/>
      <c r="WP261" s="500"/>
      <c r="WQ261" s="500"/>
      <c r="WR261" s="500"/>
      <c r="WS261" s="500"/>
      <c r="WT261" s="500"/>
      <c r="WU261" s="500"/>
      <c r="WV261" s="500"/>
      <c r="WW261" s="500"/>
      <c r="WX261" s="500"/>
      <c r="WY261" s="500"/>
      <c r="WZ261" s="500"/>
      <c r="XA261" s="500"/>
      <c r="XB261" s="500"/>
      <c r="XC261" s="500"/>
      <c r="XD261" s="500"/>
      <c r="XE261" s="500"/>
      <c r="XF261" s="500"/>
      <c r="XG261" s="500"/>
      <c r="XH261" s="500"/>
      <c r="XI261" s="500"/>
      <c r="XJ261" s="500"/>
      <c r="XK261" s="500"/>
      <c r="XL261" s="500"/>
      <c r="XM261" s="500"/>
      <c r="XN261" s="500"/>
      <c r="XO261" s="500"/>
      <c r="XP261" s="500"/>
      <c r="XQ261" s="500"/>
      <c r="XR261" s="500"/>
      <c r="XS261" s="500"/>
      <c r="XT261" s="500"/>
      <c r="XU261" s="500"/>
      <c r="XV261" s="500"/>
      <c r="XW261" s="500"/>
      <c r="XX261" s="500"/>
      <c r="XY261" s="500"/>
      <c r="XZ261" s="500"/>
      <c r="YA261" s="500"/>
      <c r="YB261" s="500"/>
      <c r="YC261" s="500"/>
      <c r="YD261" s="500"/>
      <c r="YE261" s="500"/>
      <c r="YF261" s="500"/>
      <c r="YG261" s="500"/>
      <c r="YH261" s="500"/>
      <c r="YI261" s="500"/>
      <c r="YJ261" s="500"/>
      <c r="YK261" s="500"/>
      <c r="YL261" s="500"/>
      <c r="YM261" s="500"/>
      <c r="YN261" s="500"/>
      <c r="YO261" s="500"/>
      <c r="YP261" s="500"/>
      <c r="YQ261" s="500"/>
      <c r="YR261" s="500"/>
      <c r="YS261" s="500"/>
      <c r="YT261" s="500"/>
      <c r="YU261" s="500"/>
      <c r="YV261" s="500"/>
      <c r="YW261" s="500"/>
      <c r="YX261" s="500"/>
      <c r="YY261" s="500"/>
      <c r="YZ261" s="500"/>
      <c r="ZA261" s="500"/>
      <c r="ZB261" s="500"/>
      <c r="ZC261" s="500"/>
      <c r="ZD261" s="500"/>
      <c r="ZE261" s="500"/>
      <c r="ZF261" s="500"/>
      <c r="ZG261" s="500"/>
      <c r="ZH261" s="500"/>
      <c r="ZI261" s="500"/>
      <c r="ZJ261" s="500"/>
      <c r="ZK261" s="500"/>
      <c r="ZL261" s="500"/>
      <c r="ZM261" s="500"/>
      <c r="ZN261" s="500"/>
      <c r="ZO261" s="500"/>
      <c r="ZP261" s="500"/>
      <c r="ZQ261" s="500"/>
      <c r="ZR261" s="500"/>
      <c r="ZS261" s="500"/>
      <c r="ZT261" s="500"/>
      <c r="ZU261" s="500"/>
      <c r="ZV261" s="500"/>
      <c r="ZW261" s="500"/>
      <c r="ZX261" s="500"/>
      <c r="ZY261" s="500"/>
      <c r="ZZ261" s="500"/>
      <c r="AAA261" s="500"/>
      <c r="AAB261" s="500"/>
      <c r="AAC261" s="500"/>
      <c r="AAD261" s="500"/>
      <c r="AAE261" s="500"/>
      <c r="AAF261" s="500"/>
      <c r="AAG261" s="500"/>
      <c r="AAH261" s="500"/>
      <c r="AAI261" s="500"/>
      <c r="AAJ261" s="500"/>
      <c r="AAK261" s="500"/>
      <c r="AAL261" s="500"/>
      <c r="AAM261" s="500"/>
      <c r="AAN261" s="500"/>
      <c r="AAO261" s="500"/>
      <c r="AAP261" s="500"/>
      <c r="AAQ261" s="500"/>
      <c r="AAR261" s="500"/>
      <c r="AAS261" s="500"/>
      <c r="AAT261" s="500"/>
      <c r="AAU261" s="500"/>
      <c r="AAV261" s="500"/>
      <c r="AAW261" s="500"/>
      <c r="AAX261" s="500"/>
      <c r="AAY261" s="500"/>
      <c r="AAZ261" s="500"/>
      <c r="ABA261" s="500"/>
      <c r="ABB261" s="500"/>
      <c r="ABC261" s="500"/>
      <c r="ABD261" s="500"/>
      <c r="ABE261" s="500"/>
      <c r="ABF261" s="500"/>
      <c r="ABG261" s="500"/>
      <c r="ABH261" s="500"/>
      <c r="ABI261" s="500"/>
      <c r="ABJ261" s="500"/>
      <c r="ABK261" s="500"/>
      <c r="ABL261" s="500"/>
      <c r="ABM261" s="500"/>
      <c r="ABN261" s="500"/>
      <c r="ABO261" s="500"/>
      <c r="ABP261" s="500"/>
      <c r="ABQ261" s="500"/>
      <c r="ABR261" s="500"/>
      <c r="ABS261" s="500"/>
      <c r="ABT261" s="500"/>
      <c r="ABU261" s="500"/>
      <c r="ABV261" s="500"/>
      <c r="ABW261" s="500"/>
      <c r="ABX261" s="500"/>
      <c r="ABY261" s="500"/>
      <c r="ABZ261" s="500"/>
      <c r="ACA261" s="500"/>
      <c r="ACB261" s="500"/>
      <c r="ACC261" s="500"/>
      <c r="ACD261" s="500"/>
      <c r="ACE261" s="500"/>
      <c r="ACF261" s="500"/>
      <c r="ACG261" s="500"/>
      <c r="ACH261" s="500"/>
      <c r="ACI261" s="500"/>
      <c r="ACJ261" s="500"/>
      <c r="ACK261" s="500"/>
      <c r="ACL261" s="500"/>
      <c r="ACM261" s="500"/>
      <c r="ACN261" s="500"/>
      <c r="ACO261" s="500"/>
      <c r="ACP261" s="500"/>
      <c r="ACQ261" s="500"/>
      <c r="ACR261" s="500"/>
      <c r="ACS261" s="500"/>
      <c r="ACT261" s="500"/>
      <c r="ACU261" s="500"/>
      <c r="ACV261" s="500"/>
      <c r="ACW261" s="500"/>
      <c r="ACX261" s="500"/>
      <c r="ACY261" s="500"/>
      <c r="ACZ261" s="500"/>
      <c r="ADA261" s="500"/>
      <c r="ADB261" s="500"/>
      <c r="ADC261" s="500"/>
      <c r="ADD261" s="500"/>
      <c r="ADE261" s="500"/>
      <c r="ADF261" s="500"/>
      <c r="ADG261" s="500"/>
      <c r="ADH261" s="500"/>
      <c r="ADI261" s="500"/>
      <c r="ADJ261" s="500"/>
      <c r="ADK261" s="500"/>
      <c r="ADL261" s="500"/>
      <c r="ADM261" s="500"/>
      <c r="ADN261" s="500"/>
      <c r="ADO261" s="500"/>
      <c r="ADP261" s="500"/>
      <c r="ADQ261" s="500"/>
      <c r="ADR261" s="500"/>
      <c r="ADS261" s="500"/>
      <c r="ADT261" s="500"/>
      <c r="ADU261" s="500"/>
      <c r="ADV261" s="500"/>
      <c r="ADW261" s="500"/>
      <c r="ADX261" s="500"/>
      <c r="ADY261" s="500"/>
      <c r="ADZ261" s="500"/>
      <c r="AEA261" s="500"/>
      <c r="AEB261" s="500"/>
      <c r="AEC261" s="500"/>
      <c r="AED261" s="500"/>
      <c r="AEE261" s="500"/>
      <c r="AEF261" s="500"/>
      <c r="AEG261" s="500"/>
      <c r="AEH261" s="500"/>
      <c r="AEI261" s="500"/>
      <c r="AEJ261" s="500"/>
      <c r="AEK261" s="500"/>
      <c r="AEL261" s="500"/>
      <c r="AEM261" s="500"/>
      <c r="AEN261" s="500"/>
      <c r="AEO261" s="500"/>
      <c r="AEP261" s="500"/>
      <c r="AEQ261" s="500"/>
      <c r="AER261" s="500"/>
      <c r="AES261" s="500"/>
      <c r="AET261" s="500"/>
      <c r="AEU261" s="500"/>
      <c r="AEV261" s="500"/>
      <c r="AEW261" s="500"/>
      <c r="AEX261" s="500"/>
      <c r="AEY261" s="500"/>
      <c r="AEZ261" s="500"/>
      <c r="AFA261" s="500"/>
      <c r="AFB261" s="500"/>
      <c r="AFC261" s="500"/>
      <c r="AFD261" s="500"/>
      <c r="AFE261" s="500"/>
      <c r="AFF261" s="500"/>
      <c r="AFG261" s="500"/>
      <c r="AFH261" s="500"/>
      <c r="AFI261" s="500"/>
      <c r="AFJ261" s="500"/>
      <c r="AFK261" s="500"/>
      <c r="AFL261" s="500"/>
      <c r="AFM261" s="500"/>
      <c r="AFN261" s="500"/>
      <c r="AFO261" s="500"/>
      <c r="AFP261" s="500"/>
      <c r="AFQ261" s="500"/>
      <c r="AFR261" s="500"/>
      <c r="AFS261" s="500"/>
      <c r="AFT261" s="500"/>
      <c r="AFU261" s="500"/>
      <c r="AFV261" s="500"/>
      <c r="AFW261" s="500"/>
      <c r="AFX261" s="500"/>
      <c r="AFY261" s="500"/>
      <c r="AFZ261" s="500"/>
      <c r="AGA261" s="500"/>
      <c r="AGB261" s="500"/>
      <c r="AGC261" s="500"/>
      <c r="AGD261" s="500"/>
      <c r="AGE261" s="500"/>
      <c r="AGF261" s="500"/>
      <c r="AGG261" s="500"/>
      <c r="AGH261" s="500"/>
      <c r="AGI261" s="500"/>
      <c r="AGJ261" s="500"/>
      <c r="AGK261" s="500"/>
      <c r="AGL261" s="500"/>
      <c r="AGM261" s="500"/>
      <c r="AGN261" s="500"/>
      <c r="AGO261" s="500"/>
      <c r="AGP261" s="500"/>
      <c r="AGQ261" s="500"/>
      <c r="AGR261" s="500"/>
      <c r="AGS261" s="500"/>
      <c r="AGT261" s="500"/>
      <c r="AGU261" s="500"/>
      <c r="AGV261" s="500"/>
      <c r="AGW261" s="500"/>
      <c r="AGX261" s="500"/>
      <c r="AGY261" s="500"/>
      <c r="AGZ261" s="500"/>
      <c r="AHA261" s="500"/>
      <c r="AHB261" s="500"/>
      <c r="AHC261" s="500"/>
      <c r="AHD261" s="500"/>
      <c r="AHE261" s="500"/>
      <c r="AHF261" s="500"/>
      <c r="AHG261" s="500"/>
      <c r="AHH261" s="500"/>
      <c r="AHI261" s="500"/>
      <c r="AHJ261" s="500"/>
      <c r="AHK261" s="500"/>
      <c r="AHL261" s="500"/>
      <c r="AHM261" s="500"/>
      <c r="AHN261" s="500"/>
      <c r="AHO261" s="500"/>
      <c r="AHP261" s="500"/>
      <c r="AHQ261" s="500"/>
      <c r="AHR261" s="500"/>
      <c r="AHS261" s="500"/>
      <c r="AHT261" s="500"/>
      <c r="AHU261" s="500"/>
      <c r="AHV261" s="500"/>
      <c r="AHW261" s="500"/>
      <c r="AHX261" s="500"/>
      <c r="AHY261" s="500"/>
      <c r="AHZ261" s="500"/>
      <c r="AIA261" s="500"/>
      <c r="AIB261" s="500"/>
      <c r="AIC261" s="500"/>
      <c r="AID261" s="500"/>
      <c r="AIE261" s="500"/>
      <c r="AIF261" s="500"/>
      <c r="AIG261" s="500"/>
      <c r="AIH261" s="500"/>
      <c r="AII261" s="500"/>
      <c r="AIJ261" s="500"/>
      <c r="AIK261" s="500"/>
      <c r="AIL261" s="500"/>
      <c r="AIM261" s="500"/>
      <c r="AIN261" s="500"/>
      <c r="AIO261" s="500"/>
      <c r="AIP261" s="500"/>
      <c r="AIQ261" s="500"/>
      <c r="AIR261" s="500"/>
      <c r="AIS261" s="500"/>
      <c r="AIT261" s="500"/>
      <c r="AIU261" s="500"/>
      <c r="AIV261" s="500"/>
      <c r="AIW261" s="500"/>
      <c r="AIX261" s="500"/>
      <c r="AIY261" s="500"/>
      <c r="AIZ261" s="500"/>
      <c r="AJA261" s="500"/>
      <c r="AJB261" s="500"/>
      <c r="AJC261" s="500"/>
      <c r="AJD261" s="500"/>
      <c r="AJE261" s="500"/>
      <c r="AJF261" s="500"/>
      <c r="AJG261" s="500"/>
      <c r="AJH261" s="500"/>
      <c r="AJI261" s="500"/>
      <c r="AJJ261" s="500"/>
      <c r="AJK261" s="500"/>
      <c r="AJL261" s="500"/>
      <c r="AJM261" s="500"/>
      <c r="AJN261" s="500"/>
      <c r="AJO261" s="500"/>
      <c r="AJP261" s="500"/>
      <c r="AJQ261" s="500"/>
      <c r="AJR261" s="500"/>
      <c r="AJS261" s="500"/>
      <c r="AJT261" s="500"/>
      <c r="AJU261" s="500"/>
      <c r="AJV261" s="500"/>
      <c r="AJW261" s="500"/>
      <c r="AJX261" s="500"/>
      <c r="AJY261" s="500"/>
      <c r="AJZ261" s="500"/>
      <c r="AKA261" s="500"/>
      <c r="AKB261" s="500"/>
      <c r="AKC261" s="500"/>
      <c r="AKD261" s="500"/>
      <c r="AKE261" s="500"/>
      <c r="AKF261" s="500"/>
      <c r="AKG261" s="500"/>
      <c r="AKH261" s="500"/>
      <c r="AKI261" s="500"/>
      <c r="AKJ261" s="500"/>
      <c r="AKK261" s="500"/>
      <c r="AKL261" s="500"/>
      <c r="AKM261" s="500"/>
      <c r="AKN261" s="500"/>
      <c r="AKO261" s="500"/>
      <c r="AKP261" s="500"/>
      <c r="AKQ261" s="500"/>
      <c r="AKR261" s="500"/>
      <c r="AKS261" s="500"/>
      <c r="AKT261" s="500"/>
      <c r="AKU261" s="500"/>
      <c r="AKV261" s="500"/>
      <c r="AKW261" s="500"/>
      <c r="AKX261" s="500"/>
      <c r="AKY261" s="500"/>
      <c r="AKZ261" s="500"/>
      <c r="ALA261" s="500"/>
      <c r="ALB261" s="500"/>
      <c r="ALC261" s="500"/>
      <c r="ALD261" s="500"/>
      <c r="ALE261" s="500"/>
      <c r="ALF261" s="500"/>
      <c r="ALG261" s="500"/>
      <c r="ALH261" s="500"/>
      <c r="ALI261" s="500"/>
      <c r="ALJ261" s="500"/>
      <c r="ALK261" s="500"/>
      <c r="ALL261" s="500"/>
      <c r="ALM261" s="500"/>
      <c r="ALN261" s="500"/>
      <c r="ALO261" s="500"/>
      <c r="ALP261" s="500"/>
      <c r="ALQ261" s="500"/>
      <c r="ALR261" s="500"/>
      <c r="ALS261" s="500"/>
      <c r="ALT261" s="500"/>
      <c r="ALU261" s="500"/>
      <c r="ALV261" s="500"/>
      <c r="ALW261" s="500"/>
      <c r="ALX261" s="500"/>
      <c r="ALY261" s="500"/>
      <c r="ALZ261" s="500"/>
      <c r="AMA261" s="500"/>
      <c r="AMB261" s="500"/>
      <c r="AMC261" s="500"/>
      <c r="AMD261" s="500"/>
      <c r="AME261" s="500"/>
      <c r="AMF261" s="500"/>
      <c r="AMG261" s="500"/>
      <c r="AMH261" s="500"/>
      <c r="AMI261" s="500"/>
      <c r="AMJ261" s="500"/>
      <c r="AMK261" s="500"/>
      <c r="AML261" s="500"/>
      <c r="AMM261" s="500"/>
      <c r="AMN261" s="500"/>
      <c r="AMO261" s="500"/>
      <c r="AMP261" s="500"/>
      <c r="AMQ261" s="500"/>
      <c r="AMR261" s="500"/>
      <c r="AMS261" s="500"/>
      <c r="AMT261" s="500"/>
      <c r="AMU261" s="500"/>
      <c r="AMV261" s="500"/>
      <c r="AMW261" s="500"/>
      <c r="AMX261" s="500"/>
      <c r="AMY261" s="500"/>
      <c r="AMZ261" s="500"/>
      <c r="ANA261" s="500"/>
      <c r="ANB261" s="500"/>
      <c r="ANC261" s="500"/>
      <c r="AND261" s="500"/>
      <c r="ANE261" s="500"/>
      <c r="ANF261" s="500"/>
      <c r="ANG261" s="500"/>
      <c r="ANH261" s="500"/>
      <c r="ANI261" s="500"/>
      <c r="ANJ261" s="500"/>
      <c r="ANK261" s="500"/>
      <c r="ANL261" s="500"/>
      <c r="ANM261" s="500"/>
      <c r="ANN261" s="500"/>
      <c r="ANO261" s="500"/>
      <c r="ANP261" s="500"/>
      <c r="ANQ261" s="500"/>
      <c r="ANR261" s="500"/>
      <c r="ANS261" s="500"/>
      <c r="ANT261" s="500"/>
      <c r="ANU261" s="500"/>
      <c r="ANV261" s="500"/>
      <c r="ANW261" s="500"/>
      <c r="ANX261" s="500"/>
      <c r="ANY261" s="500"/>
      <c r="ANZ261" s="500"/>
      <c r="AOA261" s="500"/>
      <c r="AOB261" s="500"/>
      <c r="AOC261" s="500"/>
      <c r="AOD261" s="500"/>
      <c r="AOE261" s="500"/>
      <c r="AOF261" s="500"/>
      <c r="AOG261" s="500"/>
      <c r="AOH261" s="500"/>
      <c r="AOI261" s="500"/>
      <c r="AOJ261" s="500"/>
      <c r="AOK261" s="500"/>
      <c r="AOL261" s="500"/>
      <c r="AOM261" s="500"/>
      <c r="AON261" s="500"/>
      <c r="AOO261" s="500"/>
      <c r="AOP261" s="500"/>
      <c r="AOQ261" s="500"/>
      <c r="AOR261" s="500"/>
      <c r="AOS261" s="500"/>
      <c r="AOT261" s="500"/>
      <c r="AOU261" s="500"/>
      <c r="AOV261" s="500"/>
      <c r="AOW261" s="500"/>
      <c r="AOX261" s="500"/>
      <c r="AOY261" s="500"/>
      <c r="AOZ261" s="500"/>
      <c r="APA261" s="500"/>
      <c r="APB261" s="500"/>
      <c r="APC261" s="500"/>
      <c r="APD261" s="500"/>
      <c r="APE261" s="500"/>
      <c r="APF261" s="500"/>
      <c r="APG261" s="500"/>
      <c r="APH261" s="500"/>
      <c r="API261" s="500"/>
      <c r="APJ261" s="500"/>
      <c r="APK261" s="500"/>
      <c r="APL261" s="500"/>
      <c r="APM261" s="500"/>
      <c r="APN261" s="500"/>
      <c r="APO261" s="500"/>
      <c r="APP261" s="500"/>
      <c r="APQ261" s="500"/>
      <c r="APR261" s="500"/>
      <c r="APS261" s="500"/>
      <c r="APT261" s="500"/>
      <c r="APU261" s="500"/>
      <c r="APV261" s="500"/>
      <c r="APW261" s="500"/>
      <c r="APX261" s="500"/>
      <c r="APY261" s="500"/>
      <c r="APZ261" s="500"/>
      <c r="AQA261" s="500"/>
      <c r="AQB261" s="500"/>
      <c r="AQC261" s="500"/>
      <c r="AQD261" s="500"/>
      <c r="AQE261" s="500"/>
      <c r="AQF261" s="500"/>
      <c r="AQG261" s="500"/>
      <c r="AQH261" s="500"/>
      <c r="AQI261" s="500"/>
      <c r="AQJ261" s="500"/>
      <c r="AQK261" s="500"/>
      <c r="AQL261" s="500"/>
      <c r="AQM261" s="500"/>
      <c r="AQN261" s="500"/>
      <c r="AQO261" s="500"/>
      <c r="AQP261" s="500"/>
      <c r="AQQ261" s="500"/>
      <c r="AQR261" s="500"/>
      <c r="AQS261" s="500"/>
      <c r="AQT261" s="500"/>
      <c r="AQU261" s="500"/>
      <c r="AQV261" s="500"/>
      <c r="AQW261" s="500"/>
      <c r="AQX261" s="500"/>
      <c r="AQY261" s="500"/>
      <c r="AQZ261" s="500"/>
      <c r="ARA261" s="500"/>
      <c r="ARB261" s="500"/>
      <c r="ARC261" s="500"/>
      <c r="ARD261" s="500"/>
      <c r="ARE261" s="500"/>
      <c r="ARF261" s="500"/>
      <c r="ARG261" s="500"/>
      <c r="ARH261" s="500"/>
      <c r="ARI261" s="500"/>
      <c r="ARJ261" s="500"/>
      <c r="ARK261" s="500"/>
      <c r="ARL261" s="500"/>
      <c r="ARM261" s="500"/>
      <c r="ARN261" s="500"/>
      <c r="ARO261" s="500"/>
      <c r="ARP261" s="500"/>
      <c r="ARQ261" s="500"/>
      <c r="ARR261" s="500"/>
      <c r="ARS261" s="500"/>
      <c r="ART261" s="500"/>
      <c r="ARU261" s="500"/>
      <c r="ARV261" s="500"/>
      <c r="ARW261" s="500"/>
      <c r="ARX261" s="500"/>
      <c r="ARY261" s="500"/>
      <c r="ARZ261" s="500"/>
      <c r="ASA261" s="500"/>
      <c r="ASB261" s="500"/>
      <c r="ASC261" s="500"/>
      <c r="ASD261" s="500"/>
      <c r="ASE261" s="500"/>
      <c r="ASF261" s="500"/>
      <c r="ASG261" s="500"/>
      <c r="ASH261" s="500"/>
      <c r="ASI261" s="500"/>
      <c r="ASJ261" s="500"/>
      <c r="ASK261" s="500"/>
      <c r="ASL261" s="500"/>
      <c r="ASM261" s="500"/>
      <c r="ASN261" s="500"/>
      <c r="ASO261" s="500"/>
      <c r="ASP261" s="500"/>
      <c r="ASQ261" s="500"/>
      <c r="ASR261" s="500"/>
      <c r="ASS261" s="500"/>
      <c r="AST261" s="500"/>
      <c r="ASU261" s="500"/>
      <c r="ASV261" s="500"/>
      <c r="ASW261" s="500"/>
      <c r="ASX261" s="500"/>
      <c r="ASY261" s="500"/>
      <c r="ASZ261" s="500"/>
      <c r="ATA261" s="500"/>
      <c r="ATB261" s="500"/>
      <c r="ATC261" s="500"/>
      <c r="ATD261" s="500"/>
      <c r="ATE261" s="500"/>
      <c r="ATF261" s="500"/>
      <c r="ATG261" s="500"/>
      <c r="ATH261" s="500"/>
      <c r="ATI261" s="500"/>
      <c r="ATJ261" s="500"/>
      <c r="ATK261" s="500"/>
      <c r="ATL261" s="500"/>
      <c r="ATM261" s="500"/>
      <c r="ATN261" s="500"/>
      <c r="ATO261" s="500"/>
      <c r="ATP261" s="500"/>
      <c r="ATQ261" s="500"/>
      <c r="ATR261" s="500"/>
      <c r="ATS261" s="500"/>
      <c r="ATT261" s="500"/>
      <c r="ATU261" s="500"/>
      <c r="ATV261" s="500"/>
      <c r="ATW261" s="500"/>
      <c r="ATX261" s="500"/>
      <c r="ATY261" s="500"/>
      <c r="ATZ261" s="500"/>
      <c r="AUA261" s="500"/>
      <c r="AUB261" s="500"/>
      <c r="AUC261" s="500"/>
      <c r="AUD261" s="500"/>
      <c r="AUE261" s="500"/>
      <c r="AUF261" s="500"/>
      <c r="AUG261" s="500"/>
      <c r="AUH261" s="500"/>
      <c r="AUI261" s="500"/>
      <c r="AUJ261" s="500"/>
      <c r="AUK261" s="500"/>
      <c r="AUL261" s="500"/>
      <c r="AUM261" s="500"/>
      <c r="AUN261" s="500"/>
      <c r="AUO261" s="500"/>
      <c r="AUP261" s="500"/>
      <c r="AUQ261" s="500"/>
      <c r="AUR261" s="500"/>
      <c r="AUS261" s="500"/>
      <c r="AUT261" s="500"/>
      <c r="AUU261" s="500"/>
      <c r="AUV261" s="500"/>
      <c r="AUW261" s="500"/>
      <c r="AUX261" s="500"/>
      <c r="AUY261" s="500"/>
      <c r="AUZ261" s="500"/>
      <c r="AVA261" s="500"/>
      <c r="AVB261" s="500"/>
      <c r="AVC261" s="500"/>
      <c r="AVD261" s="500"/>
      <c r="AVE261" s="500"/>
      <c r="AVF261" s="500"/>
      <c r="AVG261" s="500"/>
      <c r="AVH261" s="500"/>
      <c r="AVI261" s="500"/>
      <c r="AVJ261" s="500"/>
      <c r="AVK261" s="500"/>
      <c r="AVL261" s="500"/>
      <c r="AVM261" s="500"/>
      <c r="AVN261" s="500"/>
      <c r="AVO261" s="500"/>
      <c r="AVP261" s="500"/>
      <c r="AVQ261" s="500"/>
      <c r="AVR261" s="500"/>
      <c r="AVS261" s="500"/>
      <c r="AVT261" s="500"/>
      <c r="AVU261" s="500"/>
      <c r="AVV261" s="500"/>
      <c r="AVW261" s="500"/>
      <c r="AVX261" s="500"/>
      <c r="AVY261" s="500"/>
      <c r="AVZ261" s="500"/>
      <c r="AWA261" s="500"/>
      <c r="AWB261" s="500"/>
      <c r="AWC261" s="500"/>
      <c r="AWD261" s="500"/>
      <c r="AWE261" s="500"/>
      <c r="AWF261" s="500"/>
      <c r="AWG261" s="500"/>
      <c r="AWH261" s="500"/>
      <c r="AWI261" s="500"/>
      <c r="AWJ261" s="500"/>
      <c r="AWK261" s="500"/>
      <c r="AWL261" s="500"/>
      <c r="AWM261" s="500"/>
      <c r="AWN261" s="500"/>
      <c r="AWO261" s="500"/>
      <c r="AWP261" s="500"/>
      <c r="AWQ261" s="500"/>
      <c r="AWR261" s="500"/>
      <c r="AWS261" s="500"/>
      <c r="AWT261" s="500"/>
      <c r="AWU261" s="500"/>
      <c r="AWV261" s="500"/>
      <c r="AWW261" s="500"/>
      <c r="AWX261" s="500"/>
      <c r="AWY261" s="500"/>
      <c r="AWZ261" s="500"/>
      <c r="AXA261" s="500"/>
      <c r="AXB261" s="500"/>
      <c r="AXC261" s="500"/>
      <c r="AXD261" s="500"/>
      <c r="AXE261" s="500"/>
      <c r="AXF261" s="500"/>
      <c r="AXG261" s="500"/>
      <c r="AXH261" s="500"/>
      <c r="AXI261" s="500"/>
      <c r="AXJ261" s="500"/>
      <c r="AXK261" s="500"/>
      <c r="AXL261" s="500"/>
      <c r="AXM261" s="500"/>
      <c r="AXN261" s="500"/>
      <c r="AXO261" s="500"/>
      <c r="AXP261" s="500"/>
      <c r="AXQ261" s="500"/>
      <c r="AXR261" s="500"/>
      <c r="AXS261" s="500"/>
      <c r="AXT261" s="500"/>
      <c r="AXU261" s="500"/>
      <c r="AXV261" s="500"/>
      <c r="AXW261" s="500"/>
      <c r="AXX261" s="500"/>
      <c r="AXY261" s="500"/>
      <c r="AXZ261" s="500"/>
      <c r="AYA261" s="500"/>
      <c r="AYB261" s="500"/>
      <c r="AYC261" s="500"/>
      <c r="AYD261" s="500"/>
      <c r="AYE261" s="500"/>
      <c r="AYF261" s="500"/>
      <c r="AYG261" s="500"/>
      <c r="AYH261" s="500"/>
      <c r="AYI261" s="500"/>
      <c r="AYJ261" s="500"/>
      <c r="AYK261" s="500"/>
      <c r="AYL261" s="500"/>
      <c r="AYM261" s="500"/>
      <c r="AYN261" s="500"/>
      <c r="AYO261" s="500"/>
      <c r="AYP261" s="500"/>
      <c r="AYQ261" s="500"/>
      <c r="AYR261" s="500"/>
      <c r="AYS261" s="500"/>
      <c r="AYT261" s="500"/>
      <c r="AYU261" s="500"/>
      <c r="AYV261" s="500"/>
      <c r="AYW261" s="500"/>
      <c r="AYX261" s="500"/>
      <c r="AYY261" s="500"/>
      <c r="AYZ261" s="500"/>
      <c r="AZA261" s="500"/>
      <c r="AZB261" s="500"/>
      <c r="AZC261" s="500"/>
      <c r="AZD261" s="500"/>
      <c r="AZE261" s="500"/>
      <c r="AZF261" s="500"/>
      <c r="AZG261" s="500"/>
      <c r="AZH261" s="500"/>
      <c r="AZI261" s="500"/>
      <c r="AZJ261" s="500"/>
      <c r="AZK261" s="500"/>
      <c r="AZL261" s="500"/>
      <c r="AZM261" s="500"/>
      <c r="AZN261" s="500"/>
      <c r="AZO261" s="500"/>
      <c r="AZP261" s="500"/>
      <c r="AZQ261" s="500"/>
      <c r="AZR261" s="500"/>
      <c r="AZS261" s="500"/>
      <c r="AZT261" s="500"/>
      <c r="AZU261" s="500"/>
      <c r="AZV261" s="500"/>
      <c r="AZW261" s="500"/>
      <c r="AZX261" s="500"/>
      <c r="AZY261" s="500"/>
      <c r="AZZ261" s="500"/>
      <c r="BAA261" s="500"/>
      <c r="BAB261" s="500"/>
      <c r="BAC261" s="500"/>
      <c r="BAD261" s="500"/>
      <c r="BAE261" s="500"/>
      <c r="BAF261" s="500"/>
      <c r="BAG261" s="500"/>
      <c r="BAH261" s="500"/>
      <c r="BAI261" s="500"/>
      <c r="BAJ261" s="500"/>
      <c r="BAK261" s="500"/>
      <c r="BAL261" s="500"/>
      <c r="BAM261" s="500"/>
      <c r="BAN261" s="500"/>
      <c r="BAO261" s="500"/>
      <c r="BAP261" s="500"/>
      <c r="BAQ261" s="500"/>
      <c r="BAR261" s="500"/>
      <c r="BAS261" s="500"/>
      <c r="BAT261" s="500"/>
      <c r="BAU261" s="500"/>
      <c r="BAV261" s="500"/>
      <c r="BAW261" s="500"/>
      <c r="BAX261" s="500"/>
      <c r="BAY261" s="500"/>
      <c r="BAZ261" s="500"/>
      <c r="BBA261" s="500"/>
      <c r="BBB261" s="500"/>
      <c r="BBC261" s="500"/>
      <c r="BBD261" s="500"/>
      <c r="BBE261" s="500"/>
      <c r="BBF261" s="500"/>
      <c r="BBG261" s="500"/>
      <c r="BBH261" s="500"/>
      <c r="BBI261" s="500"/>
      <c r="BBJ261" s="500"/>
      <c r="BBK261" s="500"/>
      <c r="BBL261" s="500"/>
      <c r="BBM261" s="500"/>
      <c r="BBN261" s="500"/>
      <c r="BBO261" s="500"/>
      <c r="BBP261" s="500"/>
      <c r="BBQ261" s="500"/>
      <c r="BBR261" s="500"/>
      <c r="BBS261" s="500"/>
      <c r="BBT261" s="500"/>
      <c r="BBU261" s="500"/>
      <c r="BBV261" s="500"/>
      <c r="BBW261" s="500"/>
      <c r="BBX261" s="500"/>
      <c r="BBY261" s="500"/>
      <c r="BBZ261" s="500"/>
      <c r="BCA261" s="500"/>
      <c r="BCB261" s="500"/>
      <c r="BCC261" s="500"/>
      <c r="BCD261" s="500"/>
      <c r="BCE261" s="500"/>
      <c r="BCF261" s="500"/>
      <c r="BCG261" s="500"/>
      <c r="BCH261" s="500"/>
      <c r="BCI261" s="500"/>
      <c r="BCJ261" s="500"/>
      <c r="BCK261" s="500"/>
      <c r="BCL261" s="500"/>
      <c r="BCM261" s="500"/>
      <c r="BCN261" s="500"/>
      <c r="BCO261" s="500"/>
      <c r="BCP261" s="500"/>
      <c r="BCQ261" s="500"/>
      <c r="BCR261" s="500"/>
      <c r="BCS261" s="500"/>
      <c r="BCT261" s="500"/>
      <c r="BCU261" s="500"/>
      <c r="BCV261" s="500"/>
      <c r="BCW261" s="500"/>
      <c r="BCX261" s="500"/>
      <c r="BCY261" s="500"/>
      <c r="BCZ261" s="500"/>
      <c r="BDA261" s="500"/>
      <c r="BDB261" s="500"/>
      <c r="BDC261" s="500"/>
      <c r="BDD261" s="500"/>
      <c r="BDE261" s="500"/>
      <c r="BDF261" s="500"/>
      <c r="BDG261" s="500"/>
      <c r="BDH261" s="500"/>
      <c r="BDI261" s="500"/>
      <c r="BDJ261" s="500"/>
      <c r="BDK261" s="500"/>
      <c r="BDL261" s="500"/>
      <c r="BDM261" s="500"/>
      <c r="BDN261" s="500"/>
      <c r="BDO261" s="500"/>
      <c r="BDP261" s="500"/>
      <c r="BDQ261" s="500"/>
      <c r="BDR261" s="500"/>
      <c r="BDS261" s="500"/>
      <c r="BDT261" s="500"/>
      <c r="BDU261" s="500"/>
      <c r="BDV261" s="500"/>
      <c r="BDW261" s="500"/>
      <c r="BDX261" s="500"/>
      <c r="BDY261" s="500"/>
      <c r="BDZ261" s="500"/>
      <c r="BEA261" s="500"/>
      <c r="BEB261" s="500"/>
      <c r="BEC261" s="500"/>
      <c r="BED261" s="500"/>
      <c r="BEE261" s="500"/>
      <c r="BEF261" s="500"/>
      <c r="BEG261" s="500"/>
      <c r="BEH261" s="500"/>
      <c r="BEI261" s="500"/>
      <c r="BEJ261" s="500"/>
      <c r="BEK261" s="500"/>
      <c r="BEL261" s="500"/>
      <c r="BEM261" s="500"/>
      <c r="BEN261" s="500"/>
      <c r="BEO261" s="500"/>
      <c r="BEP261" s="500"/>
      <c r="BEQ261" s="500"/>
      <c r="BER261" s="500"/>
      <c r="BES261" s="500"/>
      <c r="BET261" s="500"/>
      <c r="BEU261" s="500"/>
      <c r="BEV261" s="500"/>
      <c r="BEW261" s="500"/>
      <c r="BEX261" s="500"/>
      <c r="BEY261" s="500"/>
      <c r="BEZ261" s="500"/>
      <c r="BFA261" s="500"/>
      <c r="BFB261" s="500"/>
      <c r="BFC261" s="500"/>
      <c r="BFD261" s="500"/>
      <c r="BFE261" s="500"/>
      <c r="BFF261" s="500"/>
      <c r="BFG261" s="500"/>
      <c r="BFH261" s="500"/>
      <c r="BFI261" s="500"/>
      <c r="BFJ261" s="500"/>
      <c r="BFK261" s="500"/>
      <c r="BFL261" s="500"/>
      <c r="BFM261" s="500"/>
      <c r="BFN261" s="500"/>
      <c r="BFO261" s="500"/>
      <c r="BFP261" s="500"/>
      <c r="BFQ261" s="500"/>
      <c r="BFR261" s="500"/>
      <c r="BFS261" s="500"/>
      <c r="BFT261" s="500"/>
      <c r="BFU261" s="500"/>
      <c r="BFV261" s="500"/>
      <c r="BFW261" s="500"/>
      <c r="BFX261" s="500"/>
      <c r="BFY261" s="500"/>
      <c r="BFZ261" s="500"/>
      <c r="BGA261" s="500"/>
      <c r="BGB261" s="500"/>
      <c r="BGC261" s="500"/>
      <c r="BGD261" s="500"/>
      <c r="BGE261" s="500"/>
      <c r="BGF261" s="500"/>
      <c r="BGG261" s="500"/>
      <c r="BGH261" s="500"/>
      <c r="BGI261" s="500"/>
      <c r="BGJ261" s="500"/>
      <c r="BGK261" s="500"/>
      <c r="BGL261" s="500"/>
      <c r="BGM261" s="500"/>
      <c r="BGN261" s="500"/>
      <c r="BGO261" s="500"/>
      <c r="BGP261" s="500"/>
      <c r="BGQ261" s="500"/>
      <c r="BGR261" s="500"/>
      <c r="BGS261" s="500"/>
      <c r="BGT261" s="500"/>
      <c r="BGU261" s="500"/>
      <c r="BGV261" s="500"/>
      <c r="BGW261" s="500"/>
      <c r="BGX261" s="500"/>
      <c r="BGY261" s="500"/>
      <c r="BGZ261" s="500"/>
      <c r="BHA261" s="500"/>
      <c r="BHB261" s="500"/>
      <c r="BHC261" s="500"/>
      <c r="BHD261" s="500"/>
      <c r="BHE261" s="500"/>
      <c r="BHF261" s="500"/>
      <c r="BHG261" s="500"/>
      <c r="BHH261" s="500"/>
      <c r="BHI261" s="500"/>
      <c r="BHJ261" s="500"/>
      <c r="BHK261" s="500"/>
      <c r="BHL261" s="500"/>
      <c r="BHM261" s="500"/>
      <c r="BHN261" s="500"/>
      <c r="BHO261" s="500"/>
      <c r="BHP261" s="500"/>
      <c r="BHQ261" s="500"/>
      <c r="BHR261" s="500"/>
      <c r="BHS261" s="500"/>
      <c r="BHT261" s="500"/>
      <c r="BHU261" s="500"/>
      <c r="BHV261" s="500"/>
      <c r="BHW261" s="500"/>
      <c r="BHX261" s="500"/>
      <c r="BHY261" s="500"/>
      <c r="BHZ261" s="500"/>
      <c r="BIA261" s="500"/>
      <c r="BIB261" s="500"/>
      <c r="BIC261" s="500"/>
      <c r="BID261" s="500"/>
      <c r="BIE261" s="500"/>
      <c r="BIF261" s="500"/>
      <c r="BIG261" s="500"/>
      <c r="BIH261" s="500"/>
      <c r="BII261" s="500"/>
      <c r="BIJ261" s="500"/>
      <c r="BIK261" s="500"/>
      <c r="BIL261" s="500"/>
      <c r="BIM261" s="500"/>
      <c r="BIN261" s="500"/>
      <c r="BIO261" s="500"/>
      <c r="BIP261" s="500"/>
      <c r="BIQ261" s="500"/>
      <c r="BIR261" s="500"/>
      <c r="BIS261" s="500"/>
      <c r="BIT261" s="500"/>
      <c r="BIU261" s="500"/>
      <c r="BIV261" s="500"/>
      <c r="BIW261" s="500"/>
      <c r="BIX261" s="500"/>
      <c r="BIY261" s="500"/>
      <c r="BIZ261" s="500"/>
      <c r="BJA261" s="500"/>
      <c r="BJB261" s="500"/>
      <c r="BJC261" s="500"/>
      <c r="BJD261" s="500"/>
      <c r="BJE261" s="500"/>
      <c r="BJF261" s="500"/>
      <c r="BJG261" s="500"/>
      <c r="BJH261" s="500"/>
      <c r="BJI261" s="500"/>
      <c r="BJJ261" s="500"/>
      <c r="BJK261" s="500"/>
      <c r="BJL261" s="500"/>
      <c r="BJM261" s="500"/>
      <c r="BJN261" s="500"/>
      <c r="BJO261" s="500"/>
      <c r="BJP261" s="500"/>
      <c r="BJQ261" s="500"/>
      <c r="BJR261" s="500"/>
      <c r="BJS261" s="500"/>
      <c r="BJT261" s="500"/>
      <c r="BJU261" s="500"/>
      <c r="BJV261" s="500"/>
      <c r="BJW261" s="500"/>
      <c r="BJX261" s="500"/>
      <c r="BJY261" s="500"/>
      <c r="BJZ261" s="500"/>
      <c r="BKA261" s="500"/>
      <c r="BKB261" s="500"/>
      <c r="BKC261" s="500"/>
      <c r="BKD261" s="500"/>
      <c r="BKE261" s="500"/>
      <c r="BKF261" s="500"/>
      <c r="BKG261" s="500"/>
      <c r="BKH261" s="500"/>
      <c r="BKI261" s="500"/>
      <c r="BKJ261" s="500"/>
      <c r="BKK261" s="500"/>
      <c r="BKL261" s="500"/>
      <c r="BKM261" s="500"/>
      <c r="BKN261" s="500"/>
      <c r="BKO261" s="500"/>
      <c r="BKP261" s="500"/>
      <c r="BKQ261" s="500"/>
      <c r="BKR261" s="500"/>
      <c r="BKS261" s="500"/>
      <c r="BKT261" s="500"/>
      <c r="BKU261" s="500"/>
      <c r="BKV261" s="500"/>
      <c r="BKW261" s="500"/>
      <c r="BKX261" s="500"/>
      <c r="BKY261" s="500"/>
      <c r="BKZ261" s="500"/>
      <c r="BLA261" s="500"/>
      <c r="BLB261" s="500"/>
      <c r="BLC261" s="500"/>
      <c r="BLD261" s="500"/>
      <c r="BLE261" s="500"/>
      <c r="BLF261" s="500"/>
      <c r="BLG261" s="500"/>
      <c r="BLH261" s="500"/>
      <c r="BLI261" s="500"/>
      <c r="BLJ261" s="500"/>
      <c r="BLK261" s="500"/>
      <c r="BLL261" s="500"/>
      <c r="BLM261" s="500"/>
      <c r="BLN261" s="500"/>
      <c r="BLO261" s="500"/>
      <c r="BLP261" s="500"/>
      <c r="BLQ261" s="500"/>
      <c r="BLR261" s="500"/>
      <c r="BLS261" s="500"/>
      <c r="BLT261" s="500"/>
      <c r="BLU261" s="500"/>
      <c r="BLV261" s="500"/>
      <c r="BLW261" s="500"/>
      <c r="BLX261" s="500"/>
      <c r="BLY261" s="500"/>
      <c r="BLZ261" s="500"/>
      <c r="BMA261" s="500"/>
      <c r="BMB261" s="500"/>
      <c r="BMC261" s="500"/>
      <c r="BMD261" s="500"/>
      <c r="BME261" s="500"/>
      <c r="BMF261" s="500"/>
      <c r="BMG261" s="500"/>
      <c r="BMH261" s="500"/>
      <c r="BMI261" s="500"/>
      <c r="BMJ261" s="500"/>
      <c r="BMK261" s="500"/>
      <c r="BML261" s="500"/>
      <c r="BMM261" s="500"/>
      <c r="BMN261" s="500"/>
      <c r="BMO261" s="500"/>
      <c r="BMP261" s="500"/>
      <c r="BMQ261" s="500"/>
      <c r="BMR261" s="500"/>
      <c r="BMS261" s="500"/>
      <c r="BMT261" s="500"/>
      <c r="BMU261" s="500"/>
      <c r="BMV261" s="500"/>
      <c r="BMW261" s="500"/>
      <c r="BMX261" s="500"/>
      <c r="BMY261" s="500"/>
      <c r="BMZ261" s="500"/>
      <c r="BNA261" s="500"/>
      <c r="BNB261" s="500"/>
      <c r="BNC261" s="500"/>
      <c r="BND261" s="500"/>
      <c r="BNE261" s="500"/>
      <c r="BNF261" s="500"/>
      <c r="BNG261" s="500"/>
      <c r="BNH261" s="500"/>
      <c r="BNI261" s="500"/>
      <c r="BNJ261" s="500"/>
      <c r="BNK261" s="500"/>
      <c r="BNL261" s="500"/>
      <c r="BNM261" s="500"/>
      <c r="BNN261" s="500"/>
      <c r="BNO261" s="500"/>
      <c r="BNP261" s="500"/>
      <c r="BNQ261" s="500"/>
      <c r="BNR261" s="500"/>
      <c r="BNS261" s="500"/>
      <c r="BNT261" s="500"/>
      <c r="BNU261" s="500"/>
      <c r="BNV261" s="500"/>
      <c r="BNW261" s="500"/>
      <c r="BNX261" s="500"/>
      <c r="BNY261" s="500"/>
      <c r="BNZ261" s="500"/>
      <c r="BOA261" s="500"/>
      <c r="BOB261" s="500"/>
      <c r="BOC261" s="500"/>
      <c r="BOD261" s="500"/>
      <c r="BOE261" s="500"/>
      <c r="BOF261" s="500"/>
      <c r="BOG261" s="500"/>
      <c r="BOH261" s="500"/>
      <c r="BOI261" s="500"/>
      <c r="BOJ261" s="500"/>
      <c r="BOK261" s="500"/>
      <c r="BOL261" s="500"/>
      <c r="BOM261" s="500"/>
      <c r="BON261" s="500"/>
      <c r="BOO261" s="500"/>
      <c r="BOP261" s="500"/>
      <c r="BOQ261" s="500"/>
      <c r="BOR261" s="500"/>
      <c r="BOS261" s="500"/>
      <c r="BOT261" s="500"/>
      <c r="BOU261" s="500"/>
      <c r="BOV261" s="500"/>
      <c r="BOW261" s="500"/>
      <c r="BOX261" s="500"/>
      <c r="BOY261" s="500"/>
      <c r="BOZ261" s="500"/>
      <c r="BPA261" s="500"/>
      <c r="BPB261" s="500"/>
      <c r="BPC261" s="500"/>
      <c r="BPD261" s="500"/>
      <c r="BPE261" s="500"/>
      <c r="BPF261" s="500"/>
      <c r="BPG261" s="500"/>
      <c r="BPH261" s="500"/>
      <c r="BPI261" s="500"/>
      <c r="BPJ261" s="500"/>
      <c r="BPK261" s="500"/>
      <c r="BPL261" s="500"/>
      <c r="BPM261" s="500"/>
      <c r="BPN261" s="500"/>
      <c r="BPO261" s="500"/>
      <c r="BPP261" s="500"/>
      <c r="BPQ261" s="500"/>
      <c r="BPR261" s="500"/>
      <c r="BPS261" s="500"/>
      <c r="BPT261" s="500"/>
      <c r="BPU261" s="500"/>
      <c r="BPV261" s="500"/>
      <c r="BPW261" s="500"/>
      <c r="BPX261" s="500"/>
      <c r="BPY261" s="500"/>
      <c r="BPZ261" s="500"/>
      <c r="BQA261" s="500"/>
      <c r="BQB261" s="500"/>
      <c r="BQC261" s="500"/>
      <c r="BQD261" s="500"/>
      <c r="BQE261" s="500"/>
      <c r="BQF261" s="500"/>
      <c r="BQG261" s="500"/>
      <c r="BQH261" s="500"/>
      <c r="BQI261" s="500"/>
      <c r="BQJ261" s="500"/>
      <c r="BQK261" s="500"/>
      <c r="BQL261" s="500"/>
      <c r="BQM261" s="500"/>
      <c r="BQN261" s="500"/>
      <c r="BQO261" s="500"/>
      <c r="BQP261" s="500"/>
      <c r="BQQ261" s="500"/>
      <c r="BQR261" s="500"/>
      <c r="BQS261" s="500"/>
      <c r="BQT261" s="500"/>
      <c r="BQU261" s="500"/>
      <c r="BQV261" s="500"/>
      <c r="BQW261" s="500"/>
      <c r="BQX261" s="500"/>
      <c r="BQY261" s="500"/>
      <c r="BQZ261" s="500"/>
      <c r="BRA261" s="500"/>
      <c r="BRB261" s="500"/>
      <c r="BRC261" s="500"/>
      <c r="BRD261" s="500"/>
      <c r="BRE261" s="500"/>
      <c r="BRF261" s="500"/>
      <c r="BRG261" s="500"/>
      <c r="BRH261" s="500"/>
      <c r="BRI261" s="500"/>
      <c r="BRJ261" s="500"/>
      <c r="BRK261" s="500"/>
      <c r="BRL261" s="500"/>
      <c r="BRM261" s="500"/>
      <c r="BRN261" s="500"/>
      <c r="BRO261" s="500"/>
      <c r="BRP261" s="500"/>
      <c r="BRQ261" s="500"/>
      <c r="BRR261" s="500"/>
      <c r="BRS261" s="500"/>
      <c r="BRT261" s="500"/>
      <c r="BRU261" s="500"/>
      <c r="BRV261" s="500"/>
      <c r="BRW261" s="500"/>
      <c r="BRX261" s="500"/>
      <c r="BRY261" s="500"/>
      <c r="BRZ261" s="500"/>
      <c r="BSA261" s="500"/>
      <c r="BSB261" s="500"/>
      <c r="BSC261" s="500"/>
      <c r="BSD261" s="500"/>
      <c r="BSE261" s="500"/>
      <c r="BSF261" s="500"/>
      <c r="BSG261" s="500"/>
      <c r="BSH261" s="500"/>
      <c r="BSI261" s="500"/>
      <c r="BSJ261" s="500"/>
      <c r="BSK261" s="500"/>
      <c r="BSL261" s="500"/>
      <c r="BSM261" s="500"/>
      <c r="BSN261" s="500"/>
      <c r="BSO261" s="500"/>
      <c r="BSP261" s="500"/>
      <c r="BSQ261" s="500"/>
      <c r="BSR261" s="500"/>
      <c r="BSS261" s="500"/>
      <c r="BST261" s="500"/>
      <c r="BSU261" s="500"/>
      <c r="BSV261" s="500"/>
      <c r="BSW261" s="500"/>
      <c r="BSX261" s="500"/>
      <c r="BSY261" s="500"/>
      <c r="BSZ261" s="500"/>
      <c r="BTA261" s="500"/>
      <c r="BTB261" s="500"/>
      <c r="BTC261" s="500"/>
      <c r="BTD261" s="500"/>
      <c r="BTE261" s="500"/>
      <c r="BTF261" s="500"/>
      <c r="BTG261" s="500"/>
      <c r="BTH261" s="500"/>
      <c r="BTI261" s="500"/>
    </row>
    <row r="262" spans="1:1881" s="499" customFormat="1" ht="30.75" customHeight="1" thickBot="1" x14ac:dyDescent="0.3">
      <c r="A262" s="587">
        <v>964</v>
      </c>
      <c r="B262" s="952" t="s">
        <v>932</v>
      </c>
      <c r="C262" s="953"/>
      <c r="D262" s="971"/>
      <c r="E262" s="972"/>
      <c r="F262" s="886" t="str">
        <f t="shared" si="4"/>
        <v>&lt;&lt;&lt;&lt;&lt;&lt;&lt;&lt;&lt;&lt;&lt;&lt;&lt;&lt;&lt;&lt;&lt;&lt;&lt;</v>
      </c>
      <c r="G262" s="886" t="str">
        <f>IF(ISBLANK($D262),"Cell D262 must be completed.","")</f>
        <v>Cell D262 must be completed.</v>
      </c>
      <c r="H262" s="501"/>
      <c r="I262" s="423"/>
      <c r="J262" s="500"/>
      <c r="K262" s="500"/>
      <c r="L262" s="500"/>
      <c r="M262" s="500"/>
      <c r="N262"/>
      <c r="O262" s="500"/>
      <c r="P262" s="500"/>
      <c r="Q262" s="500"/>
      <c r="R262" s="500"/>
      <c r="S262" s="500"/>
      <c r="T262" s="500"/>
      <c r="U262" s="500"/>
      <c r="V262" s="500"/>
      <c r="W262" s="500"/>
      <c r="X262" s="500"/>
      <c r="Y262" s="500"/>
      <c r="Z262" s="500"/>
      <c r="AA262" s="500"/>
      <c r="AB262" s="500"/>
      <c r="AC262" s="500"/>
      <c r="AD262" s="500"/>
      <c r="AE262" s="500"/>
      <c r="AF262" s="500"/>
      <c r="AG262" s="500"/>
      <c r="AH262" s="500"/>
      <c r="AI262" s="500"/>
      <c r="AJ262" s="500"/>
      <c r="AK262" s="500"/>
      <c r="AL262" s="500"/>
      <c r="AM262" s="500"/>
      <c r="AN262" s="500"/>
      <c r="AO262" s="500"/>
      <c r="AP262" s="500"/>
      <c r="AQ262" s="500"/>
      <c r="AR262" s="500"/>
      <c r="AS262" s="500"/>
      <c r="AT262" s="500"/>
      <c r="AU262" s="500"/>
      <c r="AV262" s="500"/>
      <c r="AW262" s="500"/>
      <c r="AX262" s="500"/>
      <c r="AY262" s="500"/>
      <c r="AZ262" s="500"/>
      <c r="BA262" s="500"/>
      <c r="BB262" s="500"/>
      <c r="BC262" s="500"/>
      <c r="BD262" s="500"/>
      <c r="BE262" s="500"/>
      <c r="BF262" s="500"/>
      <c r="BG262" s="500"/>
      <c r="BH262" s="500"/>
      <c r="BI262" s="500"/>
      <c r="BJ262" s="500"/>
      <c r="BK262" s="500"/>
      <c r="BL262" s="500"/>
      <c r="BM262" s="500"/>
      <c r="BN262" s="500"/>
      <c r="BO262" s="500"/>
      <c r="BP262" s="500"/>
      <c r="BQ262" s="500"/>
      <c r="BR262" s="500"/>
      <c r="BS262" s="500"/>
      <c r="BT262" s="500"/>
      <c r="BU262" s="500"/>
      <c r="BV262" s="500"/>
      <c r="BW262" s="500"/>
      <c r="BX262" s="500"/>
      <c r="BY262" s="500"/>
      <c r="BZ262" s="500"/>
      <c r="CA262" s="500"/>
      <c r="CB262" s="500"/>
      <c r="CC262" s="500"/>
      <c r="CD262" s="500"/>
      <c r="CE262" s="500"/>
      <c r="CF262" s="500"/>
      <c r="CG262" s="500"/>
      <c r="CH262" s="500"/>
      <c r="CI262" s="500"/>
      <c r="CJ262" s="500"/>
      <c r="CK262" s="500"/>
      <c r="CL262" s="500"/>
      <c r="CM262" s="500"/>
      <c r="CN262" s="500"/>
      <c r="CO262" s="500"/>
      <c r="CP262" s="500"/>
      <c r="CQ262" s="500"/>
      <c r="CR262" s="500"/>
      <c r="CS262" s="500"/>
      <c r="CT262" s="500"/>
      <c r="CU262" s="500"/>
      <c r="CV262" s="500"/>
      <c r="CW262" s="500"/>
      <c r="CX262" s="500"/>
      <c r="CY262" s="500"/>
      <c r="CZ262" s="500"/>
      <c r="DA262" s="500"/>
      <c r="DB262" s="500"/>
      <c r="DC262" s="500"/>
      <c r="DD262" s="500"/>
      <c r="DE262" s="500"/>
      <c r="DF262" s="500"/>
      <c r="DG262" s="500"/>
      <c r="DH262" s="500"/>
      <c r="DI262" s="500"/>
      <c r="DJ262" s="500"/>
      <c r="DK262" s="500"/>
      <c r="DL262" s="500"/>
      <c r="DM262" s="500"/>
      <c r="DN262" s="500"/>
      <c r="DO262" s="500"/>
      <c r="DP262" s="500"/>
      <c r="DQ262" s="500"/>
      <c r="DR262" s="500"/>
      <c r="DS262" s="500"/>
      <c r="DT262" s="500"/>
      <c r="DU262" s="500"/>
      <c r="DV262" s="500"/>
      <c r="DW262" s="500"/>
      <c r="DX262" s="500"/>
      <c r="DY262" s="500"/>
      <c r="DZ262" s="500"/>
      <c r="EA262" s="500"/>
      <c r="EB262" s="500"/>
      <c r="EC262" s="500"/>
      <c r="ED262" s="500"/>
      <c r="EE262" s="500"/>
      <c r="EF262" s="500"/>
      <c r="EG262" s="500"/>
      <c r="EH262" s="500"/>
      <c r="EI262" s="500"/>
      <c r="EJ262" s="500"/>
      <c r="EK262" s="500"/>
      <c r="EL262" s="500"/>
      <c r="EM262" s="500"/>
      <c r="EN262" s="500"/>
      <c r="EO262" s="500"/>
      <c r="EP262" s="500"/>
      <c r="EQ262" s="500"/>
      <c r="ER262" s="500"/>
      <c r="ES262" s="500"/>
      <c r="ET262" s="500"/>
      <c r="EU262" s="500"/>
      <c r="EV262" s="500"/>
      <c r="EW262" s="500"/>
      <c r="EX262" s="500"/>
      <c r="EY262" s="500"/>
      <c r="EZ262" s="500"/>
      <c r="FA262" s="500"/>
      <c r="FB262" s="500"/>
      <c r="FC262" s="500"/>
      <c r="FD262" s="500"/>
      <c r="FE262" s="500"/>
      <c r="FF262" s="500"/>
      <c r="FG262" s="500"/>
      <c r="FH262" s="500"/>
      <c r="FI262" s="500"/>
      <c r="FJ262" s="500"/>
      <c r="FK262" s="500"/>
      <c r="FL262" s="500"/>
      <c r="FM262" s="500"/>
      <c r="FN262" s="500"/>
      <c r="FO262" s="500"/>
      <c r="FP262" s="500"/>
      <c r="FQ262" s="500"/>
      <c r="FR262" s="500"/>
      <c r="FS262" s="500"/>
      <c r="FT262" s="500"/>
      <c r="FU262" s="500"/>
      <c r="FV262" s="500"/>
      <c r="FW262" s="500"/>
      <c r="FX262" s="500"/>
      <c r="FY262" s="500"/>
      <c r="FZ262" s="500"/>
      <c r="GA262" s="500"/>
      <c r="GB262" s="500"/>
      <c r="GC262" s="500"/>
      <c r="GD262" s="500"/>
      <c r="GE262" s="500"/>
      <c r="GF262" s="500"/>
      <c r="GG262" s="500"/>
      <c r="GH262" s="500"/>
      <c r="GI262" s="500"/>
      <c r="GJ262" s="500"/>
      <c r="GK262" s="500"/>
      <c r="GL262" s="500"/>
      <c r="GM262" s="500"/>
      <c r="GN262" s="500"/>
      <c r="GO262" s="500"/>
      <c r="GP262" s="500"/>
      <c r="GQ262" s="500"/>
      <c r="GR262" s="500"/>
      <c r="GS262" s="500"/>
      <c r="GT262" s="500"/>
      <c r="GU262" s="500"/>
      <c r="GV262" s="500"/>
      <c r="GW262" s="500"/>
      <c r="GX262" s="500"/>
      <c r="GY262" s="500"/>
      <c r="GZ262" s="500"/>
      <c r="HA262" s="500"/>
      <c r="HB262" s="500"/>
      <c r="HC262" s="500"/>
      <c r="HD262" s="500"/>
      <c r="HE262" s="500"/>
      <c r="HF262" s="500"/>
      <c r="HG262" s="500"/>
      <c r="HH262" s="500"/>
      <c r="HI262" s="500"/>
      <c r="HJ262" s="500"/>
      <c r="HK262" s="500"/>
      <c r="HL262" s="500"/>
      <c r="HM262" s="500"/>
      <c r="HN262" s="500"/>
      <c r="HO262" s="500"/>
      <c r="HP262" s="500"/>
      <c r="HQ262" s="500"/>
      <c r="HR262" s="500"/>
      <c r="HS262" s="500"/>
      <c r="HT262" s="500"/>
      <c r="HU262" s="500"/>
      <c r="HV262" s="500"/>
      <c r="HW262" s="500"/>
      <c r="HX262" s="500"/>
      <c r="HY262" s="500"/>
      <c r="HZ262" s="500"/>
      <c r="IA262" s="500"/>
      <c r="IB262" s="500"/>
      <c r="IC262" s="500"/>
      <c r="ID262" s="500"/>
      <c r="IE262" s="500"/>
      <c r="IF262" s="500"/>
      <c r="IG262" s="500"/>
      <c r="IH262" s="500"/>
      <c r="II262" s="500"/>
      <c r="IJ262" s="500"/>
      <c r="IK262" s="500"/>
      <c r="IL262" s="500"/>
      <c r="IM262" s="500"/>
      <c r="IN262" s="500"/>
      <c r="IO262" s="500"/>
      <c r="IP262" s="500"/>
      <c r="IQ262" s="500"/>
      <c r="IR262" s="500"/>
      <c r="IS262" s="500"/>
      <c r="IT262" s="500"/>
      <c r="IU262" s="500"/>
      <c r="IV262" s="500"/>
      <c r="IW262" s="500"/>
      <c r="IX262" s="500"/>
      <c r="IY262" s="500"/>
      <c r="IZ262" s="500"/>
      <c r="JA262" s="500"/>
      <c r="JB262" s="500"/>
      <c r="JC262" s="500"/>
      <c r="JD262" s="500"/>
      <c r="JE262" s="500"/>
      <c r="JF262" s="500"/>
      <c r="JG262" s="500"/>
      <c r="JH262" s="500"/>
      <c r="JI262" s="500"/>
      <c r="JJ262" s="500"/>
      <c r="JK262" s="500"/>
      <c r="JL262" s="500"/>
      <c r="JM262" s="500"/>
      <c r="JN262" s="500"/>
      <c r="JO262" s="500"/>
      <c r="JP262" s="500"/>
      <c r="JQ262" s="500"/>
      <c r="JR262" s="500"/>
      <c r="JS262" s="500"/>
      <c r="JT262" s="500"/>
      <c r="JU262" s="500"/>
      <c r="JV262" s="500"/>
      <c r="JW262" s="500"/>
      <c r="JX262" s="500"/>
      <c r="JY262" s="500"/>
      <c r="JZ262" s="500"/>
      <c r="KA262" s="500"/>
      <c r="KB262" s="500"/>
      <c r="KC262" s="500"/>
      <c r="KD262" s="500"/>
      <c r="KE262" s="500"/>
      <c r="KF262" s="500"/>
      <c r="KG262" s="500"/>
      <c r="KH262" s="500"/>
      <c r="KI262" s="500"/>
      <c r="KJ262" s="500"/>
      <c r="KK262" s="500"/>
      <c r="KL262" s="500"/>
      <c r="KM262" s="500"/>
      <c r="KN262" s="500"/>
      <c r="KO262" s="500"/>
      <c r="KP262" s="500"/>
      <c r="KQ262" s="500"/>
      <c r="KR262" s="500"/>
      <c r="KS262" s="500"/>
      <c r="KT262" s="500"/>
      <c r="KU262" s="500"/>
      <c r="KV262" s="500"/>
      <c r="KW262" s="500"/>
      <c r="KX262" s="500"/>
      <c r="KY262" s="500"/>
      <c r="KZ262" s="500"/>
      <c r="LA262" s="500"/>
      <c r="LB262" s="500"/>
      <c r="LC262" s="500"/>
      <c r="LD262" s="500"/>
      <c r="LE262" s="500"/>
      <c r="LF262" s="500"/>
      <c r="LG262" s="500"/>
      <c r="LH262" s="500"/>
      <c r="LI262" s="500"/>
      <c r="LJ262" s="500"/>
      <c r="LK262" s="500"/>
      <c r="LL262" s="500"/>
      <c r="LM262" s="500"/>
      <c r="LN262" s="500"/>
      <c r="LO262" s="500"/>
      <c r="LP262" s="500"/>
      <c r="LQ262" s="500"/>
      <c r="LR262" s="500"/>
      <c r="LS262" s="500"/>
      <c r="LT262" s="500"/>
      <c r="LU262" s="500"/>
      <c r="LV262" s="500"/>
      <c r="LW262" s="500"/>
      <c r="LX262" s="500"/>
      <c r="LY262" s="500"/>
      <c r="LZ262" s="500"/>
      <c r="MA262" s="500"/>
      <c r="MB262" s="500"/>
      <c r="MC262" s="500"/>
      <c r="MD262" s="500"/>
      <c r="ME262" s="500"/>
      <c r="MF262" s="500"/>
      <c r="MG262" s="500"/>
      <c r="MH262" s="500"/>
      <c r="MI262" s="500"/>
      <c r="MJ262" s="500"/>
      <c r="MK262" s="500"/>
      <c r="ML262" s="500"/>
      <c r="MM262" s="500"/>
      <c r="MN262" s="500"/>
      <c r="MO262" s="500"/>
      <c r="MP262" s="500"/>
      <c r="MQ262" s="500"/>
      <c r="MR262" s="500"/>
      <c r="MS262" s="500"/>
      <c r="MT262" s="500"/>
      <c r="MU262" s="500"/>
      <c r="MV262" s="500"/>
      <c r="MW262" s="500"/>
      <c r="MX262" s="500"/>
      <c r="MY262" s="500"/>
      <c r="MZ262" s="500"/>
      <c r="NA262" s="500"/>
      <c r="NB262" s="500"/>
      <c r="NC262" s="500"/>
      <c r="ND262" s="500"/>
      <c r="NE262" s="500"/>
      <c r="NF262" s="500"/>
      <c r="NG262" s="500"/>
      <c r="NH262" s="500"/>
      <c r="NI262" s="500"/>
      <c r="NJ262" s="500"/>
      <c r="NK262" s="500"/>
      <c r="NL262" s="500"/>
      <c r="NM262" s="500"/>
      <c r="NN262" s="500"/>
      <c r="NO262" s="500"/>
      <c r="NP262" s="500"/>
      <c r="NQ262" s="500"/>
      <c r="NR262" s="500"/>
      <c r="NS262" s="500"/>
      <c r="NT262" s="500"/>
      <c r="NU262" s="500"/>
      <c r="NV262" s="500"/>
      <c r="NW262" s="500"/>
      <c r="NX262" s="500"/>
      <c r="NY262" s="500"/>
      <c r="NZ262" s="500"/>
      <c r="OA262" s="500"/>
      <c r="OB262" s="500"/>
      <c r="OC262" s="500"/>
      <c r="OD262" s="500"/>
      <c r="OE262" s="500"/>
      <c r="OF262" s="500"/>
      <c r="OG262" s="500"/>
      <c r="OH262" s="500"/>
      <c r="OI262" s="500"/>
      <c r="OJ262" s="500"/>
      <c r="OK262" s="500"/>
      <c r="OL262" s="500"/>
      <c r="OM262" s="500"/>
      <c r="ON262" s="500"/>
      <c r="OO262" s="500"/>
      <c r="OP262" s="500"/>
      <c r="OQ262" s="500"/>
      <c r="OR262" s="500"/>
      <c r="OS262" s="500"/>
      <c r="OT262" s="500"/>
      <c r="OU262" s="500"/>
      <c r="OV262" s="500"/>
      <c r="OW262" s="500"/>
      <c r="OX262" s="500"/>
      <c r="OY262" s="500"/>
      <c r="OZ262" s="500"/>
      <c r="PA262" s="500"/>
      <c r="PB262" s="500"/>
      <c r="PC262" s="500"/>
      <c r="PD262" s="500"/>
      <c r="PE262" s="500"/>
      <c r="PF262" s="500"/>
      <c r="PG262" s="500"/>
      <c r="PH262" s="500"/>
      <c r="PI262" s="500"/>
      <c r="PJ262" s="500"/>
      <c r="PK262" s="500"/>
      <c r="PL262" s="500"/>
      <c r="PM262" s="500"/>
      <c r="PN262" s="500"/>
      <c r="PO262" s="500"/>
      <c r="PP262" s="500"/>
      <c r="PQ262" s="500"/>
      <c r="PR262" s="500"/>
      <c r="PS262" s="500"/>
      <c r="PT262" s="500"/>
      <c r="PU262" s="500"/>
      <c r="PV262" s="500"/>
      <c r="PW262" s="500"/>
      <c r="PX262" s="500"/>
      <c r="PY262" s="500"/>
      <c r="PZ262" s="500"/>
      <c r="QA262" s="500"/>
      <c r="QB262" s="500"/>
      <c r="QC262" s="500"/>
      <c r="QD262" s="500"/>
      <c r="QE262" s="500"/>
      <c r="QF262" s="500"/>
      <c r="QG262" s="500"/>
      <c r="QH262" s="500"/>
      <c r="QI262" s="500"/>
      <c r="QJ262" s="500"/>
      <c r="QK262" s="500"/>
      <c r="QL262" s="500"/>
      <c r="QM262" s="500"/>
      <c r="QN262" s="500"/>
      <c r="QO262" s="500"/>
      <c r="QP262" s="500"/>
      <c r="QQ262" s="500"/>
      <c r="QR262" s="500"/>
      <c r="QS262" s="500"/>
      <c r="QT262" s="500"/>
      <c r="QU262" s="500"/>
      <c r="QV262" s="500"/>
      <c r="QW262" s="500"/>
      <c r="QX262" s="500"/>
      <c r="QY262" s="500"/>
      <c r="QZ262" s="500"/>
      <c r="RA262" s="500"/>
      <c r="RB262" s="500"/>
      <c r="RC262" s="500"/>
      <c r="RD262" s="500"/>
      <c r="RE262" s="500"/>
      <c r="RF262" s="500"/>
      <c r="RG262" s="500"/>
      <c r="RH262" s="500"/>
      <c r="RI262" s="500"/>
      <c r="RJ262" s="500"/>
      <c r="RK262" s="500"/>
      <c r="RL262" s="500"/>
      <c r="RM262" s="500"/>
      <c r="RN262" s="500"/>
      <c r="RO262" s="500"/>
      <c r="RP262" s="500"/>
      <c r="RQ262" s="500"/>
      <c r="RR262" s="500"/>
      <c r="RS262" s="500"/>
      <c r="RT262" s="500"/>
      <c r="RU262" s="500"/>
      <c r="RV262" s="500"/>
      <c r="RW262" s="500"/>
      <c r="RX262" s="500"/>
      <c r="RY262" s="500"/>
      <c r="RZ262" s="500"/>
      <c r="SA262" s="500"/>
      <c r="SB262" s="500"/>
      <c r="SC262" s="500"/>
      <c r="SD262" s="500"/>
      <c r="SE262" s="500"/>
      <c r="SF262" s="500"/>
      <c r="SG262" s="500"/>
      <c r="SH262" s="500"/>
      <c r="SI262" s="500"/>
      <c r="SJ262" s="500"/>
      <c r="SK262" s="500"/>
      <c r="SL262" s="500"/>
      <c r="SM262" s="500"/>
      <c r="SN262" s="500"/>
      <c r="SO262" s="500"/>
      <c r="SP262" s="500"/>
      <c r="SQ262" s="500"/>
      <c r="SR262" s="500"/>
      <c r="SS262" s="500"/>
      <c r="ST262" s="500"/>
      <c r="SU262" s="500"/>
      <c r="SV262" s="500"/>
      <c r="SW262" s="500"/>
      <c r="SX262" s="500"/>
      <c r="SY262" s="500"/>
      <c r="SZ262" s="500"/>
      <c r="TA262" s="500"/>
      <c r="TB262" s="500"/>
      <c r="TC262" s="500"/>
      <c r="TD262" s="500"/>
      <c r="TE262" s="500"/>
      <c r="TF262" s="500"/>
      <c r="TG262" s="500"/>
      <c r="TH262" s="500"/>
      <c r="TI262" s="500"/>
      <c r="TJ262" s="500"/>
      <c r="TK262" s="500"/>
      <c r="TL262" s="500"/>
      <c r="TM262" s="500"/>
      <c r="TN262" s="500"/>
      <c r="TO262" s="500"/>
      <c r="TP262" s="500"/>
      <c r="TQ262" s="500"/>
      <c r="TR262" s="500"/>
      <c r="TS262" s="500"/>
      <c r="TT262" s="500"/>
      <c r="TU262" s="500"/>
      <c r="TV262" s="500"/>
      <c r="TW262" s="500"/>
      <c r="TX262" s="500"/>
      <c r="TY262" s="500"/>
      <c r="TZ262" s="500"/>
      <c r="UA262" s="500"/>
      <c r="UB262" s="500"/>
      <c r="UC262" s="500"/>
      <c r="UD262" s="500"/>
      <c r="UE262" s="500"/>
      <c r="UF262" s="500"/>
      <c r="UG262" s="500"/>
      <c r="UH262" s="500"/>
      <c r="UI262" s="500"/>
      <c r="UJ262" s="500"/>
      <c r="UK262" s="500"/>
      <c r="UL262" s="500"/>
      <c r="UM262" s="500"/>
      <c r="UN262" s="500"/>
      <c r="UO262" s="500"/>
      <c r="UP262" s="500"/>
      <c r="UQ262" s="500"/>
      <c r="UR262" s="500"/>
      <c r="US262" s="500"/>
      <c r="UT262" s="500"/>
      <c r="UU262" s="500"/>
      <c r="UV262" s="500"/>
      <c r="UW262" s="500"/>
      <c r="UX262" s="500"/>
      <c r="UY262" s="500"/>
      <c r="UZ262" s="500"/>
      <c r="VA262" s="500"/>
      <c r="VB262" s="500"/>
      <c r="VC262" s="500"/>
      <c r="VD262" s="500"/>
      <c r="VE262" s="500"/>
      <c r="VF262" s="500"/>
      <c r="VG262" s="500"/>
      <c r="VH262" s="500"/>
      <c r="VI262" s="500"/>
      <c r="VJ262" s="500"/>
      <c r="VK262" s="500"/>
      <c r="VL262" s="500"/>
      <c r="VM262" s="500"/>
      <c r="VN262" s="500"/>
      <c r="VO262" s="500"/>
      <c r="VP262" s="500"/>
      <c r="VQ262" s="500"/>
      <c r="VR262" s="500"/>
      <c r="VS262" s="500"/>
      <c r="VT262" s="500"/>
      <c r="VU262" s="500"/>
      <c r="VV262" s="500"/>
      <c r="VW262" s="500"/>
      <c r="VX262" s="500"/>
      <c r="VY262" s="500"/>
      <c r="VZ262" s="500"/>
      <c r="WA262" s="500"/>
      <c r="WB262" s="500"/>
      <c r="WC262" s="500"/>
      <c r="WD262" s="500"/>
      <c r="WE262" s="500"/>
      <c r="WF262" s="500"/>
      <c r="WG262" s="500"/>
      <c r="WH262" s="500"/>
      <c r="WI262" s="500"/>
      <c r="WJ262" s="500"/>
      <c r="WK262" s="500"/>
      <c r="WL262" s="500"/>
      <c r="WM262" s="500"/>
      <c r="WN262" s="500"/>
      <c r="WO262" s="500"/>
      <c r="WP262" s="500"/>
      <c r="WQ262" s="500"/>
      <c r="WR262" s="500"/>
      <c r="WS262" s="500"/>
      <c r="WT262" s="500"/>
      <c r="WU262" s="500"/>
      <c r="WV262" s="500"/>
      <c r="WW262" s="500"/>
      <c r="WX262" s="500"/>
      <c r="WY262" s="500"/>
      <c r="WZ262" s="500"/>
      <c r="XA262" s="500"/>
      <c r="XB262" s="500"/>
      <c r="XC262" s="500"/>
      <c r="XD262" s="500"/>
      <c r="XE262" s="500"/>
      <c r="XF262" s="500"/>
      <c r="XG262" s="500"/>
      <c r="XH262" s="500"/>
      <c r="XI262" s="500"/>
      <c r="XJ262" s="500"/>
      <c r="XK262" s="500"/>
      <c r="XL262" s="500"/>
      <c r="XM262" s="500"/>
      <c r="XN262" s="500"/>
      <c r="XO262" s="500"/>
      <c r="XP262" s="500"/>
      <c r="XQ262" s="500"/>
      <c r="XR262" s="500"/>
      <c r="XS262" s="500"/>
      <c r="XT262" s="500"/>
      <c r="XU262" s="500"/>
      <c r="XV262" s="500"/>
      <c r="XW262" s="500"/>
      <c r="XX262" s="500"/>
      <c r="XY262" s="500"/>
      <c r="XZ262" s="500"/>
      <c r="YA262" s="500"/>
      <c r="YB262" s="500"/>
      <c r="YC262" s="500"/>
      <c r="YD262" s="500"/>
      <c r="YE262" s="500"/>
      <c r="YF262" s="500"/>
      <c r="YG262" s="500"/>
      <c r="YH262" s="500"/>
      <c r="YI262" s="500"/>
      <c r="YJ262" s="500"/>
      <c r="YK262" s="500"/>
      <c r="YL262" s="500"/>
      <c r="YM262" s="500"/>
      <c r="YN262" s="500"/>
      <c r="YO262" s="500"/>
      <c r="YP262" s="500"/>
      <c r="YQ262" s="500"/>
      <c r="YR262" s="500"/>
      <c r="YS262" s="500"/>
      <c r="YT262" s="500"/>
      <c r="YU262" s="500"/>
      <c r="YV262" s="500"/>
      <c r="YW262" s="500"/>
      <c r="YX262" s="500"/>
      <c r="YY262" s="500"/>
      <c r="YZ262" s="500"/>
      <c r="ZA262" s="500"/>
      <c r="ZB262" s="500"/>
      <c r="ZC262" s="500"/>
      <c r="ZD262" s="500"/>
      <c r="ZE262" s="500"/>
      <c r="ZF262" s="500"/>
      <c r="ZG262" s="500"/>
      <c r="ZH262" s="500"/>
      <c r="ZI262" s="500"/>
      <c r="ZJ262" s="500"/>
      <c r="ZK262" s="500"/>
      <c r="ZL262" s="500"/>
      <c r="ZM262" s="500"/>
      <c r="ZN262" s="500"/>
      <c r="ZO262" s="500"/>
      <c r="ZP262" s="500"/>
      <c r="ZQ262" s="500"/>
      <c r="ZR262" s="500"/>
      <c r="ZS262" s="500"/>
      <c r="ZT262" s="500"/>
      <c r="ZU262" s="500"/>
      <c r="ZV262" s="500"/>
      <c r="ZW262" s="500"/>
      <c r="ZX262" s="500"/>
      <c r="ZY262" s="500"/>
      <c r="ZZ262" s="500"/>
      <c r="AAA262" s="500"/>
      <c r="AAB262" s="500"/>
      <c r="AAC262" s="500"/>
      <c r="AAD262" s="500"/>
      <c r="AAE262" s="500"/>
      <c r="AAF262" s="500"/>
      <c r="AAG262" s="500"/>
      <c r="AAH262" s="500"/>
      <c r="AAI262" s="500"/>
      <c r="AAJ262" s="500"/>
      <c r="AAK262" s="500"/>
      <c r="AAL262" s="500"/>
      <c r="AAM262" s="500"/>
      <c r="AAN262" s="500"/>
      <c r="AAO262" s="500"/>
      <c r="AAP262" s="500"/>
      <c r="AAQ262" s="500"/>
      <c r="AAR262" s="500"/>
      <c r="AAS262" s="500"/>
      <c r="AAT262" s="500"/>
      <c r="AAU262" s="500"/>
      <c r="AAV262" s="500"/>
      <c r="AAW262" s="500"/>
      <c r="AAX262" s="500"/>
      <c r="AAY262" s="500"/>
      <c r="AAZ262" s="500"/>
      <c r="ABA262" s="500"/>
      <c r="ABB262" s="500"/>
      <c r="ABC262" s="500"/>
      <c r="ABD262" s="500"/>
      <c r="ABE262" s="500"/>
      <c r="ABF262" s="500"/>
      <c r="ABG262" s="500"/>
      <c r="ABH262" s="500"/>
      <c r="ABI262" s="500"/>
      <c r="ABJ262" s="500"/>
      <c r="ABK262" s="500"/>
      <c r="ABL262" s="500"/>
      <c r="ABM262" s="500"/>
      <c r="ABN262" s="500"/>
      <c r="ABO262" s="500"/>
      <c r="ABP262" s="500"/>
      <c r="ABQ262" s="500"/>
      <c r="ABR262" s="500"/>
      <c r="ABS262" s="500"/>
      <c r="ABT262" s="500"/>
      <c r="ABU262" s="500"/>
      <c r="ABV262" s="500"/>
      <c r="ABW262" s="500"/>
      <c r="ABX262" s="500"/>
      <c r="ABY262" s="500"/>
      <c r="ABZ262" s="500"/>
      <c r="ACA262" s="500"/>
      <c r="ACB262" s="500"/>
      <c r="ACC262" s="500"/>
      <c r="ACD262" s="500"/>
      <c r="ACE262" s="500"/>
      <c r="ACF262" s="500"/>
      <c r="ACG262" s="500"/>
      <c r="ACH262" s="500"/>
      <c r="ACI262" s="500"/>
      <c r="ACJ262" s="500"/>
      <c r="ACK262" s="500"/>
      <c r="ACL262" s="500"/>
      <c r="ACM262" s="500"/>
      <c r="ACN262" s="500"/>
      <c r="ACO262" s="500"/>
      <c r="ACP262" s="500"/>
      <c r="ACQ262" s="500"/>
      <c r="ACR262" s="500"/>
      <c r="ACS262" s="500"/>
      <c r="ACT262" s="500"/>
      <c r="ACU262" s="500"/>
      <c r="ACV262" s="500"/>
      <c r="ACW262" s="500"/>
      <c r="ACX262" s="500"/>
      <c r="ACY262" s="500"/>
      <c r="ACZ262" s="500"/>
      <c r="ADA262" s="500"/>
      <c r="ADB262" s="500"/>
      <c r="ADC262" s="500"/>
      <c r="ADD262" s="500"/>
      <c r="ADE262" s="500"/>
      <c r="ADF262" s="500"/>
      <c r="ADG262" s="500"/>
      <c r="ADH262" s="500"/>
      <c r="ADI262" s="500"/>
      <c r="ADJ262" s="500"/>
      <c r="ADK262" s="500"/>
      <c r="ADL262" s="500"/>
      <c r="ADM262" s="500"/>
      <c r="ADN262" s="500"/>
      <c r="ADO262" s="500"/>
      <c r="ADP262" s="500"/>
      <c r="ADQ262" s="500"/>
      <c r="ADR262" s="500"/>
      <c r="ADS262" s="500"/>
      <c r="ADT262" s="500"/>
      <c r="ADU262" s="500"/>
      <c r="ADV262" s="500"/>
      <c r="ADW262" s="500"/>
      <c r="ADX262" s="500"/>
      <c r="ADY262" s="500"/>
      <c r="ADZ262" s="500"/>
      <c r="AEA262" s="500"/>
      <c r="AEB262" s="500"/>
      <c r="AEC262" s="500"/>
      <c r="AED262" s="500"/>
      <c r="AEE262" s="500"/>
      <c r="AEF262" s="500"/>
      <c r="AEG262" s="500"/>
      <c r="AEH262" s="500"/>
      <c r="AEI262" s="500"/>
      <c r="AEJ262" s="500"/>
      <c r="AEK262" s="500"/>
      <c r="AEL262" s="500"/>
      <c r="AEM262" s="500"/>
      <c r="AEN262" s="500"/>
      <c r="AEO262" s="500"/>
      <c r="AEP262" s="500"/>
      <c r="AEQ262" s="500"/>
      <c r="AER262" s="500"/>
      <c r="AES262" s="500"/>
      <c r="AET262" s="500"/>
      <c r="AEU262" s="500"/>
      <c r="AEV262" s="500"/>
      <c r="AEW262" s="500"/>
      <c r="AEX262" s="500"/>
      <c r="AEY262" s="500"/>
      <c r="AEZ262" s="500"/>
      <c r="AFA262" s="500"/>
      <c r="AFB262" s="500"/>
      <c r="AFC262" s="500"/>
      <c r="AFD262" s="500"/>
      <c r="AFE262" s="500"/>
      <c r="AFF262" s="500"/>
      <c r="AFG262" s="500"/>
      <c r="AFH262" s="500"/>
      <c r="AFI262" s="500"/>
      <c r="AFJ262" s="500"/>
      <c r="AFK262" s="500"/>
      <c r="AFL262" s="500"/>
      <c r="AFM262" s="500"/>
      <c r="AFN262" s="500"/>
      <c r="AFO262" s="500"/>
      <c r="AFP262" s="500"/>
      <c r="AFQ262" s="500"/>
      <c r="AFR262" s="500"/>
      <c r="AFS262" s="500"/>
      <c r="AFT262" s="500"/>
      <c r="AFU262" s="500"/>
      <c r="AFV262" s="500"/>
      <c r="AFW262" s="500"/>
      <c r="AFX262" s="500"/>
      <c r="AFY262" s="500"/>
      <c r="AFZ262" s="500"/>
      <c r="AGA262" s="500"/>
      <c r="AGB262" s="500"/>
      <c r="AGC262" s="500"/>
      <c r="AGD262" s="500"/>
      <c r="AGE262" s="500"/>
      <c r="AGF262" s="500"/>
      <c r="AGG262" s="500"/>
      <c r="AGH262" s="500"/>
      <c r="AGI262" s="500"/>
      <c r="AGJ262" s="500"/>
      <c r="AGK262" s="500"/>
      <c r="AGL262" s="500"/>
      <c r="AGM262" s="500"/>
      <c r="AGN262" s="500"/>
      <c r="AGO262" s="500"/>
      <c r="AGP262" s="500"/>
      <c r="AGQ262" s="500"/>
      <c r="AGR262" s="500"/>
      <c r="AGS262" s="500"/>
      <c r="AGT262" s="500"/>
      <c r="AGU262" s="500"/>
      <c r="AGV262" s="500"/>
      <c r="AGW262" s="500"/>
      <c r="AGX262" s="500"/>
      <c r="AGY262" s="500"/>
      <c r="AGZ262" s="500"/>
      <c r="AHA262" s="500"/>
      <c r="AHB262" s="500"/>
      <c r="AHC262" s="500"/>
      <c r="AHD262" s="500"/>
      <c r="AHE262" s="500"/>
      <c r="AHF262" s="500"/>
      <c r="AHG262" s="500"/>
      <c r="AHH262" s="500"/>
      <c r="AHI262" s="500"/>
      <c r="AHJ262" s="500"/>
      <c r="AHK262" s="500"/>
      <c r="AHL262" s="500"/>
      <c r="AHM262" s="500"/>
      <c r="AHN262" s="500"/>
      <c r="AHO262" s="500"/>
      <c r="AHP262" s="500"/>
      <c r="AHQ262" s="500"/>
      <c r="AHR262" s="500"/>
      <c r="AHS262" s="500"/>
      <c r="AHT262" s="500"/>
      <c r="AHU262" s="500"/>
      <c r="AHV262" s="500"/>
      <c r="AHW262" s="500"/>
      <c r="AHX262" s="500"/>
      <c r="AHY262" s="500"/>
      <c r="AHZ262" s="500"/>
      <c r="AIA262" s="500"/>
      <c r="AIB262" s="500"/>
      <c r="AIC262" s="500"/>
      <c r="AID262" s="500"/>
      <c r="AIE262" s="500"/>
      <c r="AIF262" s="500"/>
      <c r="AIG262" s="500"/>
      <c r="AIH262" s="500"/>
      <c r="AII262" s="500"/>
      <c r="AIJ262" s="500"/>
      <c r="AIK262" s="500"/>
      <c r="AIL262" s="500"/>
      <c r="AIM262" s="500"/>
      <c r="AIN262" s="500"/>
      <c r="AIO262" s="500"/>
      <c r="AIP262" s="500"/>
      <c r="AIQ262" s="500"/>
      <c r="AIR262" s="500"/>
      <c r="AIS262" s="500"/>
      <c r="AIT262" s="500"/>
      <c r="AIU262" s="500"/>
      <c r="AIV262" s="500"/>
      <c r="AIW262" s="500"/>
      <c r="AIX262" s="500"/>
      <c r="AIY262" s="500"/>
      <c r="AIZ262" s="500"/>
      <c r="AJA262" s="500"/>
      <c r="AJB262" s="500"/>
      <c r="AJC262" s="500"/>
      <c r="AJD262" s="500"/>
      <c r="AJE262" s="500"/>
      <c r="AJF262" s="500"/>
      <c r="AJG262" s="500"/>
      <c r="AJH262" s="500"/>
      <c r="AJI262" s="500"/>
      <c r="AJJ262" s="500"/>
      <c r="AJK262" s="500"/>
      <c r="AJL262" s="500"/>
      <c r="AJM262" s="500"/>
      <c r="AJN262" s="500"/>
      <c r="AJO262" s="500"/>
      <c r="AJP262" s="500"/>
      <c r="AJQ262" s="500"/>
      <c r="AJR262" s="500"/>
      <c r="AJS262" s="500"/>
      <c r="AJT262" s="500"/>
      <c r="AJU262" s="500"/>
      <c r="AJV262" s="500"/>
      <c r="AJW262" s="500"/>
      <c r="AJX262" s="500"/>
      <c r="AJY262" s="500"/>
      <c r="AJZ262" s="500"/>
      <c r="AKA262" s="500"/>
      <c r="AKB262" s="500"/>
      <c r="AKC262" s="500"/>
      <c r="AKD262" s="500"/>
      <c r="AKE262" s="500"/>
      <c r="AKF262" s="500"/>
      <c r="AKG262" s="500"/>
      <c r="AKH262" s="500"/>
      <c r="AKI262" s="500"/>
      <c r="AKJ262" s="500"/>
      <c r="AKK262" s="500"/>
      <c r="AKL262" s="500"/>
      <c r="AKM262" s="500"/>
      <c r="AKN262" s="500"/>
      <c r="AKO262" s="500"/>
      <c r="AKP262" s="500"/>
      <c r="AKQ262" s="500"/>
      <c r="AKR262" s="500"/>
      <c r="AKS262" s="500"/>
      <c r="AKT262" s="500"/>
      <c r="AKU262" s="500"/>
      <c r="AKV262" s="500"/>
      <c r="AKW262" s="500"/>
      <c r="AKX262" s="500"/>
      <c r="AKY262" s="500"/>
      <c r="AKZ262" s="500"/>
      <c r="ALA262" s="500"/>
      <c r="ALB262" s="500"/>
      <c r="ALC262" s="500"/>
      <c r="ALD262" s="500"/>
      <c r="ALE262" s="500"/>
      <c r="ALF262" s="500"/>
      <c r="ALG262" s="500"/>
      <c r="ALH262" s="500"/>
      <c r="ALI262" s="500"/>
      <c r="ALJ262" s="500"/>
      <c r="ALK262" s="500"/>
      <c r="ALL262" s="500"/>
      <c r="ALM262" s="500"/>
      <c r="ALN262" s="500"/>
      <c r="ALO262" s="500"/>
      <c r="ALP262" s="500"/>
      <c r="ALQ262" s="500"/>
      <c r="ALR262" s="500"/>
      <c r="ALS262" s="500"/>
      <c r="ALT262" s="500"/>
      <c r="ALU262" s="500"/>
      <c r="ALV262" s="500"/>
      <c r="ALW262" s="500"/>
      <c r="ALX262" s="500"/>
      <c r="ALY262" s="500"/>
      <c r="ALZ262" s="500"/>
      <c r="AMA262" s="500"/>
      <c r="AMB262" s="500"/>
      <c r="AMC262" s="500"/>
      <c r="AMD262" s="500"/>
      <c r="AME262" s="500"/>
      <c r="AMF262" s="500"/>
      <c r="AMG262" s="500"/>
      <c r="AMH262" s="500"/>
      <c r="AMI262" s="500"/>
      <c r="AMJ262" s="500"/>
      <c r="AMK262" s="500"/>
      <c r="AML262" s="500"/>
      <c r="AMM262" s="500"/>
      <c r="AMN262" s="500"/>
      <c r="AMO262" s="500"/>
      <c r="AMP262" s="500"/>
      <c r="AMQ262" s="500"/>
      <c r="AMR262" s="500"/>
      <c r="AMS262" s="500"/>
      <c r="AMT262" s="500"/>
      <c r="AMU262" s="500"/>
      <c r="AMV262" s="500"/>
      <c r="AMW262" s="500"/>
      <c r="AMX262" s="500"/>
      <c r="AMY262" s="500"/>
      <c r="AMZ262" s="500"/>
      <c r="ANA262" s="500"/>
      <c r="ANB262" s="500"/>
      <c r="ANC262" s="500"/>
      <c r="AND262" s="500"/>
      <c r="ANE262" s="500"/>
      <c r="ANF262" s="500"/>
      <c r="ANG262" s="500"/>
      <c r="ANH262" s="500"/>
      <c r="ANI262" s="500"/>
      <c r="ANJ262" s="500"/>
      <c r="ANK262" s="500"/>
      <c r="ANL262" s="500"/>
      <c r="ANM262" s="500"/>
      <c r="ANN262" s="500"/>
      <c r="ANO262" s="500"/>
      <c r="ANP262" s="500"/>
      <c r="ANQ262" s="500"/>
      <c r="ANR262" s="500"/>
      <c r="ANS262" s="500"/>
      <c r="ANT262" s="500"/>
      <c r="ANU262" s="500"/>
      <c r="ANV262" s="500"/>
      <c r="ANW262" s="500"/>
      <c r="ANX262" s="500"/>
      <c r="ANY262" s="500"/>
      <c r="ANZ262" s="500"/>
      <c r="AOA262" s="500"/>
      <c r="AOB262" s="500"/>
      <c r="AOC262" s="500"/>
      <c r="AOD262" s="500"/>
      <c r="AOE262" s="500"/>
      <c r="AOF262" s="500"/>
      <c r="AOG262" s="500"/>
      <c r="AOH262" s="500"/>
      <c r="AOI262" s="500"/>
      <c r="AOJ262" s="500"/>
      <c r="AOK262" s="500"/>
      <c r="AOL262" s="500"/>
      <c r="AOM262" s="500"/>
      <c r="AON262" s="500"/>
      <c r="AOO262" s="500"/>
      <c r="AOP262" s="500"/>
      <c r="AOQ262" s="500"/>
      <c r="AOR262" s="500"/>
      <c r="AOS262" s="500"/>
      <c r="AOT262" s="500"/>
      <c r="AOU262" s="500"/>
      <c r="AOV262" s="500"/>
      <c r="AOW262" s="500"/>
      <c r="AOX262" s="500"/>
      <c r="AOY262" s="500"/>
      <c r="AOZ262" s="500"/>
      <c r="APA262" s="500"/>
      <c r="APB262" s="500"/>
      <c r="APC262" s="500"/>
      <c r="APD262" s="500"/>
      <c r="APE262" s="500"/>
      <c r="APF262" s="500"/>
      <c r="APG262" s="500"/>
      <c r="APH262" s="500"/>
      <c r="API262" s="500"/>
      <c r="APJ262" s="500"/>
      <c r="APK262" s="500"/>
      <c r="APL262" s="500"/>
      <c r="APM262" s="500"/>
      <c r="APN262" s="500"/>
      <c r="APO262" s="500"/>
      <c r="APP262" s="500"/>
      <c r="APQ262" s="500"/>
      <c r="APR262" s="500"/>
      <c r="APS262" s="500"/>
      <c r="APT262" s="500"/>
      <c r="APU262" s="500"/>
      <c r="APV262" s="500"/>
      <c r="APW262" s="500"/>
      <c r="APX262" s="500"/>
      <c r="APY262" s="500"/>
      <c r="APZ262" s="500"/>
      <c r="AQA262" s="500"/>
      <c r="AQB262" s="500"/>
      <c r="AQC262" s="500"/>
      <c r="AQD262" s="500"/>
      <c r="AQE262" s="500"/>
      <c r="AQF262" s="500"/>
      <c r="AQG262" s="500"/>
      <c r="AQH262" s="500"/>
      <c r="AQI262" s="500"/>
      <c r="AQJ262" s="500"/>
      <c r="AQK262" s="500"/>
      <c r="AQL262" s="500"/>
      <c r="AQM262" s="500"/>
      <c r="AQN262" s="500"/>
      <c r="AQO262" s="500"/>
      <c r="AQP262" s="500"/>
      <c r="AQQ262" s="500"/>
      <c r="AQR262" s="500"/>
      <c r="AQS262" s="500"/>
      <c r="AQT262" s="500"/>
      <c r="AQU262" s="500"/>
      <c r="AQV262" s="500"/>
      <c r="AQW262" s="500"/>
      <c r="AQX262" s="500"/>
      <c r="AQY262" s="500"/>
      <c r="AQZ262" s="500"/>
      <c r="ARA262" s="500"/>
      <c r="ARB262" s="500"/>
      <c r="ARC262" s="500"/>
      <c r="ARD262" s="500"/>
      <c r="ARE262" s="500"/>
      <c r="ARF262" s="500"/>
      <c r="ARG262" s="500"/>
      <c r="ARH262" s="500"/>
      <c r="ARI262" s="500"/>
      <c r="ARJ262" s="500"/>
      <c r="ARK262" s="500"/>
      <c r="ARL262" s="500"/>
      <c r="ARM262" s="500"/>
      <c r="ARN262" s="500"/>
      <c r="ARO262" s="500"/>
      <c r="ARP262" s="500"/>
      <c r="ARQ262" s="500"/>
      <c r="ARR262" s="500"/>
      <c r="ARS262" s="500"/>
      <c r="ART262" s="500"/>
      <c r="ARU262" s="500"/>
      <c r="ARV262" s="500"/>
      <c r="ARW262" s="500"/>
      <c r="ARX262" s="500"/>
      <c r="ARY262" s="500"/>
      <c r="ARZ262" s="500"/>
      <c r="ASA262" s="500"/>
      <c r="ASB262" s="500"/>
      <c r="ASC262" s="500"/>
      <c r="ASD262" s="500"/>
      <c r="ASE262" s="500"/>
      <c r="ASF262" s="500"/>
      <c r="ASG262" s="500"/>
      <c r="ASH262" s="500"/>
      <c r="ASI262" s="500"/>
      <c r="ASJ262" s="500"/>
      <c r="ASK262" s="500"/>
      <c r="ASL262" s="500"/>
      <c r="ASM262" s="500"/>
      <c r="ASN262" s="500"/>
      <c r="ASO262" s="500"/>
      <c r="ASP262" s="500"/>
      <c r="ASQ262" s="500"/>
      <c r="ASR262" s="500"/>
      <c r="ASS262" s="500"/>
      <c r="AST262" s="500"/>
      <c r="ASU262" s="500"/>
      <c r="ASV262" s="500"/>
      <c r="ASW262" s="500"/>
      <c r="ASX262" s="500"/>
      <c r="ASY262" s="500"/>
      <c r="ASZ262" s="500"/>
      <c r="ATA262" s="500"/>
      <c r="ATB262" s="500"/>
      <c r="ATC262" s="500"/>
      <c r="ATD262" s="500"/>
      <c r="ATE262" s="500"/>
      <c r="ATF262" s="500"/>
      <c r="ATG262" s="500"/>
      <c r="ATH262" s="500"/>
      <c r="ATI262" s="500"/>
      <c r="ATJ262" s="500"/>
      <c r="ATK262" s="500"/>
      <c r="ATL262" s="500"/>
      <c r="ATM262" s="500"/>
      <c r="ATN262" s="500"/>
      <c r="ATO262" s="500"/>
      <c r="ATP262" s="500"/>
      <c r="ATQ262" s="500"/>
      <c r="ATR262" s="500"/>
      <c r="ATS262" s="500"/>
      <c r="ATT262" s="500"/>
      <c r="ATU262" s="500"/>
      <c r="ATV262" s="500"/>
      <c r="ATW262" s="500"/>
      <c r="ATX262" s="500"/>
      <c r="ATY262" s="500"/>
      <c r="ATZ262" s="500"/>
      <c r="AUA262" s="500"/>
      <c r="AUB262" s="500"/>
      <c r="AUC262" s="500"/>
      <c r="AUD262" s="500"/>
      <c r="AUE262" s="500"/>
      <c r="AUF262" s="500"/>
      <c r="AUG262" s="500"/>
      <c r="AUH262" s="500"/>
      <c r="AUI262" s="500"/>
      <c r="AUJ262" s="500"/>
      <c r="AUK262" s="500"/>
      <c r="AUL262" s="500"/>
      <c r="AUM262" s="500"/>
      <c r="AUN262" s="500"/>
      <c r="AUO262" s="500"/>
      <c r="AUP262" s="500"/>
      <c r="AUQ262" s="500"/>
      <c r="AUR262" s="500"/>
      <c r="AUS262" s="500"/>
      <c r="AUT262" s="500"/>
      <c r="AUU262" s="500"/>
      <c r="AUV262" s="500"/>
      <c r="AUW262" s="500"/>
      <c r="AUX262" s="500"/>
      <c r="AUY262" s="500"/>
      <c r="AUZ262" s="500"/>
      <c r="AVA262" s="500"/>
      <c r="AVB262" s="500"/>
      <c r="AVC262" s="500"/>
      <c r="AVD262" s="500"/>
      <c r="AVE262" s="500"/>
      <c r="AVF262" s="500"/>
      <c r="AVG262" s="500"/>
      <c r="AVH262" s="500"/>
      <c r="AVI262" s="500"/>
      <c r="AVJ262" s="500"/>
      <c r="AVK262" s="500"/>
      <c r="AVL262" s="500"/>
      <c r="AVM262" s="500"/>
      <c r="AVN262" s="500"/>
      <c r="AVO262" s="500"/>
      <c r="AVP262" s="500"/>
      <c r="AVQ262" s="500"/>
      <c r="AVR262" s="500"/>
      <c r="AVS262" s="500"/>
      <c r="AVT262" s="500"/>
      <c r="AVU262" s="500"/>
      <c r="AVV262" s="500"/>
      <c r="AVW262" s="500"/>
      <c r="AVX262" s="500"/>
      <c r="AVY262" s="500"/>
      <c r="AVZ262" s="500"/>
      <c r="AWA262" s="500"/>
      <c r="AWB262" s="500"/>
      <c r="AWC262" s="500"/>
      <c r="AWD262" s="500"/>
      <c r="AWE262" s="500"/>
      <c r="AWF262" s="500"/>
      <c r="AWG262" s="500"/>
      <c r="AWH262" s="500"/>
      <c r="AWI262" s="500"/>
      <c r="AWJ262" s="500"/>
      <c r="AWK262" s="500"/>
      <c r="AWL262" s="500"/>
      <c r="AWM262" s="500"/>
      <c r="AWN262" s="500"/>
      <c r="AWO262" s="500"/>
      <c r="AWP262" s="500"/>
      <c r="AWQ262" s="500"/>
      <c r="AWR262" s="500"/>
      <c r="AWS262" s="500"/>
      <c r="AWT262" s="500"/>
      <c r="AWU262" s="500"/>
      <c r="AWV262" s="500"/>
      <c r="AWW262" s="500"/>
      <c r="AWX262" s="500"/>
      <c r="AWY262" s="500"/>
      <c r="AWZ262" s="500"/>
      <c r="AXA262" s="500"/>
      <c r="AXB262" s="500"/>
      <c r="AXC262" s="500"/>
      <c r="AXD262" s="500"/>
      <c r="AXE262" s="500"/>
      <c r="AXF262" s="500"/>
      <c r="AXG262" s="500"/>
      <c r="AXH262" s="500"/>
      <c r="AXI262" s="500"/>
      <c r="AXJ262" s="500"/>
      <c r="AXK262" s="500"/>
      <c r="AXL262" s="500"/>
      <c r="AXM262" s="500"/>
      <c r="AXN262" s="500"/>
      <c r="AXO262" s="500"/>
      <c r="AXP262" s="500"/>
      <c r="AXQ262" s="500"/>
      <c r="AXR262" s="500"/>
      <c r="AXS262" s="500"/>
      <c r="AXT262" s="500"/>
      <c r="AXU262" s="500"/>
      <c r="AXV262" s="500"/>
      <c r="AXW262" s="500"/>
      <c r="AXX262" s="500"/>
      <c r="AXY262" s="500"/>
      <c r="AXZ262" s="500"/>
      <c r="AYA262" s="500"/>
      <c r="AYB262" s="500"/>
      <c r="AYC262" s="500"/>
      <c r="AYD262" s="500"/>
      <c r="AYE262" s="500"/>
      <c r="AYF262" s="500"/>
      <c r="AYG262" s="500"/>
      <c r="AYH262" s="500"/>
      <c r="AYI262" s="500"/>
      <c r="AYJ262" s="500"/>
      <c r="AYK262" s="500"/>
      <c r="AYL262" s="500"/>
      <c r="AYM262" s="500"/>
      <c r="AYN262" s="500"/>
      <c r="AYO262" s="500"/>
      <c r="AYP262" s="500"/>
      <c r="AYQ262" s="500"/>
      <c r="AYR262" s="500"/>
      <c r="AYS262" s="500"/>
      <c r="AYT262" s="500"/>
      <c r="AYU262" s="500"/>
      <c r="AYV262" s="500"/>
      <c r="AYW262" s="500"/>
      <c r="AYX262" s="500"/>
      <c r="AYY262" s="500"/>
      <c r="AYZ262" s="500"/>
      <c r="AZA262" s="500"/>
      <c r="AZB262" s="500"/>
      <c r="AZC262" s="500"/>
      <c r="AZD262" s="500"/>
      <c r="AZE262" s="500"/>
      <c r="AZF262" s="500"/>
      <c r="AZG262" s="500"/>
      <c r="AZH262" s="500"/>
      <c r="AZI262" s="500"/>
      <c r="AZJ262" s="500"/>
      <c r="AZK262" s="500"/>
      <c r="AZL262" s="500"/>
      <c r="AZM262" s="500"/>
      <c r="AZN262" s="500"/>
      <c r="AZO262" s="500"/>
      <c r="AZP262" s="500"/>
      <c r="AZQ262" s="500"/>
      <c r="AZR262" s="500"/>
      <c r="AZS262" s="500"/>
      <c r="AZT262" s="500"/>
      <c r="AZU262" s="500"/>
      <c r="AZV262" s="500"/>
      <c r="AZW262" s="500"/>
      <c r="AZX262" s="500"/>
      <c r="AZY262" s="500"/>
      <c r="AZZ262" s="500"/>
      <c r="BAA262" s="500"/>
      <c r="BAB262" s="500"/>
      <c r="BAC262" s="500"/>
      <c r="BAD262" s="500"/>
      <c r="BAE262" s="500"/>
      <c r="BAF262" s="500"/>
      <c r="BAG262" s="500"/>
      <c r="BAH262" s="500"/>
      <c r="BAI262" s="500"/>
      <c r="BAJ262" s="500"/>
      <c r="BAK262" s="500"/>
      <c r="BAL262" s="500"/>
      <c r="BAM262" s="500"/>
      <c r="BAN262" s="500"/>
      <c r="BAO262" s="500"/>
      <c r="BAP262" s="500"/>
      <c r="BAQ262" s="500"/>
      <c r="BAR262" s="500"/>
      <c r="BAS262" s="500"/>
      <c r="BAT262" s="500"/>
      <c r="BAU262" s="500"/>
      <c r="BAV262" s="500"/>
      <c r="BAW262" s="500"/>
      <c r="BAX262" s="500"/>
      <c r="BAY262" s="500"/>
      <c r="BAZ262" s="500"/>
      <c r="BBA262" s="500"/>
      <c r="BBB262" s="500"/>
      <c r="BBC262" s="500"/>
      <c r="BBD262" s="500"/>
      <c r="BBE262" s="500"/>
      <c r="BBF262" s="500"/>
      <c r="BBG262" s="500"/>
      <c r="BBH262" s="500"/>
      <c r="BBI262" s="500"/>
      <c r="BBJ262" s="500"/>
      <c r="BBK262" s="500"/>
      <c r="BBL262" s="500"/>
      <c r="BBM262" s="500"/>
      <c r="BBN262" s="500"/>
      <c r="BBO262" s="500"/>
      <c r="BBP262" s="500"/>
      <c r="BBQ262" s="500"/>
      <c r="BBR262" s="500"/>
      <c r="BBS262" s="500"/>
      <c r="BBT262" s="500"/>
      <c r="BBU262" s="500"/>
      <c r="BBV262" s="500"/>
      <c r="BBW262" s="500"/>
      <c r="BBX262" s="500"/>
      <c r="BBY262" s="500"/>
      <c r="BBZ262" s="500"/>
      <c r="BCA262" s="500"/>
      <c r="BCB262" s="500"/>
      <c r="BCC262" s="500"/>
      <c r="BCD262" s="500"/>
      <c r="BCE262" s="500"/>
      <c r="BCF262" s="500"/>
      <c r="BCG262" s="500"/>
      <c r="BCH262" s="500"/>
      <c r="BCI262" s="500"/>
      <c r="BCJ262" s="500"/>
      <c r="BCK262" s="500"/>
      <c r="BCL262" s="500"/>
      <c r="BCM262" s="500"/>
      <c r="BCN262" s="500"/>
      <c r="BCO262" s="500"/>
      <c r="BCP262" s="500"/>
      <c r="BCQ262" s="500"/>
      <c r="BCR262" s="500"/>
      <c r="BCS262" s="500"/>
      <c r="BCT262" s="500"/>
      <c r="BCU262" s="500"/>
      <c r="BCV262" s="500"/>
      <c r="BCW262" s="500"/>
      <c r="BCX262" s="500"/>
      <c r="BCY262" s="500"/>
      <c r="BCZ262" s="500"/>
      <c r="BDA262" s="500"/>
      <c r="BDB262" s="500"/>
      <c r="BDC262" s="500"/>
      <c r="BDD262" s="500"/>
      <c r="BDE262" s="500"/>
      <c r="BDF262" s="500"/>
      <c r="BDG262" s="500"/>
      <c r="BDH262" s="500"/>
      <c r="BDI262" s="500"/>
      <c r="BDJ262" s="500"/>
      <c r="BDK262" s="500"/>
      <c r="BDL262" s="500"/>
      <c r="BDM262" s="500"/>
      <c r="BDN262" s="500"/>
      <c r="BDO262" s="500"/>
      <c r="BDP262" s="500"/>
      <c r="BDQ262" s="500"/>
      <c r="BDR262" s="500"/>
      <c r="BDS262" s="500"/>
      <c r="BDT262" s="500"/>
      <c r="BDU262" s="500"/>
      <c r="BDV262" s="500"/>
      <c r="BDW262" s="500"/>
      <c r="BDX262" s="500"/>
      <c r="BDY262" s="500"/>
      <c r="BDZ262" s="500"/>
      <c r="BEA262" s="500"/>
      <c r="BEB262" s="500"/>
      <c r="BEC262" s="500"/>
      <c r="BED262" s="500"/>
      <c r="BEE262" s="500"/>
      <c r="BEF262" s="500"/>
      <c r="BEG262" s="500"/>
      <c r="BEH262" s="500"/>
      <c r="BEI262" s="500"/>
      <c r="BEJ262" s="500"/>
      <c r="BEK262" s="500"/>
      <c r="BEL262" s="500"/>
      <c r="BEM262" s="500"/>
      <c r="BEN262" s="500"/>
      <c r="BEO262" s="500"/>
      <c r="BEP262" s="500"/>
      <c r="BEQ262" s="500"/>
      <c r="BER262" s="500"/>
      <c r="BES262" s="500"/>
      <c r="BET262" s="500"/>
      <c r="BEU262" s="500"/>
      <c r="BEV262" s="500"/>
      <c r="BEW262" s="500"/>
      <c r="BEX262" s="500"/>
      <c r="BEY262" s="500"/>
      <c r="BEZ262" s="500"/>
      <c r="BFA262" s="500"/>
      <c r="BFB262" s="500"/>
      <c r="BFC262" s="500"/>
      <c r="BFD262" s="500"/>
      <c r="BFE262" s="500"/>
      <c r="BFF262" s="500"/>
      <c r="BFG262" s="500"/>
      <c r="BFH262" s="500"/>
      <c r="BFI262" s="500"/>
      <c r="BFJ262" s="500"/>
      <c r="BFK262" s="500"/>
      <c r="BFL262" s="500"/>
      <c r="BFM262" s="500"/>
      <c r="BFN262" s="500"/>
      <c r="BFO262" s="500"/>
      <c r="BFP262" s="500"/>
      <c r="BFQ262" s="500"/>
      <c r="BFR262" s="500"/>
      <c r="BFS262" s="500"/>
      <c r="BFT262" s="500"/>
      <c r="BFU262" s="500"/>
      <c r="BFV262" s="500"/>
      <c r="BFW262" s="500"/>
      <c r="BFX262" s="500"/>
      <c r="BFY262" s="500"/>
      <c r="BFZ262" s="500"/>
      <c r="BGA262" s="500"/>
      <c r="BGB262" s="500"/>
      <c r="BGC262" s="500"/>
      <c r="BGD262" s="500"/>
      <c r="BGE262" s="500"/>
      <c r="BGF262" s="500"/>
      <c r="BGG262" s="500"/>
      <c r="BGH262" s="500"/>
      <c r="BGI262" s="500"/>
      <c r="BGJ262" s="500"/>
      <c r="BGK262" s="500"/>
      <c r="BGL262" s="500"/>
      <c r="BGM262" s="500"/>
      <c r="BGN262" s="500"/>
      <c r="BGO262" s="500"/>
      <c r="BGP262" s="500"/>
      <c r="BGQ262" s="500"/>
      <c r="BGR262" s="500"/>
      <c r="BGS262" s="500"/>
      <c r="BGT262" s="500"/>
      <c r="BGU262" s="500"/>
      <c r="BGV262" s="500"/>
      <c r="BGW262" s="500"/>
      <c r="BGX262" s="500"/>
      <c r="BGY262" s="500"/>
      <c r="BGZ262" s="500"/>
      <c r="BHA262" s="500"/>
      <c r="BHB262" s="500"/>
      <c r="BHC262" s="500"/>
      <c r="BHD262" s="500"/>
      <c r="BHE262" s="500"/>
      <c r="BHF262" s="500"/>
      <c r="BHG262" s="500"/>
      <c r="BHH262" s="500"/>
      <c r="BHI262" s="500"/>
      <c r="BHJ262" s="500"/>
      <c r="BHK262" s="500"/>
      <c r="BHL262" s="500"/>
      <c r="BHM262" s="500"/>
      <c r="BHN262" s="500"/>
      <c r="BHO262" s="500"/>
      <c r="BHP262" s="500"/>
      <c r="BHQ262" s="500"/>
      <c r="BHR262" s="500"/>
      <c r="BHS262" s="500"/>
      <c r="BHT262" s="500"/>
      <c r="BHU262" s="500"/>
      <c r="BHV262" s="500"/>
      <c r="BHW262" s="500"/>
      <c r="BHX262" s="500"/>
      <c r="BHY262" s="500"/>
      <c r="BHZ262" s="500"/>
      <c r="BIA262" s="500"/>
      <c r="BIB262" s="500"/>
      <c r="BIC262" s="500"/>
      <c r="BID262" s="500"/>
      <c r="BIE262" s="500"/>
      <c r="BIF262" s="500"/>
      <c r="BIG262" s="500"/>
      <c r="BIH262" s="500"/>
      <c r="BII262" s="500"/>
      <c r="BIJ262" s="500"/>
      <c r="BIK262" s="500"/>
      <c r="BIL262" s="500"/>
      <c r="BIM262" s="500"/>
      <c r="BIN262" s="500"/>
      <c r="BIO262" s="500"/>
      <c r="BIP262" s="500"/>
      <c r="BIQ262" s="500"/>
      <c r="BIR262" s="500"/>
      <c r="BIS262" s="500"/>
      <c r="BIT262" s="500"/>
      <c r="BIU262" s="500"/>
      <c r="BIV262" s="500"/>
      <c r="BIW262" s="500"/>
      <c r="BIX262" s="500"/>
      <c r="BIY262" s="500"/>
      <c r="BIZ262" s="500"/>
      <c r="BJA262" s="500"/>
      <c r="BJB262" s="500"/>
      <c r="BJC262" s="500"/>
      <c r="BJD262" s="500"/>
      <c r="BJE262" s="500"/>
      <c r="BJF262" s="500"/>
      <c r="BJG262" s="500"/>
      <c r="BJH262" s="500"/>
      <c r="BJI262" s="500"/>
      <c r="BJJ262" s="500"/>
      <c r="BJK262" s="500"/>
      <c r="BJL262" s="500"/>
      <c r="BJM262" s="500"/>
      <c r="BJN262" s="500"/>
      <c r="BJO262" s="500"/>
      <c r="BJP262" s="500"/>
      <c r="BJQ262" s="500"/>
      <c r="BJR262" s="500"/>
      <c r="BJS262" s="500"/>
      <c r="BJT262" s="500"/>
      <c r="BJU262" s="500"/>
      <c r="BJV262" s="500"/>
      <c r="BJW262" s="500"/>
      <c r="BJX262" s="500"/>
      <c r="BJY262" s="500"/>
      <c r="BJZ262" s="500"/>
      <c r="BKA262" s="500"/>
      <c r="BKB262" s="500"/>
      <c r="BKC262" s="500"/>
      <c r="BKD262" s="500"/>
      <c r="BKE262" s="500"/>
      <c r="BKF262" s="500"/>
      <c r="BKG262" s="500"/>
      <c r="BKH262" s="500"/>
      <c r="BKI262" s="500"/>
      <c r="BKJ262" s="500"/>
      <c r="BKK262" s="500"/>
      <c r="BKL262" s="500"/>
      <c r="BKM262" s="500"/>
      <c r="BKN262" s="500"/>
      <c r="BKO262" s="500"/>
      <c r="BKP262" s="500"/>
      <c r="BKQ262" s="500"/>
      <c r="BKR262" s="500"/>
      <c r="BKS262" s="500"/>
      <c r="BKT262" s="500"/>
      <c r="BKU262" s="500"/>
      <c r="BKV262" s="500"/>
      <c r="BKW262" s="500"/>
      <c r="BKX262" s="500"/>
      <c r="BKY262" s="500"/>
      <c r="BKZ262" s="500"/>
      <c r="BLA262" s="500"/>
      <c r="BLB262" s="500"/>
      <c r="BLC262" s="500"/>
      <c r="BLD262" s="500"/>
      <c r="BLE262" s="500"/>
      <c r="BLF262" s="500"/>
      <c r="BLG262" s="500"/>
      <c r="BLH262" s="500"/>
      <c r="BLI262" s="500"/>
      <c r="BLJ262" s="500"/>
      <c r="BLK262" s="500"/>
      <c r="BLL262" s="500"/>
      <c r="BLM262" s="500"/>
      <c r="BLN262" s="500"/>
      <c r="BLO262" s="500"/>
      <c r="BLP262" s="500"/>
      <c r="BLQ262" s="500"/>
      <c r="BLR262" s="500"/>
      <c r="BLS262" s="500"/>
      <c r="BLT262" s="500"/>
      <c r="BLU262" s="500"/>
      <c r="BLV262" s="500"/>
      <c r="BLW262" s="500"/>
      <c r="BLX262" s="500"/>
      <c r="BLY262" s="500"/>
      <c r="BLZ262" s="500"/>
      <c r="BMA262" s="500"/>
      <c r="BMB262" s="500"/>
      <c r="BMC262" s="500"/>
      <c r="BMD262" s="500"/>
      <c r="BME262" s="500"/>
      <c r="BMF262" s="500"/>
      <c r="BMG262" s="500"/>
      <c r="BMH262" s="500"/>
      <c r="BMI262" s="500"/>
      <c r="BMJ262" s="500"/>
      <c r="BMK262" s="500"/>
      <c r="BML262" s="500"/>
      <c r="BMM262" s="500"/>
      <c r="BMN262" s="500"/>
      <c r="BMO262" s="500"/>
      <c r="BMP262" s="500"/>
      <c r="BMQ262" s="500"/>
      <c r="BMR262" s="500"/>
      <c r="BMS262" s="500"/>
      <c r="BMT262" s="500"/>
      <c r="BMU262" s="500"/>
      <c r="BMV262" s="500"/>
      <c r="BMW262" s="500"/>
      <c r="BMX262" s="500"/>
      <c r="BMY262" s="500"/>
      <c r="BMZ262" s="500"/>
      <c r="BNA262" s="500"/>
      <c r="BNB262" s="500"/>
      <c r="BNC262" s="500"/>
      <c r="BND262" s="500"/>
      <c r="BNE262" s="500"/>
      <c r="BNF262" s="500"/>
      <c r="BNG262" s="500"/>
      <c r="BNH262" s="500"/>
      <c r="BNI262" s="500"/>
      <c r="BNJ262" s="500"/>
      <c r="BNK262" s="500"/>
      <c r="BNL262" s="500"/>
      <c r="BNM262" s="500"/>
      <c r="BNN262" s="500"/>
      <c r="BNO262" s="500"/>
      <c r="BNP262" s="500"/>
      <c r="BNQ262" s="500"/>
      <c r="BNR262" s="500"/>
      <c r="BNS262" s="500"/>
      <c r="BNT262" s="500"/>
      <c r="BNU262" s="500"/>
      <c r="BNV262" s="500"/>
      <c r="BNW262" s="500"/>
      <c r="BNX262" s="500"/>
      <c r="BNY262" s="500"/>
      <c r="BNZ262" s="500"/>
      <c r="BOA262" s="500"/>
      <c r="BOB262" s="500"/>
      <c r="BOC262" s="500"/>
      <c r="BOD262" s="500"/>
      <c r="BOE262" s="500"/>
      <c r="BOF262" s="500"/>
      <c r="BOG262" s="500"/>
      <c r="BOH262" s="500"/>
      <c r="BOI262" s="500"/>
      <c r="BOJ262" s="500"/>
      <c r="BOK262" s="500"/>
      <c r="BOL262" s="500"/>
      <c r="BOM262" s="500"/>
      <c r="BON262" s="500"/>
      <c r="BOO262" s="500"/>
      <c r="BOP262" s="500"/>
      <c r="BOQ262" s="500"/>
      <c r="BOR262" s="500"/>
      <c r="BOS262" s="500"/>
      <c r="BOT262" s="500"/>
      <c r="BOU262" s="500"/>
      <c r="BOV262" s="500"/>
      <c r="BOW262" s="500"/>
      <c r="BOX262" s="500"/>
      <c r="BOY262" s="500"/>
      <c r="BOZ262" s="500"/>
      <c r="BPA262" s="500"/>
      <c r="BPB262" s="500"/>
      <c r="BPC262" s="500"/>
      <c r="BPD262" s="500"/>
      <c r="BPE262" s="500"/>
      <c r="BPF262" s="500"/>
      <c r="BPG262" s="500"/>
      <c r="BPH262" s="500"/>
      <c r="BPI262" s="500"/>
      <c r="BPJ262" s="500"/>
      <c r="BPK262" s="500"/>
      <c r="BPL262" s="500"/>
      <c r="BPM262" s="500"/>
      <c r="BPN262" s="500"/>
      <c r="BPO262" s="500"/>
      <c r="BPP262" s="500"/>
      <c r="BPQ262" s="500"/>
      <c r="BPR262" s="500"/>
      <c r="BPS262" s="500"/>
      <c r="BPT262" s="500"/>
      <c r="BPU262" s="500"/>
      <c r="BPV262" s="500"/>
      <c r="BPW262" s="500"/>
      <c r="BPX262" s="500"/>
      <c r="BPY262" s="500"/>
      <c r="BPZ262" s="500"/>
      <c r="BQA262" s="500"/>
      <c r="BQB262" s="500"/>
      <c r="BQC262" s="500"/>
      <c r="BQD262" s="500"/>
      <c r="BQE262" s="500"/>
      <c r="BQF262" s="500"/>
      <c r="BQG262" s="500"/>
      <c r="BQH262" s="500"/>
      <c r="BQI262" s="500"/>
      <c r="BQJ262" s="500"/>
      <c r="BQK262" s="500"/>
      <c r="BQL262" s="500"/>
      <c r="BQM262" s="500"/>
      <c r="BQN262" s="500"/>
      <c r="BQO262" s="500"/>
      <c r="BQP262" s="500"/>
      <c r="BQQ262" s="500"/>
      <c r="BQR262" s="500"/>
      <c r="BQS262" s="500"/>
      <c r="BQT262" s="500"/>
      <c r="BQU262" s="500"/>
      <c r="BQV262" s="500"/>
      <c r="BQW262" s="500"/>
      <c r="BQX262" s="500"/>
      <c r="BQY262" s="500"/>
      <c r="BQZ262" s="500"/>
      <c r="BRA262" s="500"/>
      <c r="BRB262" s="500"/>
      <c r="BRC262" s="500"/>
      <c r="BRD262" s="500"/>
      <c r="BRE262" s="500"/>
      <c r="BRF262" s="500"/>
      <c r="BRG262" s="500"/>
      <c r="BRH262" s="500"/>
      <c r="BRI262" s="500"/>
      <c r="BRJ262" s="500"/>
      <c r="BRK262" s="500"/>
      <c r="BRL262" s="500"/>
      <c r="BRM262" s="500"/>
      <c r="BRN262" s="500"/>
      <c r="BRO262" s="500"/>
      <c r="BRP262" s="500"/>
      <c r="BRQ262" s="500"/>
      <c r="BRR262" s="500"/>
      <c r="BRS262" s="500"/>
      <c r="BRT262" s="500"/>
      <c r="BRU262" s="500"/>
      <c r="BRV262" s="500"/>
      <c r="BRW262" s="500"/>
      <c r="BRX262" s="500"/>
      <c r="BRY262" s="500"/>
      <c r="BRZ262" s="500"/>
      <c r="BSA262" s="500"/>
      <c r="BSB262" s="500"/>
      <c r="BSC262" s="500"/>
      <c r="BSD262" s="500"/>
      <c r="BSE262" s="500"/>
      <c r="BSF262" s="500"/>
      <c r="BSG262" s="500"/>
      <c r="BSH262" s="500"/>
      <c r="BSI262" s="500"/>
      <c r="BSJ262" s="500"/>
      <c r="BSK262" s="500"/>
      <c r="BSL262" s="500"/>
      <c r="BSM262" s="500"/>
      <c r="BSN262" s="500"/>
      <c r="BSO262" s="500"/>
      <c r="BSP262" s="500"/>
      <c r="BSQ262" s="500"/>
      <c r="BSR262" s="500"/>
      <c r="BSS262" s="500"/>
      <c r="BST262" s="500"/>
      <c r="BSU262" s="500"/>
      <c r="BSV262" s="500"/>
      <c r="BSW262" s="500"/>
      <c r="BSX262" s="500"/>
      <c r="BSY262" s="500"/>
      <c r="BSZ262" s="500"/>
      <c r="BTA262" s="500"/>
      <c r="BTB262" s="500"/>
      <c r="BTC262" s="500"/>
      <c r="BTD262" s="500"/>
      <c r="BTE262" s="500"/>
      <c r="BTF262" s="500"/>
      <c r="BTG262" s="500"/>
      <c r="BTH262" s="500"/>
      <c r="BTI262" s="500"/>
    </row>
    <row r="263" spans="1:1881" s="411" customFormat="1" ht="30.75" customHeight="1" thickBot="1" x14ac:dyDescent="0.3">
      <c r="A263" s="587">
        <v>966</v>
      </c>
      <c r="B263" s="952" t="s">
        <v>933</v>
      </c>
      <c r="C263" s="953"/>
      <c r="D263" s="954"/>
      <c r="E263" s="955"/>
      <c r="F263" s="886" t="str">
        <f t="shared" si="4"/>
        <v>&lt;&lt;&lt;&lt;&lt;&lt;&lt;&lt;&lt;&lt;&lt;&lt;&lt;&lt;&lt;&lt;&lt;&lt;&lt;</v>
      </c>
      <c r="G263" s="886" t="str">
        <f>IF(ISBLANK($D263),"Cell D263 must be completed.","")</f>
        <v>Cell D263 must be completed.</v>
      </c>
      <c r="H263" s="414"/>
      <c r="I263" s="423"/>
      <c r="J263" s="412"/>
      <c r="K263" s="412"/>
      <c r="L263" s="412"/>
      <c r="M263" s="412"/>
      <c r="N263"/>
      <c r="O263" s="412"/>
      <c r="P263" s="412"/>
      <c r="Q263" s="412"/>
      <c r="R263" s="412"/>
      <c r="S263" s="412"/>
      <c r="T263" s="412"/>
      <c r="U263" s="412"/>
      <c r="V263" s="412"/>
      <c r="W263" s="412"/>
      <c r="X263" s="412"/>
      <c r="Y263" s="412"/>
      <c r="Z263" s="412"/>
      <c r="AA263" s="412"/>
      <c r="AB263" s="412"/>
      <c r="AC263" s="412"/>
      <c r="AD263" s="412"/>
      <c r="AE263" s="412"/>
      <c r="AF263" s="412"/>
      <c r="AG263" s="412"/>
      <c r="AH263" s="412"/>
      <c r="AI263" s="412"/>
      <c r="AJ263" s="412"/>
      <c r="AK263" s="412"/>
      <c r="AL263" s="412"/>
      <c r="AM263" s="412"/>
      <c r="AN263" s="412"/>
      <c r="AO263" s="412"/>
      <c r="AP263" s="412"/>
      <c r="AQ263" s="412"/>
      <c r="AR263" s="412"/>
      <c r="AS263" s="412"/>
      <c r="AT263" s="412"/>
      <c r="AU263" s="412"/>
      <c r="AV263" s="412"/>
      <c r="AW263" s="412"/>
      <c r="AX263" s="412"/>
      <c r="AY263" s="412"/>
      <c r="AZ263" s="412"/>
      <c r="BA263" s="412"/>
      <c r="BB263" s="412"/>
      <c r="BC263" s="412"/>
      <c r="BD263" s="412"/>
      <c r="BE263" s="412"/>
      <c r="BF263" s="412"/>
      <c r="BG263" s="412"/>
      <c r="BH263" s="412"/>
      <c r="BI263" s="412"/>
      <c r="BJ263" s="412"/>
      <c r="BK263" s="412"/>
      <c r="BL263" s="412"/>
      <c r="BM263" s="412"/>
      <c r="BN263" s="412"/>
      <c r="BO263" s="412"/>
      <c r="BP263" s="412"/>
      <c r="BQ263" s="412"/>
      <c r="BR263" s="412"/>
      <c r="BS263" s="412"/>
      <c r="BT263" s="412"/>
      <c r="BU263" s="412"/>
      <c r="BV263" s="412"/>
      <c r="BW263" s="412"/>
      <c r="BX263" s="412"/>
      <c r="BY263" s="412"/>
      <c r="BZ263" s="412"/>
      <c r="CA263" s="412"/>
      <c r="CB263" s="412"/>
      <c r="CC263" s="412"/>
      <c r="CD263" s="412"/>
      <c r="CE263" s="412"/>
      <c r="CF263" s="412"/>
      <c r="CG263" s="412"/>
      <c r="CH263" s="412"/>
      <c r="CI263" s="412"/>
      <c r="CJ263" s="412"/>
      <c r="CK263" s="412"/>
      <c r="CL263" s="412"/>
      <c r="CM263" s="412"/>
      <c r="CN263" s="412"/>
      <c r="CO263" s="412"/>
      <c r="CP263" s="412"/>
      <c r="CQ263" s="412"/>
      <c r="CR263" s="412"/>
      <c r="CS263" s="412"/>
      <c r="CT263" s="412"/>
      <c r="CU263" s="412"/>
      <c r="CV263" s="412"/>
      <c r="CW263" s="412"/>
      <c r="CX263" s="412"/>
      <c r="CY263" s="412"/>
      <c r="CZ263" s="412"/>
      <c r="DA263" s="412"/>
      <c r="DB263" s="412"/>
      <c r="DC263" s="412"/>
      <c r="DD263" s="412"/>
      <c r="DE263" s="412"/>
      <c r="DF263" s="412"/>
      <c r="DG263" s="412"/>
      <c r="DH263" s="412"/>
      <c r="DI263" s="412"/>
      <c r="DJ263" s="412"/>
      <c r="DK263" s="412"/>
      <c r="DL263" s="412"/>
      <c r="DM263" s="412"/>
      <c r="DN263" s="412"/>
      <c r="DO263" s="412"/>
      <c r="DP263" s="412"/>
      <c r="DQ263" s="412"/>
      <c r="DR263" s="412"/>
      <c r="DS263" s="412"/>
      <c r="DT263" s="412"/>
      <c r="DU263" s="412"/>
      <c r="DV263" s="412"/>
      <c r="DW263" s="412"/>
      <c r="DX263" s="412"/>
      <c r="DY263" s="412"/>
      <c r="DZ263" s="412"/>
      <c r="EA263" s="412"/>
      <c r="EB263" s="412"/>
      <c r="EC263" s="412"/>
      <c r="ED263" s="412"/>
      <c r="EE263" s="412"/>
      <c r="EF263" s="412"/>
      <c r="EG263" s="412"/>
      <c r="EH263" s="412"/>
      <c r="EI263" s="412"/>
      <c r="EJ263" s="412"/>
      <c r="EK263" s="412"/>
      <c r="EL263" s="412"/>
      <c r="EM263" s="412"/>
      <c r="EN263" s="412"/>
      <c r="EO263" s="412"/>
      <c r="EP263" s="412"/>
      <c r="EQ263" s="412"/>
      <c r="ER263" s="412"/>
      <c r="ES263" s="412"/>
      <c r="ET263" s="412"/>
      <c r="EU263" s="412"/>
      <c r="EV263" s="412"/>
      <c r="EW263" s="412"/>
      <c r="EX263" s="412"/>
      <c r="EY263" s="412"/>
      <c r="EZ263" s="412"/>
      <c r="FA263" s="412"/>
      <c r="FB263" s="412"/>
      <c r="FC263" s="412"/>
      <c r="FD263" s="412"/>
      <c r="FE263" s="412"/>
      <c r="FF263" s="412"/>
      <c r="FG263" s="412"/>
      <c r="FH263" s="412"/>
      <c r="FI263" s="412"/>
      <c r="FJ263" s="412"/>
      <c r="FK263" s="412"/>
      <c r="FL263" s="412"/>
      <c r="FM263" s="412"/>
      <c r="FN263" s="412"/>
      <c r="FO263" s="412"/>
      <c r="FP263" s="412"/>
      <c r="FQ263" s="412"/>
      <c r="FR263" s="412"/>
      <c r="FS263" s="412"/>
      <c r="FT263" s="412"/>
      <c r="FU263" s="412"/>
      <c r="FV263" s="412"/>
      <c r="FW263" s="412"/>
      <c r="FX263" s="412"/>
      <c r="FY263" s="412"/>
      <c r="FZ263" s="412"/>
      <c r="GA263" s="412"/>
      <c r="GB263" s="412"/>
      <c r="GC263" s="412"/>
      <c r="GD263" s="412"/>
      <c r="GE263" s="412"/>
      <c r="GF263" s="412"/>
      <c r="GG263" s="412"/>
      <c r="GH263" s="412"/>
      <c r="GI263" s="412"/>
      <c r="GJ263" s="412"/>
      <c r="GK263" s="412"/>
      <c r="GL263" s="412"/>
      <c r="GM263" s="412"/>
      <c r="GN263" s="412"/>
      <c r="GO263" s="412"/>
      <c r="GP263" s="412"/>
      <c r="GQ263" s="412"/>
      <c r="GR263" s="412"/>
      <c r="GS263" s="412"/>
      <c r="GT263" s="412"/>
      <c r="GU263" s="412"/>
      <c r="GV263" s="412"/>
      <c r="GW263" s="412"/>
      <c r="GX263" s="412"/>
      <c r="GY263" s="412"/>
      <c r="GZ263" s="412"/>
      <c r="HA263" s="412"/>
      <c r="HB263" s="412"/>
      <c r="HC263" s="412"/>
      <c r="HD263" s="412"/>
      <c r="HE263" s="412"/>
      <c r="HF263" s="412"/>
      <c r="HG263" s="412"/>
      <c r="HH263" s="412"/>
      <c r="HI263" s="412"/>
      <c r="HJ263" s="412"/>
      <c r="HK263" s="412"/>
      <c r="HL263" s="412"/>
      <c r="HM263" s="412"/>
      <c r="HN263" s="412"/>
      <c r="HO263" s="412"/>
      <c r="HP263" s="412"/>
      <c r="HQ263" s="412"/>
      <c r="HR263" s="412"/>
      <c r="HS263" s="412"/>
      <c r="HT263" s="412"/>
      <c r="HU263" s="412"/>
      <c r="HV263" s="412"/>
      <c r="HW263" s="412"/>
      <c r="HX263" s="412"/>
      <c r="HY263" s="412"/>
      <c r="HZ263" s="412"/>
      <c r="IA263" s="412"/>
      <c r="IB263" s="412"/>
      <c r="IC263" s="412"/>
      <c r="ID263" s="412"/>
      <c r="IE263" s="412"/>
      <c r="IF263" s="412"/>
      <c r="IG263" s="412"/>
      <c r="IH263" s="412"/>
      <c r="II263" s="412"/>
      <c r="IJ263" s="412"/>
      <c r="IK263" s="412"/>
      <c r="IL263" s="412"/>
      <c r="IM263" s="412"/>
      <c r="IN263" s="412"/>
      <c r="IO263" s="412"/>
      <c r="IP263" s="412"/>
      <c r="IQ263" s="412"/>
      <c r="IR263" s="412"/>
      <c r="IS263" s="412"/>
      <c r="IT263" s="412"/>
      <c r="IU263" s="412"/>
      <c r="IV263" s="412"/>
      <c r="IW263" s="412"/>
      <c r="IX263" s="412"/>
      <c r="IY263" s="412"/>
      <c r="IZ263" s="412"/>
      <c r="JA263" s="412"/>
      <c r="JB263" s="412"/>
      <c r="JC263" s="412"/>
      <c r="JD263" s="412"/>
      <c r="JE263" s="412"/>
      <c r="JF263" s="412"/>
      <c r="JG263" s="412"/>
      <c r="JH263" s="412"/>
      <c r="JI263" s="412"/>
      <c r="JJ263" s="412"/>
      <c r="JK263" s="412"/>
      <c r="JL263" s="412"/>
      <c r="JM263" s="412"/>
      <c r="JN263" s="412"/>
      <c r="JO263" s="412"/>
      <c r="JP263" s="412"/>
      <c r="JQ263" s="412"/>
      <c r="JR263" s="412"/>
      <c r="JS263" s="412"/>
      <c r="JT263" s="412"/>
      <c r="JU263" s="412"/>
      <c r="JV263" s="412"/>
      <c r="JW263" s="412"/>
      <c r="JX263" s="412"/>
      <c r="JY263" s="412"/>
      <c r="JZ263" s="412"/>
      <c r="KA263" s="412"/>
      <c r="KB263" s="412"/>
      <c r="KC263" s="412"/>
      <c r="KD263" s="412"/>
      <c r="KE263" s="412"/>
      <c r="KF263" s="412"/>
      <c r="KG263" s="412"/>
      <c r="KH263" s="412"/>
      <c r="KI263" s="412"/>
      <c r="KJ263" s="412"/>
      <c r="KK263" s="412"/>
      <c r="KL263" s="412"/>
      <c r="KM263" s="412"/>
      <c r="KN263" s="412"/>
      <c r="KO263" s="412"/>
      <c r="KP263" s="412"/>
      <c r="KQ263" s="412"/>
      <c r="KR263" s="412"/>
      <c r="KS263" s="412"/>
      <c r="KT263" s="412"/>
      <c r="KU263" s="412"/>
      <c r="KV263" s="412"/>
      <c r="KW263" s="412"/>
      <c r="KX263" s="412"/>
      <c r="KY263" s="412"/>
      <c r="KZ263" s="412"/>
      <c r="LA263" s="412"/>
      <c r="LB263" s="412"/>
      <c r="LC263" s="412"/>
      <c r="LD263" s="412"/>
      <c r="LE263" s="412"/>
      <c r="LF263" s="412"/>
      <c r="LG263" s="412"/>
      <c r="LH263" s="412"/>
      <c r="LI263" s="412"/>
      <c r="LJ263" s="412"/>
      <c r="LK263" s="412"/>
      <c r="LL263" s="412"/>
      <c r="LM263" s="412"/>
      <c r="LN263" s="412"/>
      <c r="LO263" s="412"/>
      <c r="LP263" s="412"/>
      <c r="LQ263" s="412"/>
      <c r="LR263" s="412"/>
      <c r="LS263" s="412"/>
      <c r="LT263" s="412"/>
      <c r="LU263" s="412"/>
      <c r="LV263" s="412"/>
      <c r="LW263" s="412"/>
      <c r="LX263" s="412"/>
      <c r="LY263" s="412"/>
      <c r="LZ263" s="412"/>
      <c r="MA263" s="412"/>
      <c r="MB263" s="412"/>
      <c r="MC263" s="412"/>
      <c r="MD263" s="412"/>
      <c r="ME263" s="412"/>
      <c r="MF263" s="412"/>
      <c r="MG263" s="412"/>
      <c r="MH263" s="412"/>
      <c r="MI263" s="412"/>
      <c r="MJ263" s="412"/>
      <c r="MK263" s="412"/>
      <c r="ML263" s="412"/>
      <c r="MM263" s="412"/>
      <c r="MN263" s="412"/>
      <c r="MO263" s="412"/>
      <c r="MP263" s="412"/>
      <c r="MQ263" s="412"/>
      <c r="MR263" s="412"/>
      <c r="MS263" s="412"/>
      <c r="MT263" s="412"/>
      <c r="MU263" s="412"/>
      <c r="MV263" s="412"/>
      <c r="MW263" s="412"/>
      <c r="MX263" s="412"/>
      <c r="MY263" s="412"/>
      <c r="MZ263" s="412"/>
      <c r="NA263" s="412"/>
      <c r="NB263" s="412"/>
      <c r="NC263" s="412"/>
      <c r="ND263" s="412"/>
      <c r="NE263" s="412"/>
      <c r="NF263" s="412"/>
      <c r="NG263" s="412"/>
      <c r="NH263" s="412"/>
      <c r="NI263" s="412"/>
      <c r="NJ263" s="412"/>
      <c r="NK263" s="412"/>
      <c r="NL263" s="412"/>
      <c r="NM263" s="412"/>
      <c r="NN263" s="412"/>
      <c r="NO263" s="412"/>
      <c r="NP263" s="412"/>
      <c r="NQ263" s="412"/>
      <c r="NR263" s="412"/>
      <c r="NS263" s="412"/>
      <c r="NT263" s="412"/>
      <c r="NU263" s="412"/>
      <c r="NV263" s="412"/>
      <c r="NW263" s="412"/>
      <c r="NX263" s="412"/>
      <c r="NY263" s="412"/>
      <c r="NZ263" s="412"/>
      <c r="OA263" s="412"/>
      <c r="OB263" s="412"/>
      <c r="OC263" s="412"/>
      <c r="OD263" s="412"/>
      <c r="OE263" s="412"/>
      <c r="OF263" s="412"/>
      <c r="OG263" s="412"/>
      <c r="OH263" s="412"/>
      <c r="OI263" s="412"/>
      <c r="OJ263" s="412"/>
      <c r="OK263" s="412"/>
      <c r="OL263" s="412"/>
      <c r="OM263" s="412"/>
      <c r="ON263" s="412"/>
      <c r="OO263" s="412"/>
      <c r="OP263" s="412"/>
      <c r="OQ263" s="412"/>
      <c r="OR263" s="412"/>
      <c r="OS263" s="412"/>
      <c r="OT263" s="412"/>
      <c r="OU263" s="412"/>
      <c r="OV263" s="412"/>
      <c r="OW263" s="412"/>
      <c r="OX263" s="412"/>
      <c r="OY263" s="412"/>
      <c r="OZ263" s="412"/>
      <c r="PA263" s="412"/>
      <c r="PB263" s="412"/>
      <c r="PC263" s="412"/>
      <c r="PD263" s="412"/>
      <c r="PE263" s="412"/>
      <c r="PF263" s="412"/>
      <c r="PG263" s="412"/>
      <c r="PH263" s="412"/>
      <c r="PI263" s="412"/>
      <c r="PJ263" s="412"/>
      <c r="PK263" s="412"/>
      <c r="PL263" s="412"/>
      <c r="PM263" s="412"/>
      <c r="PN263" s="412"/>
      <c r="PO263" s="412"/>
      <c r="PP263" s="412"/>
      <c r="PQ263" s="412"/>
      <c r="PR263" s="412"/>
      <c r="PS263" s="412"/>
      <c r="PT263" s="412"/>
      <c r="PU263" s="412"/>
      <c r="PV263" s="412"/>
      <c r="PW263" s="412"/>
      <c r="PX263" s="412"/>
      <c r="PY263" s="412"/>
      <c r="PZ263" s="412"/>
      <c r="QA263" s="412"/>
      <c r="QB263" s="412"/>
      <c r="QC263" s="412"/>
      <c r="QD263" s="412"/>
      <c r="QE263" s="412"/>
      <c r="QF263" s="412"/>
      <c r="QG263" s="412"/>
      <c r="QH263" s="412"/>
      <c r="QI263" s="412"/>
      <c r="QJ263" s="412"/>
      <c r="QK263" s="412"/>
      <c r="QL263" s="412"/>
      <c r="QM263" s="412"/>
      <c r="QN263" s="412"/>
      <c r="QO263" s="412"/>
      <c r="QP263" s="412"/>
      <c r="QQ263" s="412"/>
      <c r="QR263" s="412"/>
      <c r="QS263" s="412"/>
      <c r="QT263" s="412"/>
      <c r="QU263" s="412"/>
      <c r="QV263" s="412"/>
      <c r="QW263" s="412"/>
      <c r="QX263" s="412"/>
      <c r="QY263" s="412"/>
      <c r="QZ263" s="412"/>
      <c r="RA263" s="412"/>
      <c r="RB263" s="412"/>
      <c r="RC263" s="412"/>
      <c r="RD263" s="412"/>
      <c r="RE263" s="412"/>
      <c r="RF263" s="412"/>
      <c r="RG263" s="412"/>
      <c r="RH263" s="412"/>
      <c r="RI263" s="412"/>
      <c r="RJ263" s="412"/>
      <c r="RK263" s="412"/>
      <c r="RL263" s="412"/>
      <c r="RM263" s="412"/>
      <c r="RN263" s="412"/>
      <c r="RO263" s="412"/>
      <c r="RP263" s="412"/>
      <c r="RQ263" s="412"/>
      <c r="RR263" s="412"/>
      <c r="RS263" s="412"/>
      <c r="RT263" s="412"/>
      <c r="RU263" s="412"/>
      <c r="RV263" s="412"/>
      <c r="RW263" s="412"/>
      <c r="RX263" s="412"/>
      <c r="RY263" s="412"/>
      <c r="RZ263" s="412"/>
      <c r="SA263" s="412"/>
      <c r="SB263" s="412"/>
      <c r="SC263" s="412"/>
      <c r="SD263" s="412"/>
      <c r="SE263" s="412"/>
      <c r="SF263" s="412"/>
      <c r="SG263" s="412"/>
      <c r="SH263" s="412"/>
      <c r="SI263" s="412"/>
      <c r="SJ263" s="412"/>
      <c r="SK263" s="412"/>
      <c r="SL263" s="412"/>
      <c r="SM263" s="412"/>
      <c r="SN263" s="412"/>
      <c r="SO263" s="412"/>
      <c r="SP263" s="412"/>
      <c r="SQ263" s="412"/>
      <c r="SR263" s="412"/>
      <c r="SS263" s="412"/>
      <c r="ST263" s="412"/>
      <c r="SU263" s="412"/>
      <c r="SV263" s="412"/>
      <c r="SW263" s="412"/>
      <c r="SX263" s="412"/>
      <c r="SY263" s="412"/>
      <c r="SZ263" s="412"/>
      <c r="TA263" s="412"/>
      <c r="TB263" s="412"/>
      <c r="TC263" s="412"/>
      <c r="TD263" s="412"/>
      <c r="TE263" s="412"/>
      <c r="TF263" s="412"/>
      <c r="TG263" s="412"/>
      <c r="TH263" s="412"/>
      <c r="TI263" s="412"/>
      <c r="TJ263" s="412"/>
      <c r="TK263" s="412"/>
      <c r="TL263" s="412"/>
      <c r="TM263" s="412"/>
      <c r="TN263" s="412"/>
      <c r="TO263" s="412"/>
      <c r="TP263" s="412"/>
      <c r="TQ263" s="412"/>
      <c r="TR263" s="412"/>
      <c r="TS263" s="412"/>
      <c r="TT263" s="412"/>
      <c r="TU263" s="412"/>
      <c r="TV263" s="412"/>
      <c r="TW263" s="412"/>
      <c r="TX263" s="412"/>
      <c r="TY263" s="412"/>
      <c r="TZ263" s="412"/>
      <c r="UA263" s="412"/>
      <c r="UB263" s="412"/>
      <c r="UC263" s="412"/>
      <c r="UD263" s="412"/>
      <c r="UE263" s="412"/>
      <c r="UF263" s="412"/>
      <c r="UG263" s="412"/>
      <c r="UH263" s="412"/>
      <c r="UI263" s="412"/>
      <c r="UJ263" s="412"/>
      <c r="UK263" s="412"/>
      <c r="UL263" s="412"/>
      <c r="UM263" s="412"/>
      <c r="UN263" s="412"/>
      <c r="UO263" s="412"/>
      <c r="UP263" s="412"/>
      <c r="UQ263" s="412"/>
      <c r="UR263" s="412"/>
      <c r="US263" s="412"/>
      <c r="UT263" s="412"/>
      <c r="UU263" s="412"/>
      <c r="UV263" s="412"/>
      <c r="UW263" s="412"/>
      <c r="UX263" s="412"/>
      <c r="UY263" s="412"/>
      <c r="UZ263" s="412"/>
      <c r="VA263" s="412"/>
      <c r="VB263" s="412"/>
      <c r="VC263" s="412"/>
      <c r="VD263" s="412"/>
      <c r="VE263" s="412"/>
      <c r="VF263" s="412"/>
      <c r="VG263" s="412"/>
      <c r="VH263" s="412"/>
      <c r="VI263" s="412"/>
      <c r="VJ263" s="412"/>
      <c r="VK263" s="412"/>
      <c r="VL263" s="412"/>
      <c r="VM263" s="412"/>
      <c r="VN263" s="412"/>
      <c r="VO263" s="412"/>
      <c r="VP263" s="412"/>
      <c r="VQ263" s="412"/>
      <c r="VR263" s="412"/>
      <c r="VS263" s="412"/>
      <c r="VT263" s="412"/>
      <c r="VU263" s="412"/>
      <c r="VV263" s="412"/>
      <c r="VW263" s="412"/>
      <c r="VX263" s="412"/>
      <c r="VY263" s="412"/>
      <c r="VZ263" s="412"/>
      <c r="WA263" s="412"/>
      <c r="WB263" s="412"/>
      <c r="WC263" s="412"/>
      <c r="WD263" s="412"/>
      <c r="WE263" s="412"/>
      <c r="WF263" s="412"/>
      <c r="WG263" s="412"/>
      <c r="WH263" s="412"/>
      <c r="WI263" s="412"/>
      <c r="WJ263" s="412"/>
      <c r="WK263" s="412"/>
      <c r="WL263" s="412"/>
      <c r="WM263" s="412"/>
      <c r="WN263" s="412"/>
      <c r="WO263" s="412"/>
      <c r="WP263" s="412"/>
      <c r="WQ263" s="412"/>
      <c r="WR263" s="412"/>
      <c r="WS263" s="412"/>
      <c r="WT263" s="412"/>
      <c r="WU263" s="412"/>
      <c r="WV263" s="412"/>
      <c r="WW263" s="412"/>
      <c r="WX263" s="412"/>
      <c r="WY263" s="412"/>
      <c r="WZ263" s="412"/>
      <c r="XA263" s="412"/>
      <c r="XB263" s="412"/>
      <c r="XC263" s="412"/>
      <c r="XD263" s="412"/>
      <c r="XE263" s="412"/>
      <c r="XF263" s="412"/>
      <c r="XG263" s="412"/>
      <c r="XH263" s="412"/>
      <c r="XI263" s="412"/>
      <c r="XJ263" s="412"/>
      <c r="XK263" s="412"/>
      <c r="XL263" s="412"/>
      <c r="XM263" s="412"/>
      <c r="XN263" s="412"/>
      <c r="XO263" s="412"/>
      <c r="XP263" s="412"/>
      <c r="XQ263" s="412"/>
      <c r="XR263" s="412"/>
      <c r="XS263" s="412"/>
      <c r="XT263" s="412"/>
      <c r="XU263" s="412"/>
      <c r="XV263" s="412"/>
      <c r="XW263" s="412"/>
      <c r="XX263" s="412"/>
      <c r="XY263" s="412"/>
      <c r="XZ263" s="412"/>
      <c r="YA263" s="412"/>
      <c r="YB263" s="412"/>
      <c r="YC263" s="412"/>
      <c r="YD263" s="412"/>
      <c r="YE263" s="412"/>
      <c r="YF263" s="412"/>
      <c r="YG263" s="412"/>
      <c r="YH263" s="412"/>
      <c r="YI263" s="412"/>
      <c r="YJ263" s="412"/>
      <c r="YK263" s="412"/>
      <c r="YL263" s="412"/>
      <c r="YM263" s="412"/>
      <c r="YN263" s="412"/>
      <c r="YO263" s="412"/>
      <c r="YP263" s="412"/>
      <c r="YQ263" s="412"/>
      <c r="YR263" s="412"/>
      <c r="YS263" s="412"/>
      <c r="YT263" s="412"/>
      <c r="YU263" s="412"/>
      <c r="YV263" s="412"/>
      <c r="YW263" s="412"/>
      <c r="YX263" s="412"/>
      <c r="YY263" s="412"/>
      <c r="YZ263" s="412"/>
      <c r="ZA263" s="412"/>
      <c r="ZB263" s="412"/>
      <c r="ZC263" s="412"/>
      <c r="ZD263" s="412"/>
      <c r="ZE263" s="412"/>
      <c r="ZF263" s="412"/>
      <c r="ZG263" s="412"/>
      <c r="ZH263" s="412"/>
      <c r="ZI263" s="412"/>
      <c r="ZJ263" s="412"/>
      <c r="ZK263" s="412"/>
      <c r="ZL263" s="412"/>
      <c r="ZM263" s="412"/>
      <c r="ZN263" s="412"/>
      <c r="ZO263" s="412"/>
      <c r="ZP263" s="412"/>
      <c r="ZQ263" s="412"/>
      <c r="ZR263" s="412"/>
      <c r="ZS263" s="412"/>
      <c r="ZT263" s="412"/>
      <c r="ZU263" s="412"/>
      <c r="ZV263" s="412"/>
      <c r="ZW263" s="412"/>
      <c r="ZX263" s="412"/>
      <c r="ZY263" s="412"/>
      <c r="ZZ263" s="412"/>
      <c r="AAA263" s="412"/>
      <c r="AAB263" s="412"/>
      <c r="AAC263" s="412"/>
      <c r="AAD263" s="412"/>
      <c r="AAE263" s="412"/>
      <c r="AAF263" s="412"/>
      <c r="AAG263" s="412"/>
      <c r="AAH263" s="412"/>
      <c r="AAI263" s="412"/>
      <c r="AAJ263" s="412"/>
      <c r="AAK263" s="412"/>
      <c r="AAL263" s="412"/>
      <c r="AAM263" s="412"/>
      <c r="AAN263" s="412"/>
      <c r="AAO263" s="412"/>
      <c r="AAP263" s="412"/>
      <c r="AAQ263" s="412"/>
      <c r="AAR263" s="412"/>
      <c r="AAS263" s="412"/>
      <c r="AAT263" s="412"/>
      <c r="AAU263" s="412"/>
      <c r="AAV263" s="412"/>
      <c r="AAW263" s="412"/>
      <c r="AAX263" s="412"/>
      <c r="AAY263" s="412"/>
      <c r="AAZ263" s="412"/>
      <c r="ABA263" s="412"/>
      <c r="ABB263" s="412"/>
      <c r="ABC263" s="412"/>
      <c r="ABD263" s="412"/>
      <c r="ABE263" s="412"/>
      <c r="ABF263" s="412"/>
      <c r="ABG263" s="412"/>
      <c r="ABH263" s="412"/>
      <c r="ABI263" s="412"/>
      <c r="ABJ263" s="412"/>
      <c r="ABK263" s="412"/>
      <c r="ABL263" s="412"/>
      <c r="ABM263" s="412"/>
      <c r="ABN263" s="412"/>
      <c r="ABO263" s="412"/>
      <c r="ABP263" s="412"/>
      <c r="ABQ263" s="412"/>
      <c r="ABR263" s="412"/>
      <c r="ABS263" s="412"/>
      <c r="ABT263" s="412"/>
      <c r="ABU263" s="412"/>
      <c r="ABV263" s="412"/>
      <c r="ABW263" s="412"/>
      <c r="ABX263" s="412"/>
      <c r="ABY263" s="412"/>
      <c r="ABZ263" s="412"/>
      <c r="ACA263" s="412"/>
      <c r="ACB263" s="412"/>
      <c r="ACC263" s="412"/>
      <c r="ACD263" s="412"/>
      <c r="ACE263" s="412"/>
      <c r="ACF263" s="412"/>
      <c r="ACG263" s="412"/>
      <c r="ACH263" s="412"/>
      <c r="ACI263" s="412"/>
      <c r="ACJ263" s="412"/>
      <c r="ACK263" s="412"/>
      <c r="ACL263" s="412"/>
      <c r="ACM263" s="412"/>
      <c r="ACN263" s="412"/>
      <c r="ACO263" s="412"/>
      <c r="ACP263" s="412"/>
      <c r="ACQ263" s="412"/>
      <c r="ACR263" s="412"/>
      <c r="ACS263" s="412"/>
      <c r="ACT263" s="412"/>
      <c r="ACU263" s="412"/>
      <c r="ACV263" s="412"/>
      <c r="ACW263" s="412"/>
      <c r="ACX263" s="412"/>
      <c r="ACY263" s="412"/>
      <c r="ACZ263" s="412"/>
      <c r="ADA263" s="412"/>
      <c r="ADB263" s="412"/>
      <c r="ADC263" s="412"/>
      <c r="ADD263" s="412"/>
      <c r="ADE263" s="412"/>
      <c r="ADF263" s="412"/>
      <c r="ADG263" s="412"/>
      <c r="ADH263" s="412"/>
      <c r="ADI263" s="412"/>
      <c r="ADJ263" s="412"/>
      <c r="ADK263" s="412"/>
      <c r="ADL263" s="412"/>
      <c r="ADM263" s="412"/>
      <c r="ADN263" s="412"/>
      <c r="ADO263" s="412"/>
      <c r="ADP263" s="412"/>
      <c r="ADQ263" s="412"/>
      <c r="ADR263" s="412"/>
      <c r="ADS263" s="412"/>
      <c r="ADT263" s="412"/>
      <c r="ADU263" s="412"/>
      <c r="ADV263" s="412"/>
      <c r="ADW263" s="412"/>
      <c r="ADX263" s="412"/>
      <c r="ADY263" s="412"/>
      <c r="ADZ263" s="412"/>
      <c r="AEA263" s="412"/>
      <c r="AEB263" s="412"/>
      <c r="AEC263" s="412"/>
      <c r="AED263" s="412"/>
      <c r="AEE263" s="412"/>
      <c r="AEF263" s="412"/>
      <c r="AEG263" s="412"/>
      <c r="AEH263" s="412"/>
      <c r="AEI263" s="412"/>
      <c r="AEJ263" s="412"/>
      <c r="AEK263" s="412"/>
      <c r="AEL263" s="412"/>
      <c r="AEM263" s="412"/>
      <c r="AEN263" s="412"/>
      <c r="AEO263" s="412"/>
      <c r="AEP263" s="412"/>
      <c r="AEQ263" s="412"/>
      <c r="AER263" s="412"/>
      <c r="AES263" s="412"/>
      <c r="AET263" s="412"/>
      <c r="AEU263" s="412"/>
      <c r="AEV263" s="412"/>
      <c r="AEW263" s="412"/>
      <c r="AEX263" s="412"/>
      <c r="AEY263" s="412"/>
      <c r="AEZ263" s="412"/>
      <c r="AFA263" s="412"/>
      <c r="AFB263" s="412"/>
      <c r="AFC263" s="412"/>
      <c r="AFD263" s="412"/>
      <c r="AFE263" s="412"/>
      <c r="AFF263" s="412"/>
      <c r="AFG263" s="412"/>
      <c r="AFH263" s="412"/>
      <c r="AFI263" s="412"/>
      <c r="AFJ263" s="412"/>
      <c r="AFK263" s="412"/>
      <c r="AFL263" s="412"/>
      <c r="AFM263" s="412"/>
      <c r="AFN263" s="412"/>
      <c r="AFO263" s="412"/>
      <c r="AFP263" s="412"/>
      <c r="AFQ263" s="412"/>
      <c r="AFR263" s="412"/>
      <c r="AFS263" s="412"/>
      <c r="AFT263" s="412"/>
      <c r="AFU263" s="412"/>
      <c r="AFV263" s="412"/>
      <c r="AFW263" s="412"/>
      <c r="AFX263" s="412"/>
      <c r="AFY263" s="412"/>
      <c r="AFZ263" s="412"/>
      <c r="AGA263" s="412"/>
      <c r="AGB263" s="412"/>
      <c r="AGC263" s="412"/>
      <c r="AGD263" s="412"/>
      <c r="AGE263" s="412"/>
      <c r="AGF263" s="412"/>
      <c r="AGG263" s="412"/>
      <c r="AGH263" s="412"/>
      <c r="AGI263" s="412"/>
      <c r="AGJ263" s="412"/>
      <c r="AGK263" s="412"/>
      <c r="AGL263" s="412"/>
      <c r="AGM263" s="412"/>
      <c r="AGN263" s="412"/>
      <c r="AGO263" s="412"/>
      <c r="AGP263" s="412"/>
      <c r="AGQ263" s="412"/>
      <c r="AGR263" s="412"/>
      <c r="AGS263" s="412"/>
      <c r="AGT263" s="412"/>
      <c r="AGU263" s="412"/>
      <c r="AGV263" s="412"/>
      <c r="AGW263" s="412"/>
      <c r="AGX263" s="412"/>
      <c r="AGY263" s="412"/>
      <c r="AGZ263" s="412"/>
      <c r="AHA263" s="412"/>
      <c r="AHB263" s="412"/>
      <c r="AHC263" s="412"/>
      <c r="AHD263" s="412"/>
      <c r="AHE263" s="412"/>
      <c r="AHF263" s="412"/>
      <c r="AHG263" s="412"/>
      <c r="AHH263" s="412"/>
      <c r="AHI263" s="412"/>
      <c r="AHJ263" s="412"/>
      <c r="AHK263" s="412"/>
      <c r="AHL263" s="412"/>
      <c r="AHM263" s="412"/>
      <c r="AHN263" s="412"/>
      <c r="AHO263" s="412"/>
      <c r="AHP263" s="412"/>
      <c r="AHQ263" s="412"/>
      <c r="AHR263" s="412"/>
      <c r="AHS263" s="412"/>
      <c r="AHT263" s="412"/>
      <c r="AHU263" s="412"/>
      <c r="AHV263" s="412"/>
      <c r="AHW263" s="412"/>
      <c r="AHX263" s="412"/>
      <c r="AHY263" s="412"/>
      <c r="AHZ263" s="412"/>
      <c r="AIA263" s="412"/>
      <c r="AIB263" s="412"/>
      <c r="AIC263" s="412"/>
      <c r="AID263" s="412"/>
      <c r="AIE263" s="412"/>
      <c r="AIF263" s="412"/>
      <c r="AIG263" s="412"/>
      <c r="AIH263" s="412"/>
      <c r="AII263" s="412"/>
      <c r="AIJ263" s="412"/>
      <c r="AIK263" s="412"/>
      <c r="AIL263" s="412"/>
      <c r="AIM263" s="412"/>
      <c r="AIN263" s="412"/>
      <c r="AIO263" s="412"/>
      <c r="AIP263" s="412"/>
      <c r="AIQ263" s="412"/>
      <c r="AIR263" s="412"/>
      <c r="AIS263" s="412"/>
      <c r="AIT263" s="412"/>
      <c r="AIU263" s="412"/>
      <c r="AIV263" s="412"/>
      <c r="AIW263" s="412"/>
      <c r="AIX263" s="412"/>
      <c r="AIY263" s="412"/>
      <c r="AIZ263" s="412"/>
      <c r="AJA263" s="412"/>
      <c r="AJB263" s="412"/>
      <c r="AJC263" s="412"/>
      <c r="AJD263" s="412"/>
      <c r="AJE263" s="412"/>
      <c r="AJF263" s="412"/>
      <c r="AJG263" s="412"/>
      <c r="AJH263" s="412"/>
      <c r="AJI263" s="412"/>
      <c r="AJJ263" s="412"/>
      <c r="AJK263" s="412"/>
      <c r="AJL263" s="412"/>
      <c r="AJM263" s="412"/>
      <c r="AJN263" s="412"/>
      <c r="AJO263" s="412"/>
      <c r="AJP263" s="412"/>
      <c r="AJQ263" s="412"/>
      <c r="AJR263" s="412"/>
      <c r="AJS263" s="412"/>
      <c r="AJT263" s="412"/>
      <c r="AJU263" s="412"/>
      <c r="AJV263" s="412"/>
      <c r="AJW263" s="412"/>
      <c r="AJX263" s="412"/>
      <c r="AJY263" s="412"/>
      <c r="AJZ263" s="412"/>
      <c r="AKA263" s="412"/>
      <c r="AKB263" s="412"/>
      <c r="AKC263" s="412"/>
      <c r="AKD263" s="412"/>
      <c r="AKE263" s="412"/>
      <c r="AKF263" s="412"/>
      <c r="AKG263" s="412"/>
      <c r="AKH263" s="412"/>
      <c r="AKI263" s="412"/>
      <c r="AKJ263" s="412"/>
      <c r="AKK263" s="412"/>
      <c r="AKL263" s="412"/>
      <c r="AKM263" s="412"/>
      <c r="AKN263" s="412"/>
      <c r="AKO263" s="412"/>
      <c r="AKP263" s="412"/>
      <c r="AKQ263" s="412"/>
      <c r="AKR263" s="412"/>
      <c r="AKS263" s="412"/>
      <c r="AKT263" s="412"/>
      <c r="AKU263" s="412"/>
      <c r="AKV263" s="412"/>
      <c r="AKW263" s="412"/>
      <c r="AKX263" s="412"/>
      <c r="AKY263" s="412"/>
      <c r="AKZ263" s="412"/>
      <c r="ALA263" s="412"/>
      <c r="ALB263" s="412"/>
      <c r="ALC263" s="412"/>
      <c r="ALD263" s="412"/>
      <c r="ALE263" s="412"/>
      <c r="ALF263" s="412"/>
      <c r="ALG263" s="412"/>
      <c r="ALH263" s="412"/>
      <c r="ALI263" s="412"/>
      <c r="ALJ263" s="412"/>
      <c r="ALK263" s="412"/>
      <c r="ALL263" s="412"/>
      <c r="ALM263" s="412"/>
      <c r="ALN263" s="412"/>
      <c r="ALO263" s="412"/>
      <c r="ALP263" s="412"/>
      <c r="ALQ263" s="412"/>
      <c r="ALR263" s="412"/>
      <c r="ALS263" s="412"/>
      <c r="ALT263" s="412"/>
      <c r="ALU263" s="412"/>
      <c r="ALV263" s="412"/>
      <c r="ALW263" s="412"/>
      <c r="ALX263" s="412"/>
      <c r="ALY263" s="412"/>
      <c r="ALZ263" s="412"/>
      <c r="AMA263" s="412"/>
      <c r="AMB263" s="412"/>
      <c r="AMC263" s="412"/>
      <c r="AMD263" s="412"/>
      <c r="AME263" s="412"/>
      <c r="AMF263" s="412"/>
      <c r="AMG263" s="412"/>
      <c r="AMH263" s="412"/>
      <c r="AMI263" s="412"/>
      <c r="AMJ263" s="412"/>
      <c r="AMK263" s="412"/>
      <c r="AML263" s="412"/>
      <c r="AMM263" s="412"/>
      <c r="AMN263" s="412"/>
      <c r="AMO263" s="412"/>
      <c r="AMP263" s="412"/>
      <c r="AMQ263" s="412"/>
      <c r="AMR263" s="412"/>
      <c r="AMS263" s="412"/>
      <c r="AMT263" s="412"/>
      <c r="AMU263" s="412"/>
      <c r="AMV263" s="412"/>
      <c r="AMW263" s="412"/>
      <c r="AMX263" s="412"/>
      <c r="AMY263" s="412"/>
      <c r="AMZ263" s="412"/>
      <c r="ANA263" s="412"/>
      <c r="ANB263" s="412"/>
      <c r="ANC263" s="412"/>
      <c r="AND263" s="412"/>
      <c r="ANE263" s="412"/>
      <c r="ANF263" s="412"/>
      <c r="ANG263" s="412"/>
      <c r="ANH263" s="412"/>
      <c r="ANI263" s="412"/>
      <c r="ANJ263" s="412"/>
      <c r="ANK263" s="412"/>
      <c r="ANL263" s="412"/>
      <c r="ANM263" s="412"/>
      <c r="ANN263" s="412"/>
      <c r="ANO263" s="412"/>
      <c r="ANP263" s="412"/>
      <c r="ANQ263" s="412"/>
      <c r="ANR263" s="412"/>
      <c r="ANS263" s="412"/>
      <c r="ANT263" s="412"/>
      <c r="ANU263" s="412"/>
      <c r="ANV263" s="412"/>
      <c r="ANW263" s="412"/>
      <c r="ANX263" s="412"/>
      <c r="ANY263" s="412"/>
      <c r="ANZ263" s="412"/>
      <c r="AOA263" s="412"/>
      <c r="AOB263" s="412"/>
      <c r="AOC263" s="412"/>
      <c r="AOD263" s="412"/>
      <c r="AOE263" s="412"/>
      <c r="AOF263" s="412"/>
      <c r="AOG263" s="412"/>
      <c r="AOH263" s="412"/>
      <c r="AOI263" s="412"/>
      <c r="AOJ263" s="412"/>
      <c r="AOK263" s="412"/>
      <c r="AOL263" s="412"/>
      <c r="AOM263" s="412"/>
      <c r="AON263" s="412"/>
      <c r="AOO263" s="412"/>
      <c r="AOP263" s="412"/>
      <c r="AOQ263" s="412"/>
      <c r="AOR263" s="412"/>
      <c r="AOS263" s="412"/>
      <c r="AOT263" s="412"/>
      <c r="AOU263" s="412"/>
      <c r="AOV263" s="412"/>
      <c r="AOW263" s="412"/>
      <c r="AOX263" s="412"/>
      <c r="AOY263" s="412"/>
      <c r="AOZ263" s="412"/>
      <c r="APA263" s="412"/>
      <c r="APB263" s="412"/>
      <c r="APC263" s="412"/>
      <c r="APD263" s="412"/>
      <c r="APE263" s="412"/>
      <c r="APF263" s="412"/>
      <c r="APG263" s="412"/>
      <c r="APH263" s="412"/>
      <c r="API263" s="412"/>
      <c r="APJ263" s="412"/>
      <c r="APK263" s="412"/>
      <c r="APL263" s="412"/>
      <c r="APM263" s="412"/>
      <c r="APN263" s="412"/>
      <c r="APO263" s="412"/>
      <c r="APP263" s="412"/>
      <c r="APQ263" s="412"/>
      <c r="APR263" s="412"/>
      <c r="APS263" s="412"/>
      <c r="APT263" s="412"/>
      <c r="APU263" s="412"/>
      <c r="APV263" s="412"/>
      <c r="APW263" s="412"/>
      <c r="APX263" s="412"/>
      <c r="APY263" s="412"/>
      <c r="APZ263" s="412"/>
      <c r="AQA263" s="412"/>
      <c r="AQB263" s="412"/>
      <c r="AQC263" s="412"/>
      <c r="AQD263" s="412"/>
      <c r="AQE263" s="412"/>
      <c r="AQF263" s="412"/>
      <c r="AQG263" s="412"/>
      <c r="AQH263" s="412"/>
      <c r="AQI263" s="412"/>
      <c r="AQJ263" s="412"/>
      <c r="AQK263" s="412"/>
      <c r="AQL263" s="412"/>
      <c r="AQM263" s="412"/>
      <c r="AQN263" s="412"/>
      <c r="AQO263" s="412"/>
      <c r="AQP263" s="412"/>
      <c r="AQQ263" s="412"/>
      <c r="AQR263" s="412"/>
      <c r="AQS263" s="412"/>
      <c r="AQT263" s="412"/>
      <c r="AQU263" s="412"/>
      <c r="AQV263" s="412"/>
      <c r="AQW263" s="412"/>
      <c r="AQX263" s="412"/>
      <c r="AQY263" s="412"/>
      <c r="AQZ263" s="412"/>
      <c r="ARA263" s="412"/>
      <c r="ARB263" s="412"/>
      <c r="ARC263" s="412"/>
      <c r="ARD263" s="412"/>
      <c r="ARE263" s="412"/>
      <c r="ARF263" s="412"/>
      <c r="ARG263" s="412"/>
      <c r="ARH263" s="412"/>
      <c r="ARI263" s="412"/>
      <c r="ARJ263" s="412"/>
      <c r="ARK263" s="412"/>
      <c r="ARL263" s="412"/>
      <c r="ARM263" s="412"/>
      <c r="ARN263" s="412"/>
      <c r="ARO263" s="412"/>
      <c r="ARP263" s="412"/>
      <c r="ARQ263" s="412"/>
      <c r="ARR263" s="412"/>
      <c r="ARS263" s="412"/>
      <c r="ART263" s="412"/>
      <c r="ARU263" s="412"/>
      <c r="ARV263" s="412"/>
      <c r="ARW263" s="412"/>
      <c r="ARX263" s="412"/>
      <c r="ARY263" s="412"/>
      <c r="ARZ263" s="412"/>
      <c r="ASA263" s="412"/>
      <c r="ASB263" s="412"/>
      <c r="ASC263" s="412"/>
      <c r="ASD263" s="412"/>
      <c r="ASE263" s="412"/>
      <c r="ASF263" s="412"/>
      <c r="ASG263" s="412"/>
      <c r="ASH263" s="412"/>
      <c r="ASI263" s="412"/>
      <c r="ASJ263" s="412"/>
      <c r="ASK263" s="412"/>
      <c r="ASL263" s="412"/>
      <c r="ASM263" s="412"/>
      <c r="ASN263" s="412"/>
      <c r="ASO263" s="412"/>
      <c r="ASP263" s="412"/>
      <c r="ASQ263" s="412"/>
      <c r="ASR263" s="412"/>
      <c r="ASS263" s="412"/>
      <c r="AST263" s="412"/>
      <c r="ASU263" s="412"/>
      <c r="ASV263" s="412"/>
      <c r="ASW263" s="412"/>
      <c r="ASX263" s="412"/>
      <c r="ASY263" s="412"/>
      <c r="ASZ263" s="412"/>
      <c r="ATA263" s="412"/>
      <c r="ATB263" s="412"/>
      <c r="ATC263" s="412"/>
      <c r="ATD263" s="412"/>
      <c r="ATE263" s="412"/>
      <c r="ATF263" s="412"/>
      <c r="ATG263" s="412"/>
      <c r="ATH263" s="412"/>
      <c r="ATI263" s="412"/>
      <c r="ATJ263" s="412"/>
      <c r="ATK263" s="412"/>
      <c r="ATL263" s="412"/>
      <c r="ATM263" s="412"/>
      <c r="ATN263" s="412"/>
      <c r="ATO263" s="412"/>
      <c r="ATP263" s="412"/>
      <c r="ATQ263" s="412"/>
      <c r="ATR263" s="412"/>
      <c r="ATS263" s="412"/>
      <c r="ATT263" s="412"/>
      <c r="ATU263" s="412"/>
      <c r="ATV263" s="412"/>
      <c r="ATW263" s="412"/>
      <c r="ATX263" s="412"/>
      <c r="ATY263" s="412"/>
      <c r="ATZ263" s="412"/>
      <c r="AUA263" s="412"/>
      <c r="AUB263" s="412"/>
      <c r="AUC263" s="412"/>
      <c r="AUD263" s="412"/>
      <c r="AUE263" s="412"/>
      <c r="AUF263" s="412"/>
      <c r="AUG263" s="412"/>
      <c r="AUH263" s="412"/>
      <c r="AUI263" s="412"/>
      <c r="AUJ263" s="412"/>
      <c r="AUK263" s="412"/>
      <c r="AUL263" s="412"/>
      <c r="AUM263" s="412"/>
      <c r="AUN263" s="412"/>
      <c r="AUO263" s="412"/>
      <c r="AUP263" s="412"/>
      <c r="AUQ263" s="412"/>
      <c r="AUR263" s="412"/>
      <c r="AUS263" s="412"/>
      <c r="AUT263" s="412"/>
      <c r="AUU263" s="412"/>
      <c r="AUV263" s="412"/>
      <c r="AUW263" s="412"/>
      <c r="AUX263" s="412"/>
      <c r="AUY263" s="412"/>
      <c r="AUZ263" s="412"/>
      <c r="AVA263" s="412"/>
      <c r="AVB263" s="412"/>
      <c r="AVC263" s="412"/>
      <c r="AVD263" s="412"/>
      <c r="AVE263" s="412"/>
      <c r="AVF263" s="412"/>
      <c r="AVG263" s="412"/>
      <c r="AVH263" s="412"/>
      <c r="AVI263" s="412"/>
      <c r="AVJ263" s="412"/>
      <c r="AVK263" s="412"/>
      <c r="AVL263" s="412"/>
      <c r="AVM263" s="412"/>
      <c r="AVN263" s="412"/>
      <c r="AVO263" s="412"/>
      <c r="AVP263" s="412"/>
      <c r="AVQ263" s="412"/>
      <c r="AVR263" s="412"/>
      <c r="AVS263" s="412"/>
      <c r="AVT263" s="412"/>
      <c r="AVU263" s="412"/>
      <c r="AVV263" s="412"/>
      <c r="AVW263" s="412"/>
      <c r="AVX263" s="412"/>
      <c r="AVY263" s="412"/>
      <c r="AVZ263" s="412"/>
      <c r="AWA263" s="412"/>
      <c r="AWB263" s="412"/>
      <c r="AWC263" s="412"/>
      <c r="AWD263" s="412"/>
      <c r="AWE263" s="412"/>
      <c r="AWF263" s="412"/>
      <c r="AWG263" s="412"/>
      <c r="AWH263" s="412"/>
      <c r="AWI263" s="412"/>
      <c r="AWJ263" s="412"/>
      <c r="AWK263" s="412"/>
      <c r="AWL263" s="412"/>
      <c r="AWM263" s="412"/>
      <c r="AWN263" s="412"/>
      <c r="AWO263" s="412"/>
      <c r="AWP263" s="412"/>
      <c r="AWQ263" s="412"/>
      <c r="AWR263" s="412"/>
      <c r="AWS263" s="412"/>
      <c r="AWT263" s="412"/>
      <c r="AWU263" s="412"/>
      <c r="AWV263" s="412"/>
      <c r="AWW263" s="412"/>
      <c r="AWX263" s="412"/>
      <c r="AWY263" s="412"/>
      <c r="AWZ263" s="412"/>
      <c r="AXA263" s="412"/>
      <c r="AXB263" s="412"/>
      <c r="AXC263" s="412"/>
      <c r="AXD263" s="412"/>
      <c r="AXE263" s="412"/>
      <c r="AXF263" s="412"/>
      <c r="AXG263" s="412"/>
      <c r="AXH263" s="412"/>
      <c r="AXI263" s="412"/>
      <c r="AXJ263" s="412"/>
      <c r="AXK263" s="412"/>
      <c r="AXL263" s="412"/>
      <c r="AXM263" s="412"/>
      <c r="AXN263" s="412"/>
      <c r="AXO263" s="412"/>
      <c r="AXP263" s="412"/>
      <c r="AXQ263" s="412"/>
      <c r="AXR263" s="412"/>
      <c r="AXS263" s="412"/>
      <c r="AXT263" s="412"/>
      <c r="AXU263" s="412"/>
      <c r="AXV263" s="412"/>
      <c r="AXW263" s="412"/>
      <c r="AXX263" s="412"/>
      <c r="AXY263" s="412"/>
      <c r="AXZ263" s="412"/>
      <c r="AYA263" s="412"/>
      <c r="AYB263" s="412"/>
      <c r="AYC263" s="412"/>
      <c r="AYD263" s="412"/>
      <c r="AYE263" s="412"/>
      <c r="AYF263" s="412"/>
      <c r="AYG263" s="412"/>
      <c r="AYH263" s="412"/>
      <c r="AYI263" s="412"/>
      <c r="AYJ263" s="412"/>
      <c r="AYK263" s="412"/>
      <c r="AYL263" s="412"/>
      <c r="AYM263" s="412"/>
      <c r="AYN263" s="412"/>
      <c r="AYO263" s="412"/>
      <c r="AYP263" s="412"/>
      <c r="AYQ263" s="412"/>
      <c r="AYR263" s="412"/>
      <c r="AYS263" s="412"/>
      <c r="AYT263" s="412"/>
      <c r="AYU263" s="412"/>
      <c r="AYV263" s="412"/>
      <c r="AYW263" s="412"/>
      <c r="AYX263" s="412"/>
      <c r="AYY263" s="412"/>
      <c r="AYZ263" s="412"/>
      <c r="AZA263" s="412"/>
      <c r="AZB263" s="412"/>
      <c r="AZC263" s="412"/>
      <c r="AZD263" s="412"/>
      <c r="AZE263" s="412"/>
      <c r="AZF263" s="412"/>
      <c r="AZG263" s="412"/>
      <c r="AZH263" s="412"/>
      <c r="AZI263" s="412"/>
      <c r="AZJ263" s="412"/>
      <c r="AZK263" s="412"/>
      <c r="AZL263" s="412"/>
      <c r="AZM263" s="412"/>
      <c r="AZN263" s="412"/>
      <c r="AZO263" s="412"/>
      <c r="AZP263" s="412"/>
      <c r="AZQ263" s="412"/>
      <c r="AZR263" s="412"/>
      <c r="AZS263" s="412"/>
      <c r="AZT263" s="412"/>
      <c r="AZU263" s="412"/>
      <c r="AZV263" s="412"/>
      <c r="AZW263" s="412"/>
      <c r="AZX263" s="412"/>
      <c r="AZY263" s="412"/>
      <c r="AZZ263" s="412"/>
      <c r="BAA263" s="412"/>
      <c r="BAB263" s="412"/>
      <c r="BAC263" s="412"/>
      <c r="BAD263" s="412"/>
      <c r="BAE263" s="412"/>
      <c r="BAF263" s="412"/>
      <c r="BAG263" s="412"/>
      <c r="BAH263" s="412"/>
      <c r="BAI263" s="412"/>
      <c r="BAJ263" s="412"/>
      <c r="BAK263" s="412"/>
      <c r="BAL263" s="412"/>
      <c r="BAM263" s="412"/>
      <c r="BAN263" s="412"/>
      <c r="BAO263" s="412"/>
      <c r="BAP263" s="412"/>
      <c r="BAQ263" s="412"/>
      <c r="BAR263" s="412"/>
      <c r="BAS263" s="412"/>
      <c r="BAT263" s="412"/>
      <c r="BAU263" s="412"/>
      <c r="BAV263" s="412"/>
      <c r="BAW263" s="412"/>
      <c r="BAX263" s="412"/>
      <c r="BAY263" s="412"/>
      <c r="BAZ263" s="412"/>
      <c r="BBA263" s="412"/>
      <c r="BBB263" s="412"/>
      <c r="BBC263" s="412"/>
      <c r="BBD263" s="412"/>
      <c r="BBE263" s="412"/>
      <c r="BBF263" s="412"/>
      <c r="BBG263" s="412"/>
      <c r="BBH263" s="412"/>
      <c r="BBI263" s="412"/>
      <c r="BBJ263" s="412"/>
      <c r="BBK263" s="412"/>
      <c r="BBL263" s="412"/>
      <c r="BBM263" s="412"/>
      <c r="BBN263" s="412"/>
      <c r="BBO263" s="412"/>
      <c r="BBP263" s="412"/>
      <c r="BBQ263" s="412"/>
      <c r="BBR263" s="412"/>
      <c r="BBS263" s="412"/>
      <c r="BBT263" s="412"/>
      <c r="BBU263" s="412"/>
      <c r="BBV263" s="412"/>
      <c r="BBW263" s="412"/>
      <c r="BBX263" s="412"/>
      <c r="BBY263" s="412"/>
      <c r="BBZ263" s="412"/>
      <c r="BCA263" s="412"/>
      <c r="BCB263" s="412"/>
      <c r="BCC263" s="412"/>
      <c r="BCD263" s="412"/>
      <c r="BCE263" s="412"/>
      <c r="BCF263" s="412"/>
      <c r="BCG263" s="412"/>
      <c r="BCH263" s="412"/>
      <c r="BCI263" s="412"/>
      <c r="BCJ263" s="412"/>
      <c r="BCK263" s="412"/>
      <c r="BCL263" s="412"/>
      <c r="BCM263" s="412"/>
      <c r="BCN263" s="412"/>
      <c r="BCO263" s="412"/>
      <c r="BCP263" s="412"/>
      <c r="BCQ263" s="412"/>
      <c r="BCR263" s="412"/>
      <c r="BCS263" s="412"/>
      <c r="BCT263" s="412"/>
      <c r="BCU263" s="412"/>
      <c r="BCV263" s="412"/>
      <c r="BCW263" s="412"/>
      <c r="BCX263" s="412"/>
      <c r="BCY263" s="412"/>
      <c r="BCZ263" s="412"/>
      <c r="BDA263" s="412"/>
      <c r="BDB263" s="412"/>
      <c r="BDC263" s="412"/>
      <c r="BDD263" s="412"/>
      <c r="BDE263" s="412"/>
      <c r="BDF263" s="412"/>
      <c r="BDG263" s="412"/>
      <c r="BDH263" s="412"/>
      <c r="BDI263" s="412"/>
      <c r="BDJ263" s="412"/>
      <c r="BDK263" s="412"/>
      <c r="BDL263" s="412"/>
      <c r="BDM263" s="412"/>
      <c r="BDN263" s="412"/>
      <c r="BDO263" s="412"/>
      <c r="BDP263" s="412"/>
      <c r="BDQ263" s="412"/>
      <c r="BDR263" s="412"/>
      <c r="BDS263" s="412"/>
      <c r="BDT263" s="412"/>
      <c r="BDU263" s="412"/>
      <c r="BDV263" s="412"/>
      <c r="BDW263" s="412"/>
      <c r="BDX263" s="412"/>
      <c r="BDY263" s="412"/>
      <c r="BDZ263" s="412"/>
      <c r="BEA263" s="412"/>
      <c r="BEB263" s="412"/>
      <c r="BEC263" s="412"/>
      <c r="BED263" s="412"/>
      <c r="BEE263" s="412"/>
      <c r="BEF263" s="412"/>
      <c r="BEG263" s="412"/>
      <c r="BEH263" s="412"/>
      <c r="BEI263" s="412"/>
      <c r="BEJ263" s="412"/>
      <c r="BEK263" s="412"/>
      <c r="BEL263" s="412"/>
      <c r="BEM263" s="412"/>
      <c r="BEN263" s="412"/>
      <c r="BEO263" s="412"/>
      <c r="BEP263" s="412"/>
      <c r="BEQ263" s="412"/>
      <c r="BER263" s="412"/>
      <c r="BES263" s="412"/>
      <c r="BET263" s="412"/>
      <c r="BEU263" s="412"/>
      <c r="BEV263" s="412"/>
      <c r="BEW263" s="412"/>
      <c r="BEX263" s="412"/>
      <c r="BEY263" s="412"/>
      <c r="BEZ263" s="412"/>
      <c r="BFA263" s="412"/>
      <c r="BFB263" s="412"/>
      <c r="BFC263" s="412"/>
      <c r="BFD263" s="412"/>
      <c r="BFE263" s="412"/>
      <c r="BFF263" s="412"/>
      <c r="BFG263" s="412"/>
      <c r="BFH263" s="412"/>
      <c r="BFI263" s="412"/>
      <c r="BFJ263" s="412"/>
      <c r="BFK263" s="412"/>
      <c r="BFL263" s="412"/>
      <c r="BFM263" s="412"/>
      <c r="BFN263" s="412"/>
      <c r="BFO263" s="412"/>
      <c r="BFP263" s="412"/>
      <c r="BFQ263" s="412"/>
      <c r="BFR263" s="412"/>
      <c r="BFS263" s="412"/>
      <c r="BFT263" s="412"/>
      <c r="BFU263" s="412"/>
      <c r="BFV263" s="412"/>
      <c r="BFW263" s="412"/>
      <c r="BFX263" s="412"/>
      <c r="BFY263" s="412"/>
      <c r="BFZ263" s="412"/>
      <c r="BGA263" s="412"/>
      <c r="BGB263" s="412"/>
      <c r="BGC263" s="412"/>
      <c r="BGD263" s="412"/>
      <c r="BGE263" s="412"/>
      <c r="BGF263" s="412"/>
      <c r="BGG263" s="412"/>
      <c r="BGH263" s="412"/>
      <c r="BGI263" s="412"/>
      <c r="BGJ263" s="412"/>
      <c r="BGK263" s="412"/>
      <c r="BGL263" s="412"/>
      <c r="BGM263" s="412"/>
      <c r="BGN263" s="412"/>
      <c r="BGO263" s="412"/>
      <c r="BGP263" s="412"/>
      <c r="BGQ263" s="412"/>
      <c r="BGR263" s="412"/>
      <c r="BGS263" s="412"/>
      <c r="BGT263" s="412"/>
      <c r="BGU263" s="412"/>
      <c r="BGV263" s="412"/>
      <c r="BGW263" s="412"/>
      <c r="BGX263" s="412"/>
      <c r="BGY263" s="412"/>
      <c r="BGZ263" s="412"/>
      <c r="BHA263" s="412"/>
      <c r="BHB263" s="412"/>
      <c r="BHC263" s="412"/>
      <c r="BHD263" s="412"/>
      <c r="BHE263" s="412"/>
      <c r="BHF263" s="412"/>
      <c r="BHG263" s="412"/>
      <c r="BHH263" s="412"/>
      <c r="BHI263" s="412"/>
      <c r="BHJ263" s="412"/>
      <c r="BHK263" s="412"/>
      <c r="BHL263" s="412"/>
      <c r="BHM263" s="412"/>
      <c r="BHN263" s="412"/>
      <c r="BHO263" s="412"/>
      <c r="BHP263" s="412"/>
      <c r="BHQ263" s="412"/>
      <c r="BHR263" s="412"/>
      <c r="BHS263" s="412"/>
      <c r="BHT263" s="412"/>
      <c r="BHU263" s="412"/>
      <c r="BHV263" s="412"/>
      <c r="BHW263" s="412"/>
      <c r="BHX263" s="412"/>
      <c r="BHY263" s="412"/>
      <c r="BHZ263" s="412"/>
      <c r="BIA263" s="412"/>
      <c r="BIB263" s="412"/>
      <c r="BIC263" s="412"/>
      <c r="BID263" s="412"/>
      <c r="BIE263" s="412"/>
      <c r="BIF263" s="412"/>
      <c r="BIG263" s="412"/>
      <c r="BIH263" s="412"/>
      <c r="BII263" s="412"/>
      <c r="BIJ263" s="412"/>
      <c r="BIK263" s="412"/>
      <c r="BIL263" s="412"/>
      <c r="BIM263" s="412"/>
      <c r="BIN263" s="412"/>
      <c r="BIO263" s="412"/>
      <c r="BIP263" s="412"/>
      <c r="BIQ263" s="412"/>
      <c r="BIR263" s="412"/>
      <c r="BIS263" s="412"/>
      <c r="BIT263" s="412"/>
      <c r="BIU263" s="412"/>
      <c r="BIV263" s="412"/>
      <c r="BIW263" s="412"/>
      <c r="BIX263" s="412"/>
      <c r="BIY263" s="412"/>
      <c r="BIZ263" s="412"/>
      <c r="BJA263" s="412"/>
      <c r="BJB263" s="412"/>
      <c r="BJC263" s="412"/>
      <c r="BJD263" s="412"/>
      <c r="BJE263" s="412"/>
      <c r="BJF263" s="412"/>
      <c r="BJG263" s="412"/>
      <c r="BJH263" s="412"/>
      <c r="BJI263" s="412"/>
      <c r="BJJ263" s="412"/>
      <c r="BJK263" s="412"/>
      <c r="BJL263" s="412"/>
      <c r="BJM263" s="412"/>
      <c r="BJN263" s="412"/>
      <c r="BJO263" s="412"/>
      <c r="BJP263" s="412"/>
      <c r="BJQ263" s="412"/>
      <c r="BJR263" s="412"/>
      <c r="BJS263" s="412"/>
      <c r="BJT263" s="412"/>
      <c r="BJU263" s="412"/>
      <c r="BJV263" s="412"/>
      <c r="BJW263" s="412"/>
      <c r="BJX263" s="412"/>
      <c r="BJY263" s="412"/>
      <c r="BJZ263" s="412"/>
      <c r="BKA263" s="412"/>
      <c r="BKB263" s="412"/>
      <c r="BKC263" s="412"/>
      <c r="BKD263" s="412"/>
      <c r="BKE263" s="412"/>
      <c r="BKF263" s="412"/>
      <c r="BKG263" s="412"/>
      <c r="BKH263" s="412"/>
      <c r="BKI263" s="412"/>
      <c r="BKJ263" s="412"/>
      <c r="BKK263" s="412"/>
      <c r="BKL263" s="412"/>
      <c r="BKM263" s="412"/>
      <c r="BKN263" s="412"/>
      <c r="BKO263" s="412"/>
      <c r="BKP263" s="412"/>
      <c r="BKQ263" s="412"/>
      <c r="BKR263" s="412"/>
      <c r="BKS263" s="412"/>
      <c r="BKT263" s="412"/>
      <c r="BKU263" s="412"/>
      <c r="BKV263" s="412"/>
      <c r="BKW263" s="412"/>
      <c r="BKX263" s="412"/>
      <c r="BKY263" s="412"/>
      <c r="BKZ263" s="412"/>
      <c r="BLA263" s="412"/>
      <c r="BLB263" s="412"/>
      <c r="BLC263" s="412"/>
      <c r="BLD263" s="412"/>
      <c r="BLE263" s="412"/>
      <c r="BLF263" s="412"/>
      <c r="BLG263" s="412"/>
      <c r="BLH263" s="412"/>
      <c r="BLI263" s="412"/>
      <c r="BLJ263" s="412"/>
      <c r="BLK263" s="412"/>
      <c r="BLL263" s="412"/>
      <c r="BLM263" s="412"/>
      <c r="BLN263" s="412"/>
      <c r="BLO263" s="412"/>
      <c r="BLP263" s="412"/>
      <c r="BLQ263" s="412"/>
      <c r="BLR263" s="412"/>
      <c r="BLS263" s="412"/>
      <c r="BLT263" s="412"/>
      <c r="BLU263" s="412"/>
      <c r="BLV263" s="412"/>
      <c r="BLW263" s="412"/>
      <c r="BLX263" s="412"/>
      <c r="BLY263" s="412"/>
      <c r="BLZ263" s="412"/>
      <c r="BMA263" s="412"/>
      <c r="BMB263" s="412"/>
      <c r="BMC263" s="412"/>
      <c r="BMD263" s="412"/>
      <c r="BME263" s="412"/>
      <c r="BMF263" s="412"/>
      <c r="BMG263" s="412"/>
      <c r="BMH263" s="412"/>
      <c r="BMI263" s="412"/>
      <c r="BMJ263" s="412"/>
      <c r="BMK263" s="412"/>
      <c r="BML263" s="412"/>
      <c r="BMM263" s="412"/>
      <c r="BMN263" s="412"/>
      <c r="BMO263" s="412"/>
      <c r="BMP263" s="412"/>
      <c r="BMQ263" s="412"/>
      <c r="BMR263" s="412"/>
      <c r="BMS263" s="412"/>
      <c r="BMT263" s="412"/>
      <c r="BMU263" s="412"/>
      <c r="BMV263" s="412"/>
      <c r="BMW263" s="412"/>
      <c r="BMX263" s="412"/>
      <c r="BMY263" s="412"/>
      <c r="BMZ263" s="412"/>
      <c r="BNA263" s="412"/>
      <c r="BNB263" s="412"/>
      <c r="BNC263" s="412"/>
      <c r="BND263" s="412"/>
      <c r="BNE263" s="412"/>
      <c r="BNF263" s="412"/>
      <c r="BNG263" s="412"/>
      <c r="BNH263" s="412"/>
      <c r="BNI263" s="412"/>
      <c r="BNJ263" s="412"/>
      <c r="BNK263" s="412"/>
      <c r="BNL263" s="412"/>
      <c r="BNM263" s="412"/>
      <c r="BNN263" s="412"/>
      <c r="BNO263" s="412"/>
      <c r="BNP263" s="412"/>
      <c r="BNQ263" s="412"/>
      <c r="BNR263" s="412"/>
      <c r="BNS263" s="412"/>
      <c r="BNT263" s="412"/>
      <c r="BNU263" s="412"/>
      <c r="BNV263" s="412"/>
      <c r="BNW263" s="412"/>
      <c r="BNX263" s="412"/>
      <c r="BNY263" s="412"/>
      <c r="BNZ263" s="412"/>
      <c r="BOA263" s="412"/>
      <c r="BOB263" s="412"/>
      <c r="BOC263" s="412"/>
      <c r="BOD263" s="412"/>
      <c r="BOE263" s="412"/>
      <c r="BOF263" s="412"/>
      <c r="BOG263" s="412"/>
      <c r="BOH263" s="412"/>
      <c r="BOI263" s="412"/>
      <c r="BOJ263" s="412"/>
      <c r="BOK263" s="412"/>
      <c r="BOL263" s="412"/>
      <c r="BOM263" s="412"/>
      <c r="BON263" s="412"/>
      <c r="BOO263" s="412"/>
      <c r="BOP263" s="412"/>
      <c r="BOQ263" s="412"/>
      <c r="BOR263" s="412"/>
      <c r="BOS263" s="412"/>
      <c r="BOT263" s="412"/>
      <c r="BOU263" s="412"/>
      <c r="BOV263" s="412"/>
      <c r="BOW263" s="412"/>
      <c r="BOX263" s="412"/>
      <c r="BOY263" s="412"/>
      <c r="BOZ263" s="412"/>
      <c r="BPA263" s="412"/>
      <c r="BPB263" s="412"/>
      <c r="BPC263" s="412"/>
      <c r="BPD263" s="412"/>
      <c r="BPE263" s="412"/>
      <c r="BPF263" s="412"/>
      <c r="BPG263" s="412"/>
      <c r="BPH263" s="412"/>
      <c r="BPI263" s="412"/>
      <c r="BPJ263" s="412"/>
      <c r="BPK263" s="412"/>
      <c r="BPL263" s="412"/>
      <c r="BPM263" s="412"/>
      <c r="BPN263" s="412"/>
      <c r="BPO263" s="412"/>
      <c r="BPP263" s="412"/>
      <c r="BPQ263" s="412"/>
      <c r="BPR263" s="412"/>
      <c r="BPS263" s="412"/>
      <c r="BPT263" s="412"/>
      <c r="BPU263" s="412"/>
      <c r="BPV263" s="412"/>
      <c r="BPW263" s="412"/>
      <c r="BPX263" s="412"/>
      <c r="BPY263" s="412"/>
      <c r="BPZ263" s="412"/>
      <c r="BQA263" s="412"/>
      <c r="BQB263" s="412"/>
      <c r="BQC263" s="412"/>
      <c r="BQD263" s="412"/>
      <c r="BQE263" s="412"/>
      <c r="BQF263" s="412"/>
      <c r="BQG263" s="412"/>
      <c r="BQH263" s="412"/>
      <c r="BQI263" s="412"/>
      <c r="BQJ263" s="412"/>
      <c r="BQK263" s="412"/>
      <c r="BQL263" s="412"/>
      <c r="BQM263" s="412"/>
      <c r="BQN263" s="412"/>
      <c r="BQO263" s="412"/>
      <c r="BQP263" s="412"/>
      <c r="BQQ263" s="412"/>
      <c r="BQR263" s="412"/>
      <c r="BQS263" s="412"/>
      <c r="BQT263" s="412"/>
      <c r="BQU263" s="412"/>
      <c r="BQV263" s="412"/>
      <c r="BQW263" s="412"/>
      <c r="BQX263" s="412"/>
      <c r="BQY263" s="412"/>
      <c r="BQZ263" s="412"/>
      <c r="BRA263" s="412"/>
      <c r="BRB263" s="412"/>
      <c r="BRC263" s="412"/>
      <c r="BRD263" s="412"/>
      <c r="BRE263" s="412"/>
      <c r="BRF263" s="412"/>
      <c r="BRG263" s="412"/>
      <c r="BRH263" s="412"/>
      <c r="BRI263" s="412"/>
      <c r="BRJ263" s="412"/>
      <c r="BRK263" s="412"/>
      <c r="BRL263" s="412"/>
      <c r="BRM263" s="412"/>
      <c r="BRN263" s="412"/>
      <c r="BRO263" s="412"/>
      <c r="BRP263" s="412"/>
      <c r="BRQ263" s="412"/>
      <c r="BRR263" s="412"/>
      <c r="BRS263" s="412"/>
      <c r="BRT263" s="412"/>
      <c r="BRU263" s="412"/>
      <c r="BRV263" s="412"/>
      <c r="BRW263" s="412"/>
      <c r="BRX263" s="412"/>
      <c r="BRY263" s="412"/>
      <c r="BRZ263" s="412"/>
      <c r="BSA263" s="412"/>
      <c r="BSB263" s="412"/>
      <c r="BSC263" s="412"/>
      <c r="BSD263" s="412"/>
      <c r="BSE263" s="412"/>
      <c r="BSF263" s="412"/>
      <c r="BSG263" s="412"/>
      <c r="BSH263" s="412"/>
      <c r="BSI263" s="412"/>
      <c r="BSJ263" s="412"/>
      <c r="BSK263" s="412"/>
      <c r="BSL263" s="412"/>
      <c r="BSM263" s="412"/>
      <c r="BSN263" s="412"/>
      <c r="BSO263" s="412"/>
      <c r="BSP263" s="412"/>
      <c r="BSQ263" s="412"/>
      <c r="BSR263" s="412"/>
      <c r="BSS263" s="412"/>
      <c r="BST263" s="412"/>
      <c r="BSU263" s="412"/>
      <c r="BSV263" s="412"/>
      <c r="BSW263" s="412"/>
      <c r="BSX263" s="412"/>
      <c r="BSY263" s="412"/>
      <c r="BSZ263" s="412"/>
      <c r="BTA263" s="412"/>
      <c r="BTB263" s="412"/>
      <c r="BTC263" s="412"/>
      <c r="BTD263" s="412"/>
      <c r="BTE263" s="412"/>
      <c r="BTF263" s="412"/>
      <c r="BTG263" s="412"/>
      <c r="BTH263" s="412"/>
      <c r="BTI263" s="412"/>
    </row>
    <row r="264" spans="1:1881" s="411" customFormat="1" ht="30.75" customHeight="1" thickBot="1" x14ac:dyDescent="0.3">
      <c r="A264" s="587">
        <v>968</v>
      </c>
      <c r="B264" s="968" t="s">
        <v>934</v>
      </c>
      <c r="C264" s="969"/>
      <c r="D264" s="970"/>
      <c r="E264" s="955"/>
      <c r="F264" s="886" t="str">
        <f t="shared" si="4"/>
        <v>&lt;&lt;&lt;&lt;&lt;&lt;&lt;&lt;&lt;&lt;&lt;&lt;&lt;&lt;&lt;&lt;&lt;&lt;&lt;</v>
      </c>
      <c r="G264" s="886" t="str">
        <f>IF(ISBLANK($D264),"Cell D264 must be completed.","")</f>
        <v>Cell D264 must be completed.</v>
      </c>
      <c r="H264" s="414"/>
      <c r="I264" s="423"/>
      <c r="J264" s="412"/>
      <c r="K264" s="412"/>
      <c r="L264" s="412"/>
      <c r="M264" s="412"/>
      <c r="N264"/>
      <c r="O264" s="412"/>
      <c r="P264" s="412"/>
      <c r="Q264" s="412"/>
      <c r="R264" s="412"/>
      <c r="S264" s="412"/>
      <c r="T264" s="412"/>
      <c r="U264" s="412"/>
      <c r="V264" s="412"/>
      <c r="W264" s="412"/>
      <c r="X264" s="412"/>
      <c r="Y264" s="412"/>
      <c r="Z264" s="412"/>
      <c r="AA264" s="412"/>
      <c r="AB264" s="412"/>
      <c r="AC264" s="412"/>
      <c r="AD264" s="412"/>
      <c r="AE264" s="412"/>
      <c r="AF264" s="412"/>
      <c r="AG264" s="412"/>
      <c r="AH264" s="412"/>
      <c r="AI264" s="412"/>
      <c r="AJ264" s="412"/>
      <c r="AK264" s="412"/>
      <c r="AL264" s="412"/>
      <c r="AM264" s="412"/>
      <c r="AN264" s="412"/>
      <c r="AO264" s="412"/>
      <c r="AP264" s="412"/>
      <c r="AQ264" s="412"/>
      <c r="AR264" s="412"/>
      <c r="AS264" s="412"/>
      <c r="AT264" s="412"/>
      <c r="AU264" s="412"/>
      <c r="AV264" s="412"/>
      <c r="AW264" s="412"/>
      <c r="AX264" s="412"/>
      <c r="AY264" s="412"/>
      <c r="AZ264" s="412"/>
      <c r="BA264" s="412"/>
      <c r="BB264" s="412"/>
      <c r="BC264" s="412"/>
      <c r="BD264" s="412"/>
      <c r="BE264" s="412"/>
      <c r="BF264" s="412"/>
      <c r="BG264" s="412"/>
      <c r="BH264" s="412"/>
      <c r="BI264" s="412"/>
      <c r="BJ264" s="412"/>
      <c r="BK264" s="412"/>
      <c r="BL264" s="412"/>
      <c r="BM264" s="412"/>
      <c r="BN264" s="412"/>
      <c r="BO264" s="412"/>
      <c r="BP264" s="412"/>
      <c r="BQ264" s="412"/>
      <c r="BR264" s="412"/>
      <c r="BS264" s="412"/>
      <c r="BT264" s="412"/>
      <c r="BU264" s="412"/>
      <c r="BV264" s="412"/>
      <c r="BW264" s="412"/>
      <c r="BX264" s="412"/>
      <c r="BY264" s="412"/>
      <c r="BZ264" s="412"/>
      <c r="CA264" s="412"/>
      <c r="CB264" s="412"/>
      <c r="CC264" s="412"/>
      <c r="CD264" s="412"/>
      <c r="CE264" s="412"/>
      <c r="CF264" s="412"/>
      <c r="CG264" s="412"/>
      <c r="CH264" s="412"/>
      <c r="CI264" s="412"/>
      <c r="CJ264" s="412"/>
      <c r="CK264" s="412"/>
      <c r="CL264" s="412"/>
      <c r="CM264" s="412"/>
      <c r="CN264" s="412"/>
      <c r="CO264" s="412"/>
      <c r="CP264" s="412"/>
      <c r="CQ264" s="412"/>
      <c r="CR264" s="412"/>
      <c r="CS264" s="412"/>
      <c r="CT264" s="412"/>
      <c r="CU264" s="412"/>
      <c r="CV264" s="412"/>
      <c r="CW264" s="412"/>
      <c r="CX264" s="412"/>
      <c r="CY264" s="412"/>
      <c r="CZ264" s="412"/>
      <c r="DA264" s="412"/>
      <c r="DB264" s="412"/>
      <c r="DC264" s="412"/>
      <c r="DD264" s="412"/>
      <c r="DE264" s="412"/>
      <c r="DF264" s="412"/>
      <c r="DG264" s="412"/>
      <c r="DH264" s="412"/>
      <c r="DI264" s="412"/>
      <c r="DJ264" s="412"/>
      <c r="DK264" s="412"/>
      <c r="DL264" s="412"/>
      <c r="DM264" s="412"/>
      <c r="DN264" s="412"/>
      <c r="DO264" s="412"/>
      <c r="DP264" s="412"/>
      <c r="DQ264" s="412"/>
      <c r="DR264" s="412"/>
      <c r="DS264" s="412"/>
      <c r="DT264" s="412"/>
      <c r="DU264" s="412"/>
      <c r="DV264" s="412"/>
      <c r="DW264" s="412"/>
      <c r="DX264" s="412"/>
      <c r="DY264" s="412"/>
      <c r="DZ264" s="412"/>
      <c r="EA264" s="412"/>
      <c r="EB264" s="412"/>
      <c r="EC264" s="412"/>
      <c r="ED264" s="412"/>
      <c r="EE264" s="412"/>
      <c r="EF264" s="412"/>
      <c r="EG264" s="412"/>
      <c r="EH264" s="412"/>
      <c r="EI264" s="412"/>
      <c r="EJ264" s="412"/>
      <c r="EK264" s="412"/>
      <c r="EL264" s="412"/>
      <c r="EM264" s="412"/>
      <c r="EN264" s="412"/>
      <c r="EO264" s="412"/>
      <c r="EP264" s="412"/>
      <c r="EQ264" s="412"/>
      <c r="ER264" s="412"/>
      <c r="ES264" s="412"/>
      <c r="ET264" s="412"/>
      <c r="EU264" s="412"/>
      <c r="EV264" s="412"/>
      <c r="EW264" s="412"/>
      <c r="EX264" s="412"/>
      <c r="EY264" s="412"/>
      <c r="EZ264" s="412"/>
      <c r="FA264" s="412"/>
      <c r="FB264" s="412"/>
      <c r="FC264" s="412"/>
      <c r="FD264" s="412"/>
      <c r="FE264" s="412"/>
      <c r="FF264" s="412"/>
      <c r="FG264" s="412"/>
      <c r="FH264" s="412"/>
      <c r="FI264" s="412"/>
      <c r="FJ264" s="412"/>
      <c r="FK264" s="412"/>
      <c r="FL264" s="412"/>
      <c r="FM264" s="412"/>
      <c r="FN264" s="412"/>
      <c r="FO264" s="412"/>
      <c r="FP264" s="412"/>
      <c r="FQ264" s="412"/>
      <c r="FR264" s="412"/>
      <c r="FS264" s="412"/>
      <c r="FT264" s="412"/>
      <c r="FU264" s="412"/>
      <c r="FV264" s="412"/>
      <c r="FW264" s="412"/>
      <c r="FX264" s="412"/>
      <c r="FY264" s="412"/>
      <c r="FZ264" s="412"/>
      <c r="GA264" s="412"/>
      <c r="GB264" s="412"/>
      <c r="GC264" s="412"/>
      <c r="GD264" s="412"/>
      <c r="GE264" s="412"/>
      <c r="GF264" s="412"/>
      <c r="GG264" s="412"/>
      <c r="GH264" s="412"/>
      <c r="GI264" s="412"/>
      <c r="GJ264" s="412"/>
      <c r="GK264" s="412"/>
      <c r="GL264" s="412"/>
      <c r="GM264" s="412"/>
      <c r="GN264" s="412"/>
      <c r="GO264" s="412"/>
      <c r="GP264" s="412"/>
      <c r="GQ264" s="412"/>
      <c r="GR264" s="412"/>
      <c r="GS264" s="412"/>
      <c r="GT264" s="412"/>
      <c r="GU264" s="412"/>
      <c r="GV264" s="412"/>
      <c r="GW264" s="412"/>
      <c r="GX264" s="412"/>
      <c r="GY264" s="412"/>
      <c r="GZ264" s="412"/>
      <c r="HA264" s="412"/>
      <c r="HB264" s="412"/>
      <c r="HC264" s="412"/>
      <c r="HD264" s="412"/>
      <c r="HE264" s="412"/>
      <c r="HF264" s="412"/>
      <c r="HG264" s="412"/>
      <c r="HH264" s="412"/>
      <c r="HI264" s="412"/>
      <c r="HJ264" s="412"/>
      <c r="HK264" s="412"/>
      <c r="HL264" s="412"/>
      <c r="HM264" s="412"/>
      <c r="HN264" s="412"/>
      <c r="HO264" s="412"/>
      <c r="HP264" s="412"/>
      <c r="HQ264" s="412"/>
      <c r="HR264" s="412"/>
      <c r="HS264" s="412"/>
      <c r="HT264" s="412"/>
      <c r="HU264" s="412"/>
      <c r="HV264" s="412"/>
      <c r="HW264" s="412"/>
      <c r="HX264" s="412"/>
      <c r="HY264" s="412"/>
      <c r="HZ264" s="412"/>
      <c r="IA264" s="412"/>
      <c r="IB264" s="412"/>
      <c r="IC264" s="412"/>
      <c r="ID264" s="412"/>
      <c r="IE264" s="412"/>
      <c r="IF264" s="412"/>
      <c r="IG264" s="412"/>
      <c r="IH264" s="412"/>
      <c r="II264" s="412"/>
      <c r="IJ264" s="412"/>
      <c r="IK264" s="412"/>
      <c r="IL264" s="412"/>
      <c r="IM264" s="412"/>
      <c r="IN264" s="412"/>
      <c r="IO264" s="412"/>
      <c r="IP264" s="412"/>
      <c r="IQ264" s="412"/>
      <c r="IR264" s="412"/>
      <c r="IS264" s="412"/>
      <c r="IT264" s="412"/>
      <c r="IU264" s="412"/>
      <c r="IV264" s="412"/>
      <c r="IW264" s="412"/>
      <c r="IX264" s="412"/>
      <c r="IY264" s="412"/>
      <c r="IZ264" s="412"/>
      <c r="JA264" s="412"/>
      <c r="JB264" s="412"/>
      <c r="JC264" s="412"/>
      <c r="JD264" s="412"/>
      <c r="JE264" s="412"/>
      <c r="JF264" s="412"/>
      <c r="JG264" s="412"/>
      <c r="JH264" s="412"/>
      <c r="JI264" s="412"/>
      <c r="JJ264" s="412"/>
      <c r="JK264" s="412"/>
      <c r="JL264" s="412"/>
      <c r="JM264" s="412"/>
      <c r="JN264" s="412"/>
      <c r="JO264" s="412"/>
      <c r="JP264" s="412"/>
      <c r="JQ264" s="412"/>
      <c r="JR264" s="412"/>
      <c r="JS264" s="412"/>
      <c r="JT264" s="412"/>
      <c r="JU264" s="412"/>
      <c r="JV264" s="412"/>
      <c r="JW264" s="412"/>
      <c r="JX264" s="412"/>
      <c r="JY264" s="412"/>
      <c r="JZ264" s="412"/>
      <c r="KA264" s="412"/>
      <c r="KB264" s="412"/>
      <c r="KC264" s="412"/>
      <c r="KD264" s="412"/>
      <c r="KE264" s="412"/>
      <c r="KF264" s="412"/>
      <c r="KG264" s="412"/>
      <c r="KH264" s="412"/>
      <c r="KI264" s="412"/>
      <c r="KJ264" s="412"/>
      <c r="KK264" s="412"/>
      <c r="KL264" s="412"/>
      <c r="KM264" s="412"/>
      <c r="KN264" s="412"/>
      <c r="KO264" s="412"/>
      <c r="KP264" s="412"/>
      <c r="KQ264" s="412"/>
      <c r="KR264" s="412"/>
      <c r="KS264" s="412"/>
      <c r="KT264" s="412"/>
      <c r="KU264" s="412"/>
      <c r="KV264" s="412"/>
      <c r="KW264" s="412"/>
      <c r="KX264" s="412"/>
      <c r="KY264" s="412"/>
      <c r="KZ264" s="412"/>
      <c r="LA264" s="412"/>
      <c r="LB264" s="412"/>
      <c r="LC264" s="412"/>
      <c r="LD264" s="412"/>
      <c r="LE264" s="412"/>
      <c r="LF264" s="412"/>
      <c r="LG264" s="412"/>
      <c r="LH264" s="412"/>
      <c r="LI264" s="412"/>
      <c r="LJ264" s="412"/>
      <c r="LK264" s="412"/>
      <c r="LL264" s="412"/>
      <c r="LM264" s="412"/>
      <c r="LN264" s="412"/>
      <c r="LO264" s="412"/>
      <c r="LP264" s="412"/>
      <c r="LQ264" s="412"/>
      <c r="LR264" s="412"/>
      <c r="LS264" s="412"/>
      <c r="LT264" s="412"/>
      <c r="LU264" s="412"/>
      <c r="LV264" s="412"/>
      <c r="LW264" s="412"/>
      <c r="LX264" s="412"/>
      <c r="LY264" s="412"/>
      <c r="LZ264" s="412"/>
      <c r="MA264" s="412"/>
      <c r="MB264" s="412"/>
      <c r="MC264" s="412"/>
      <c r="MD264" s="412"/>
      <c r="ME264" s="412"/>
      <c r="MF264" s="412"/>
      <c r="MG264" s="412"/>
      <c r="MH264" s="412"/>
      <c r="MI264" s="412"/>
      <c r="MJ264" s="412"/>
      <c r="MK264" s="412"/>
      <c r="ML264" s="412"/>
      <c r="MM264" s="412"/>
      <c r="MN264" s="412"/>
      <c r="MO264" s="412"/>
      <c r="MP264" s="412"/>
      <c r="MQ264" s="412"/>
      <c r="MR264" s="412"/>
      <c r="MS264" s="412"/>
      <c r="MT264" s="412"/>
      <c r="MU264" s="412"/>
      <c r="MV264" s="412"/>
      <c r="MW264" s="412"/>
      <c r="MX264" s="412"/>
      <c r="MY264" s="412"/>
      <c r="MZ264" s="412"/>
      <c r="NA264" s="412"/>
      <c r="NB264" s="412"/>
      <c r="NC264" s="412"/>
      <c r="ND264" s="412"/>
      <c r="NE264" s="412"/>
      <c r="NF264" s="412"/>
      <c r="NG264" s="412"/>
      <c r="NH264" s="412"/>
      <c r="NI264" s="412"/>
      <c r="NJ264" s="412"/>
      <c r="NK264" s="412"/>
      <c r="NL264" s="412"/>
      <c r="NM264" s="412"/>
      <c r="NN264" s="412"/>
      <c r="NO264" s="412"/>
      <c r="NP264" s="412"/>
      <c r="NQ264" s="412"/>
      <c r="NR264" s="412"/>
      <c r="NS264" s="412"/>
      <c r="NT264" s="412"/>
      <c r="NU264" s="412"/>
      <c r="NV264" s="412"/>
      <c r="NW264" s="412"/>
      <c r="NX264" s="412"/>
      <c r="NY264" s="412"/>
      <c r="NZ264" s="412"/>
      <c r="OA264" s="412"/>
      <c r="OB264" s="412"/>
      <c r="OC264" s="412"/>
      <c r="OD264" s="412"/>
      <c r="OE264" s="412"/>
      <c r="OF264" s="412"/>
      <c r="OG264" s="412"/>
      <c r="OH264" s="412"/>
      <c r="OI264" s="412"/>
      <c r="OJ264" s="412"/>
      <c r="OK264" s="412"/>
      <c r="OL264" s="412"/>
      <c r="OM264" s="412"/>
      <c r="ON264" s="412"/>
      <c r="OO264" s="412"/>
      <c r="OP264" s="412"/>
      <c r="OQ264" s="412"/>
      <c r="OR264" s="412"/>
      <c r="OS264" s="412"/>
      <c r="OT264" s="412"/>
      <c r="OU264" s="412"/>
      <c r="OV264" s="412"/>
      <c r="OW264" s="412"/>
      <c r="OX264" s="412"/>
      <c r="OY264" s="412"/>
      <c r="OZ264" s="412"/>
      <c r="PA264" s="412"/>
      <c r="PB264" s="412"/>
      <c r="PC264" s="412"/>
      <c r="PD264" s="412"/>
      <c r="PE264" s="412"/>
      <c r="PF264" s="412"/>
      <c r="PG264" s="412"/>
      <c r="PH264" s="412"/>
      <c r="PI264" s="412"/>
      <c r="PJ264" s="412"/>
      <c r="PK264" s="412"/>
      <c r="PL264" s="412"/>
      <c r="PM264" s="412"/>
      <c r="PN264" s="412"/>
      <c r="PO264" s="412"/>
      <c r="PP264" s="412"/>
      <c r="PQ264" s="412"/>
      <c r="PR264" s="412"/>
      <c r="PS264" s="412"/>
      <c r="PT264" s="412"/>
      <c r="PU264" s="412"/>
      <c r="PV264" s="412"/>
      <c r="PW264" s="412"/>
      <c r="PX264" s="412"/>
      <c r="PY264" s="412"/>
      <c r="PZ264" s="412"/>
      <c r="QA264" s="412"/>
      <c r="QB264" s="412"/>
      <c r="QC264" s="412"/>
      <c r="QD264" s="412"/>
      <c r="QE264" s="412"/>
      <c r="QF264" s="412"/>
      <c r="QG264" s="412"/>
      <c r="QH264" s="412"/>
      <c r="QI264" s="412"/>
      <c r="QJ264" s="412"/>
      <c r="QK264" s="412"/>
      <c r="QL264" s="412"/>
      <c r="QM264" s="412"/>
      <c r="QN264" s="412"/>
      <c r="QO264" s="412"/>
      <c r="QP264" s="412"/>
      <c r="QQ264" s="412"/>
      <c r="QR264" s="412"/>
      <c r="QS264" s="412"/>
      <c r="QT264" s="412"/>
      <c r="QU264" s="412"/>
      <c r="QV264" s="412"/>
      <c r="QW264" s="412"/>
      <c r="QX264" s="412"/>
      <c r="QY264" s="412"/>
      <c r="QZ264" s="412"/>
      <c r="RA264" s="412"/>
      <c r="RB264" s="412"/>
      <c r="RC264" s="412"/>
      <c r="RD264" s="412"/>
      <c r="RE264" s="412"/>
      <c r="RF264" s="412"/>
      <c r="RG264" s="412"/>
      <c r="RH264" s="412"/>
      <c r="RI264" s="412"/>
      <c r="RJ264" s="412"/>
      <c r="RK264" s="412"/>
      <c r="RL264" s="412"/>
      <c r="RM264" s="412"/>
      <c r="RN264" s="412"/>
      <c r="RO264" s="412"/>
      <c r="RP264" s="412"/>
      <c r="RQ264" s="412"/>
      <c r="RR264" s="412"/>
      <c r="RS264" s="412"/>
      <c r="RT264" s="412"/>
      <c r="RU264" s="412"/>
      <c r="RV264" s="412"/>
      <c r="RW264" s="412"/>
      <c r="RX264" s="412"/>
      <c r="RY264" s="412"/>
      <c r="RZ264" s="412"/>
      <c r="SA264" s="412"/>
      <c r="SB264" s="412"/>
      <c r="SC264" s="412"/>
      <c r="SD264" s="412"/>
      <c r="SE264" s="412"/>
      <c r="SF264" s="412"/>
      <c r="SG264" s="412"/>
      <c r="SH264" s="412"/>
      <c r="SI264" s="412"/>
      <c r="SJ264" s="412"/>
      <c r="SK264" s="412"/>
      <c r="SL264" s="412"/>
      <c r="SM264" s="412"/>
      <c r="SN264" s="412"/>
      <c r="SO264" s="412"/>
      <c r="SP264" s="412"/>
      <c r="SQ264" s="412"/>
      <c r="SR264" s="412"/>
      <c r="SS264" s="412"/>
      <c r="ST264" s="412"/>
      <c r="SU264" s="412"/>
      <c r="SV264" s="412"/>
      <c r="SW264" s="412"/>
      <c r="SX264" s="412"/>
      <c r="SY264" s="412"/>
      <c r="SZ264" s="412"/>
      <c r="TA264" s="412"/>
      <c r="TB264" s="412"/>
      <c r="TC264" s="412"/>
      <c r="TD264" s="412"/>
      <c r="TE264" s="412"/>
      <c r="TF264" s="412"/>
      <c r="TG264" s="412"/>
      <c r="TH264" s="412"/>
      <c r="TI264" s="412"/>
      <c r="TJ264" s="412"/>
      <c r="TK264" s="412"/>
      <c r="TL264" s="412"/>
      <c r="TM264" s="412"/>
      <c r="TN264" s="412"/>
      <c r="TO264" s="412"/>
      <c r="TP264" s="412"/>
      <c r="TQ264" s="412"/>
      <c r="TR264" s="412"/>
      <c r="TS264" s="412"/>
      <c r="TT264" s="412"/>
      <c r="TU264" s="412"/>
      <c r="TV264" s="412"/>
      <c r="TW264" s="412"/>
      <c r="TX264" s="412"/>
      <c r="TY264" s="412"/>
      <c r="TZ264" s="412"/>
      <c r="UA264" s="412"/>
      <c r="UB264" s="412"/>
      <c r="UC264" s="412"/>
      <c r="UD264" s="412"/>
      <c r="UE264" s="412"/>
      <c r="UF264" s="412"/>
      <c r="UG264" s="412"/>
      <c r="UH264" s="412"/>
      <c r="UI264" s="412"/>
      <c r="UJ264" s="412"/>
      <c r="UK264" s="412"/>
      <c r="UL264" s="412"/>
      <c r="UM264" s="412"/>
      <c r="UN264" s="412"/>
      <c r="UO264" s="412"/>
      <c r="UP264" s="412"/>
      <c r="UQ264" s="412"/>
      <c r="UR264" s="412"/>
      <c r="US264" s="412"/>
      <c r="UT264" s="412"/>
      <c r="UU264" s="412"/>
      <c r="UV264" s="412"/>
      <c r="UW264" s="412"/>
      <c r="UX264" s="412"/>
      <c r="UY264" s="412"/>
      <c r="UZ264" s="412"/>
      <c r="VA264" s="412"/>
      <c r="VB264" s="412"/>
      <c r="VC264" s="412"/>
      <c r="VD264" s="412"/>
      <c r="VE264" s="412"/>
      <c r="VF264" s="412"/>
      <c r="VG264" s="412"/>
      <c r="VH264" s="412"/>
      <c r="VI264" s="412"/>
      <c r="VJ264" s="412"/>
      <c r="VK264" s="412"/>
      <c r="VL264" s="412"/>
      <c r="VM264" s="412"/>
      <c r="VN264" s="412"/>
      <c r="VO264" s="412"/>
      <c r="VP264" s="412"/>
      <c r="VQ264" s="412"/>
      <c r="VR264" s="412"/>
      <c r="VS264" s="412"/>
      <c r="VT264" s="412"/>
      <c r="VU264" s="412"/>
      <c r="VV264" s="412"/>
      <c r="VW264" s="412"/>
      <c r="VX264" s="412"/>
      <c r="VY264" s="412"/>
      <c r="VZ264" s="412"/>
      <c r="WA264" s="412"/>
      <c r="WB264" s="412"/>
      <c r="WC264" s="412"/>
      <c r="WD264" s="412"/>
      <c r="WE264" s="412"/>
      <c r="WF264" s="412"/>
      <c r="WG264" s="412"/>
      <c r="WH264" s="412"/>
      <c r="WI264" s="412"/>
      <c r="WJ264" s="412"/>
      <c r="WK264" s="412"/>
      <c r="WL264" s="412"/>
      <c r="WM264" s="412"/>
      <c r="WN264" s="412"/>
      <c r="WO264" s="412"/>
      <c r="WP264" s="412"/>
      <c r="WQ264" s="412"/>
      <c r="WR264" s="412"/>
      <c r="WS264" s="412"/>
      <c r="WT264" s="412"/>
      <c r="WU264" s="412"/>
      <c r="WV264" s="412"/>
      <c r="WW264" s="412"/>
      <c r="WX264" s="412"/>
      <c r="WY264" s="412"/>
      <c r="WZ264" s="412"/>
      <c r="XA264" s="412"/>
      <c r="XB264" s="412"/>
      <c r="XC264" s="412"/>
      <c r="XD264" s="412"/>
      <c r="XE264" s="412"/>
      <c r="XF264" s="412"/>
      <c r="XG264" s="412"/>
      <c r="XH264" s="412"/>
      <c r="XI264" s="412"/>
      <c r="XJ264" s="412"/>
      <c r="XK264" s="412"/>
      <c r="XL264" s="412"/>
      <c r="XM264" s="412"/>
      <c r="XN264" s="412"/>
      <c r="XO264" s="412"/>
      <c r="XP264" s="412"/>
      <c r="XQ264" s="412"/>
      <c r="XR264" s="412"/>
      <c r="XS264" s="412"/>
      <c r="XT264" s="412"/>
      <c r="XU264" s="412"/>
      <c r="XV264" s="412"/>
      <c r="XW264" s="412"/>
      <c r="XX264" s="412"/>
      <c r="XY264" s="412"/>
      <c r="XZ264" s="412"/>
      <c r="YA264" s="412"/>
      <c r="YB264" s="412"/>
      <c r="YC264" s="412"/>
      <c r="YD264" s="412"/>
      <c r="YE264" s="412"/>
      <c r="YF264" s="412"/>
      <c r="YG264" s="412"/>
      <c r="YH264" s="412"/>
      <c r="YI264" s="412"/>
      <c r="YJ264" s="412"/>
      <c r="YK264" s="412"/>
      <c r="YL264" s="412"/>
      <c r="YM264" s="412"/>
      <c r="YN264" s="412"/>
      <c r="YO264" s="412"/>
      <c r="YP264" s="412"/>
      <c r="YQ264" s="412"/>
      <c r="YR264" s="412"/>
      <c r="YS264" s="412"/>
      <c r="YT264" s="412"/>
      <c r="YU264" s="412"/>
      <c r="YV264" s="412"/>
      <c r="YW264" s="412"/>
      <c r="YX264" s="412"/>
      <c r="YY264" s="412"/>
      <c r="YZ264" s="412"/>
      <c r="ZA264" s="412"/>
      <c r="ZB264" s="412"/>
      <c r="ZC264" s="412"/>
      <c r="ZD264" s="412"/>
      <c r="ZE264" s="412"/>
      <c r="ZF264" s="412"/>
      <c r="ZG264" s="412"/>
      <c r="ZH264" s="412"/>
      <c r="ZI264" s="412"/>
      <c r="ZJ264" s="412"/>
      <c r="ZK264" s="412"/>
      <c r="ZL264" s="412"/>
      <c r="ZM264" s="412"/>
      <c r="ZN264" s="412"/>
      <c r="ZO264" s="412"/>
      <c r="ZP264" s="412"/>
      <c r="ZQ264" s="412"/>
      <c r="ZR264" s="412"/>
      <c r="ZS264" s="412"/>
      <c r="ZT264" s="412"/>
      <c r="ZU264" s="412"/>
      <c r="ZV264" s="412"/>
      <c r="ZW264" s="412"/>
      <c r="ZX264" s="412"/>
      <c r="ZY264" s="412"/>
      <c r="ZZ264" s="412"/>
      <c r="AAA264" s="412"/>
      <c r="AAB264" s="412"/>
      <c r="AAC264" s="412"/>
      <c r="AAD264" s="412"/>
      <c r="AAE264" s="412"/>
      <c r="AAF264" s="412"/>
      <c r="AAG264" s="412"/>
      <c r="AAH264" s="412"/>
      <c r="AAI264" s="412"/>
      <c r="AAJ264" s="412"/>
      <c r="AAK264" s="412"/>
      <c r="AAL264" s="412"/>
      <c r="AAM264" s="412"/>
      <c r="AAN264" s="412"/>
      <c r="AAO264" s="412"/>
      <c r="AAP264" s="412"/>
      <c r="AAQ264" s="412"/>
      <c r="AAR264" s="412"/>
      <c r="AAS264" s="412"/>
      <c r="AAT264" s="412"/>
      <c r="AAU264" s="412"/>
      <c r="AAV264" s="412"/>
      <c r="AAW264" s="412"/>
      <c r="AAX264" s="412"/>
      <c r="AAY264" s="412"/>
      <c r="AAZ264" s="412"/>
      <c r="ABA264" s="412"/>
      <c r="ABB264" s="412"/>
      <c r="ABC264" s="412"/>
      <c r="ABD264" s="412"/>
      <c r="ABE264" s="412"/>
      <c r="ABF264" s="412"/>
      <c r="ABG264" s="412"/>
      <c r="ABH264" s="412"/>
      <c r="ABI264" s="412"/>
      <c r="ABJ264" s="412"/>
      <c r="ABK264" s="412"/>
      <c r="ABL264" s="412"/>
      <c r="ABM264" s="412"/>
      <c r="ABN264" s="412"/>
      <c r="ABO264" s="412"/>
      <c r="ABP264" s="412"/>
      <c r="ABQ264" s="412"/>
      <c r="ABR264" s="412"/>
      <c r="ABS264" s="412"/>
      <c r="ABT264" s="412"/>
      <c r="ABU264" s="412"/>
      <c r="ABV264" s="412"/>
      <c r="ABW264" s="412"/>
      <c r="ABX264" s="412"/>
      <c r="ABY264" s="412"/>
      <c r="ABZ264" s="412"/>
      <c r="ACA264" s="412"/>
      <c r="ACB264" s="412"/>
      <c r="ACC264" s="412"/>
      <c r="ACD264" s="412"/>
      <c r="ACE264" s="412"/>
      <c r="ACF264" s="412"/>
      <c r="ACG264" s="412"/>
      <c r="ACH264" s="412"/>
      <c r="ACI264" s="412"/>
      <c r="ACJ264" s="412"/>
      <c r="ACK264" s="412"/>
      <c r="ACL264" s="412"/>
      <c r="ACM264" s="412"/>
      <c r="ACN264" s="412"/>
      <c r="ACO264" s="412"/>
      <c r="ACP264" s="412"/>
      <c r="ACQ264" s="412"/>
      <c r="ACR264" s="412"/>
      <c r="ACS264" s="412"/>
      <c r="ACT264" s="412"/>
      <c r="ACU264" s="412"/>
      <c r="ACV264" s="412"/>
      <c r="ACW264" s="412"/>
      <c r="ACX264" s="412"/>
      <c r="ACY264" s="412"/>
      <c r="ACZ264" s="412"/>
      <c r="ADA264" s="412"/>
      <c r="ADB264" s="412"/>
      <c r="ADC264" s="412"/>
      <c r="ADD264" s="412"/>
      <c r="ADE264" s="412"/>
      <c r="ADF264" s="412"/>
      <c r="ADG264" s="412"/>
      <c r="ADH264" s="412"/>
      <c r="ADI264" s="412"/>
      <c r="ADJ264" s="412"/>
      <c r="ADK264" s="412"/>
      <c r="ADL264" s="412"/>
      <c r="ADM264" s="412"/>
      <c r="ADN264" s="412"/>
      <c r="ADO264" s="412"/>
      <c r="ADP264" s="412"/>
      <c r="ADQ264" s="412"/>
      <c r="ADR264" s="412"/>
      <c r="ADS264" s="412"/>
      <c r="ADT264" s="412"/>
      <c r="ADU264" s="412"/>
      <c r="ADV264" s="412"/>
      <c r="ADW264" s="412"/>
      <c r="ADX264" s="412"/>
      <c r="ADY264" s="412"/>
      <c r="ADZ264" s="412"/>
      <c r="AEA264" s="412"/>
      <c r="AEB264" s="412"/>
      <c r="AEC264" s="412"/>
      <c r="AED264" s="412"/>
      <c r="AEE264" s="412"/>
      <c r="AEF264" s="412"/>
      <c r="AEG264" s="412"/>
      <c r="AEH264" s="412"/>
      <c r="AEI264" s="412"/>
      <c r="AEJ264" s="412"/>
      <c r="AEK264" s="412"/>
      <c r="AEL264" s="412"/>
      <c r="AEM264" s="412"/>
      <c r="AEN264" s="412"/>
      <c r="AEO264" s="412"/>
      <c r="AEP264" s="412"/>
      <c r="AEQ264" s="412"/>
      <c r="AER264" s="412"/>
      <c r="AES264" s="412"/>
      <c r="AET264" s="412"/>
      <c r="AEU264" s="412"/>
      <c r="AEV264" s="412"/>
      <c r="AEW264" s="412"/>
      <c r="AEX264" s="412"/>
      <c r="AEY264" s="412"/>
      <c r="AEZ264" s="412"/>
      <c r="AFA264" s="412"/>
      <c r="AFB264" s="412"/>
      <c r="AFC264" s="412"/>
      <c r="AFD264" s="412"/>
      <c r="AFE264" s="412"/>
      <c r="AFF264" s="412"/>
      <c r="AFG264" s="412"/>
      <c r="AFH264" s="412"/>
      <c r="AFI264" s="412"/>
      <c r="AFJ264" s="412"/>
      <c r="AFK264" s="412"/>
      <c r="AFL264" s="412"/>
      <c r="AFM264" s="412"/>
      <c r="AFN264" s="412"/>
      <c r="AFO264" s="412"/>
      <c r="AFP264" s="412"/>
      <c r="AFQ264" s="412"/>
      <c r="AFR264" s="412"/>
      <c r="AFS264" s="412"/>
      <c r="AFT264" s="412"/>
      <c r="AFU264" s="412"/>
      <c r="AFV264" s="412"/>
      <c r="AFW264" s="412"/>
      <c r="AFX264" s="412"/>
      <c r="AFY264" s="412"/>
      <c r="AFZ264" s="412"/>
      <c r="AGA264" s="412"/>
      <c r="AGB264" s="412"/>
      <c r="AGC264" s="412"/>
      <c r="AGD264" s="412"/>
      <c r="AGE264" s="412"/>
      <c r="AGF264" s="412"/>
      <c r="AGG264" s="412"/>
      <c r="AGH264" s="412"/>
      <c r="AGI264" s="412"/>
      <c r="AGJ264" s="412"/>
      <c r="AGK264" s="412"/>
      <c r="AGL264" s="412"/>
      <c r="AGM264" s="412"/>
      <c r="AGN264" s="412"/>
      <c r="AGO264" s="412"/>
      <c r="AGP264" s="412"/>
      <c r="AGQ264" s="412"/>
      <c r="AGR264" s="412"/>
      <c r="AGS264" s="412"/>
      <c r="AGT264" s="412"/>
      <c r="AGU264" s="412"/>
      <c r="AGV264" s="412"/>
      <c r="AGW264" s="412"/>
      <c r="AGX264" s="412"/>
      <c r="AGY264" s="412"/>
      <c r="AGZ264" s="412"/>
      <c r="AHA264" s="412"/>
      <c r="AHB264" s="412"/>
      <c r="AHC264" s="412"/>
      <c r="AHD264" s="412"/>
      <c r="AHE264" s="412"/>
      <c r="AHF264" s="412"/>
      <c r="AHG264" s="412"/>
      <c r="AHH264" s="412"/>
      <c r="AHI264" s="412"/>
      <c r="AHJ264" s="412"/>
      <c r="AHK264" s="412"/>
      <c r="AHL264" s="412"/>
      <c r="AHM264" s="412"/>
      <c r="AHN264" s="412"/>
      <c r="AHO264" s="412"/>
      <c r="AHP264" s="412"/>
      <c r="AHQ264" s="412"/>
      <c r="AHR264" s="412"/>
      <c r="AHS264" s="412"/>
      <c r="AHT264" s="412"/>
      <c r="AHU264" s="412"/>
      <c r="AHV264" s="412"/>
      <c r="AHW264" s="412"/>
      <c r="AHX264" s="412"/>
      <c r="AHY264" s="412"/>
      <c r="AHZ264" s="412"/>
      <c r="AIA264" s="412"/>
      <c r="AIB264" s="412"/>
      <c r="AIC264" s="412"/>
      <c r="AID264" s="412"/>
      <c r="AIE264" s="412"/>
      <c r="AIF264" s="412"/>
      <c r="AIG264" s="412"/>
      <c r="AIH264" s="412"/>
      <c r="AII264" s="412"/>
      <c r="AIJ264" s="412"/>
      <c r="AIK264" s="412"/>
      <c r="AIL264" s="412"/>
      <c r="AIM264" s="412"/>
      <c r="AIN264" s="412"/>
      <c r="AIO264" s="412"/>
      <c r="AIP264" s="412"/>
      <c r="AIQ264" s="412"/>
      <c r="AIR264" s="412"/>
      <c r="AIS264" s="412"/>
      <c r="AIT264" s="412"/>
      <c r="AIU264" s="412"/>
      <c r="AIV264" s="412"/>
      <c r="AIW264" s="412"/>
      <c r="AIX264" s="412"/>
      <c r="AIY264" s="412"/>
      <c r="AIZ264" s="412"/>
      <c r="AJA264" s="412"/>
      <c r="AJB264" s="412"/>
      <c r="AJC264" s="412"/>
      <c r="AJD264" s="412"/>
      <c r="AJE264" s="412"/>
      <c r="AJF264" s="412"/>
      <c r="AJG264" s="412"/>
      <c r="AJH264" s="412"/>
      <c r="AJI264" s="412"/>
      <c r="AJJ264" s="412"/>
      <c r="AJK264" s="412"/>
      <c r="AJL264" s="412"/>
      <c r="AJM264" s="412"/>
      <c r="AJN264" s="412"/>
      <c r="AJO264" s="412"/>
      <c r="AJP264" s="412"/>
      <c r="AJQ264" s="412"/>
      <c r="AJR264" s="412"/>
      <c r="AJS264" s="412"/>
      <c r="AJT264" s="412"/>
      <c r="AJU264" s="412"/>
      <c r="AJV264" s="412"/>
      <c r="AJW264" s="412"/>
      <c r="AJX264" s="412"/>
      <c r="AJY264" s="412"/>
      <c r="AJZ264" s="412"/>
      <c r="AKA264" s="412"/>
      <c r="AKB264" s="412"/>
      <c r="AKC264" s="412"/>
      <c r="AKD264" s="412"/>
      <c r="AKE264" s="412"/>
      <c r="AKF264" s="412"/>
      <c r="AKG264" s="412"/>
      <c r="AKH264" s="412"/>
      <c r="AKI264" s="412"/>
      <c r="AKJ264" s="412"/>
      <c r="AKK264" s="412"/>
      <c r="AKL264" s="412"/>
      <c r="AKM264" s="412"/>
      <c r="AKN264" s="412"/>
      <c r="AKO264" s="412"/>
      <c r="AKP264" s="412"/>
      <c r="AKQ264" s="412"/>
      <c r="AKR264" s="412"/>
      <c r="AKS264" s="412"/>
      <c r="AKT264" s="412"/>
      <c r="AKU264" s="412"/>
      <c r="AKV264" s="412"/>
      <c r="AKW264" s="412"/>
      <c r="AKX264" s="412"/>
      <c r="AKY264" s="412"/>
      <c r="AKZ264" s="412"/>
      <c r="ALA264" s="412"/>
      <c r="ALB264" s="412"/>
      <c r="ALC264" s="412"/>
      <c r="ALD264" s="412"/>
      <c r="ALE264" s="412"/>
      <c r="ALF264" s="412"/>
      <c r="ALG264" s="412"/>
      <c r="ALH264" s="412"/>
      <c r="ALI264" s="412"/>
      <c r="ALJ264" s="412"/>
      <c r="ALK264" s="412"/>
      <c r="ALL264" s="412"/>
      <c r="ALM264" s="412"/>
      <c r="ALN264" s="412"/>
      <c r="ALO264" s="412"/>
      <c r="ALP264" s="412"/>
      <c r="ALQ264" s="412"/>
      <c r="ALR264" s="412"/>
      <c r="ALS264" s="412"/>
      <c r="ALT264" s="412"/>
      <c r="ALU264" s="412"/>
      <c r="ALV264" s="412"/>
      <c r="ALW264" s="412"/>
      <c r="ALX264" s="412"/>
      <c r="ALY264" s="412"/>
      <c r="ALZ264" s="412"/>
      <c r="AMA264" s="412"/>
      <c r="AMB264" s="412"/>
      <c r="AMC264" s="412"/>
      <c r="AMD264" s="412"/>
      <c r="AME264" s="412"/>
      <c r="AMF264" s="412"/>
      <c r="AMG264" s="412"/>
      <c r="AMH264" s="412"/>
      <c r="AMI264" s="412"/>
      <c r="AMJ264" s="412"/>
      <c r="AMK264" s="412"/>
      <c r="AML264" s="412"/>
      <c r="AMM264" s="412"/>
      <c r="AMN264" s="412"/>
      <c r="AMO264" s="412"/>
      <c r="AMP264" s="412"/>
      <c r="AMQ264" s="412"/>
      <c r="AMR264" s="412"/>
      <c r="AMS264" s="412"/>
      <c r="AMT264" s="412"/>
      <c r="AMU264" s="412"/>
      <c r="AMV264" s="412"/>
      <c r="AMW264" s="412"/>
      <c r="AMX264" s="412"/>
      <c r="AMY264" s="412"/>
      <c r="AMZ264" s="412"/>
      <c r="ANA264" s="412"/>
      <c r="ANB264" s="412"/>
      <c r="ANC264" s="412"/>
      <c r="AND264" s="412"/>
      <c r="ANE264" s="412"/>
      <c r="ANF264" s="412"/>
      <c r="ANG264" s="412"/>
      <c r="ANH264" s="412"/>
      <c r="ANI264" s="412"/>
      <c r="ANJ264" s="412"/>
      <c r="ANK264" s="412"/>
      <c r="ANL264" s="412"/>
      <c r="ANM264" s="412"/>
      <c r="ANN264" s="412"/>
      <c r="ANO264" s="412"/>
      <c r="ANP264" s="412"/>
      <c r="ANQ264" s="412"/>
      <c r="ANR264" s="412"/>
      <c r="ANS264" s="412"/>
      <c r="ANT264" s="412"/>
      <c r="ANU264" s="412"/>
      <c r="ANV264" s="412"/>
      <c r="ANW264" s="412"/>
      <c r="ANX264" s="412"/>
      <c r="ANY264" s="412"/>
      <c r="ANZ264" s="412"/>
      <c r="AOA264" s="412"/>
      <c r="AOB264" s="412"/>
      <c r="AOC264" s="412"/>
      <c r="AOD264" s="412"/>
      <c r="AOE264" s="412"/>
      <c r="AOF264" s="412"/>
      <c r="AOG264" s="412"/>
      <c r="AOH264" s="412"/>
      <c r="AOI264" s="412"/>
      <c r="AOJ264" s="412"/>
      <c r="AOK264" s="412"/>
      <c r="AOL264" s="412"/>
      <c r="AOM264" s="412"/>
      <c r="AON264" s="412"/>
      <c r="AOO264" s="412"/>
      <c r="AOP264" s="412"/>
      <c r="AOQ264" s="412"/>
      <c r="AOR264" s="412"/>
      <c r="AOS264" s="412"/>
      <c r="AOT264" s="412"/>
      <c r="AOU264" s="412"/>
      <c r="AOV264" s="412"/>
      <c r="AOW264" s="412"/>
      <c r="AOX264" s="412"/>
      <c r="AOY264" s="412"/>
      <c r="AOZ264" s="412"/>
      <c r="APA264" s="412"/>
      <c r="APB264" s="412"/>
      <c r="APC264" s="412"/>
      <c r="APD264" s="412"/>
      <c r="APE264" s="412"/>
      <c r="APF264" s="412"/>
      <c r="APG264" s="412"/>
      <c r="APH264" s="412"/>
      <c r="API264" s="412"/>
      <c r="APJ264" s="412"/>
      <c r="APK264" s="412"/>
      <c r="APL264" s="412"/>
      <c r="APM264" s="412"/>
      <c r="APN264" s="412"/>
      <c r="APO264" s="412"/>
      <c r="APP264" s="412"/>
      <c r="APQ264" s="412"/>
      <c r="APR264" s="412"/>
      <c r="APS264" s="412"/>
      <c r="APT264" s="412"/>
      <c r="APU264" s="412"/>
      <c r="APV264" s="412"/>
      <c r="APW264" s="412"/>
      <c r="APX264" s="412"/>
      <c r="APY264" s="412"/>
      <c r="APZ264" s="412"/>
      <c r="AQA264" s="412"/>
      <c r="AQB264" s="412"/>
      <c r="AQC264" s="412"/>
      <c r="AQD264" s="412"/>
      <c r="AQE264" s="412"/>
      <c r="AQF264" s="412"/>
      <c r="AQG264" s="412"/>
      <c r="AQH264" s="412"/>
      <c r="AQI264" s="412"/>
      <c r="AQJ264" s="412"/>
      <c r="AQK264" s="412"/>
      <c r="AQL264" s="412"/>
      <c r="AQM264" s="412"/>
      <c r="AQN264" s="412"/>
      <c r="AQO264" s="412"/>
      <c r="AQP264" s="412"/>
      <c r="AQQ264" s="412"/>
      <c r="AQR264" s="412"/>
      <c r="AQS264" s="412"/>
      <c r="AQT264" s="412"/>
      <c r="AQU264" s="412"/>
      <c r="AQV264" s="412"/>
      <c r="AQW264" s="412"/>
      <c r="AQX264" s="412"/>
      <c r="AQY264" s="412"/>
      <c r="AQZ264" s="412"/>
      <c r="ARA264" s="412"/>
      <c r="ARB264" s="412"/>
      <c r="ARC264" s="412"/>
      <c r="ARD264" s="412"/>
      <c r="ARE264" s="412"/>
      <c r="ARF264" s="412"/>
      <c r="ARG264" s="412"/>
      <c r="ARH264" s="412"/>
      <c r="ARI264" s="412"/>
      <c r="ARJ264" s="412"/>
      <c r="ARK264" s="412"/>
      <c r="ARL264" s="412"/>
      <c r="ARM264" s="412"/>
      <c r="ARN264" s="412"/>
      <c r="ARO264" s="412"/>
      <c r="ARP264" s="412"/>
      <c r="ARQ264" s="412"/>
      <c r="ARR264" s="412"/>
      <c r="ARS264" s="412"/>
      <c r="ART264" s="412"/>
      <c r="ARU264" s="412"/>
      <c r="ARV264" s="412"/>
      <c r="ARW264" s="412"/>
      <c r="ARX264" s="412"/>
      <c r="ARY264" s="412"/>
      <c r="ARZ264" s="412"/>
      <c r="ASA264" s="412"/>
      <c r="ASB264" s="412"/>
      <c r="ASC264" s="412"/>
      <c r="ASD264" s="412"/>
      <c r="ASE264" s="412"/>
      <c r="ASF264" s="412"/>
      <c r="ASG264" s="412"/>
      <c r="ASH264" s="412"/>
      <c r="ASI264" s="412"/>
      <c r="ASJ264" s="412"/>
      <c r="ASK264" s="412"/>
      <c r="ASL264" s="412"/>
      <c r="ASM264" s="412"/>
      <c r="ASN264" s="412"/>
      <c r="ASO264" s="412"/>
      <c r="ASP264" s="412"/>
      <c r="ASQ264" s="412"/>
      <c r="ASR264" s="412"/>
      <c r="ASS264" s="412"/>
      <c r="AST264" s="412"/>
      <c r="ASU264" s="412"/>
      <c r="ASV264" s="412"/>
      <c r="ASW264" s="412"/>
      <c r="ASX264" s="412"/>
      <c r="ASY264" s="412"/>
      <c r="ASZ264" s="412"/>
      <c r="ATA264" s="412"/>
      <c r="ATB264" s="412"/>
      <c r="ATC264" s="412"/>
      <c r="ATD264" s="412"/>
      <c r="ATE264" s="412"/>
      <c r="ATF264" s="412"/>
      <c r="ATG264" s="412"/>
      <c r="ATH264" s="412"/>
      <c r="ATI264" s="412"/>
      <c r="ATJ264" s="412"/>
      <c r="ATK264" s="412"/>
      <c r="ATL264" s="412"/>
      <c r="ATM264" s="412"/>
      <c r="ATN264" s="412"/>
      <c r="ATO264" s="412"/>
      <c r="ATP264" s="412"/>
      <c r="ATQ264" s="412"/>
      <c r="ATR264" s="412"/>
      <c r="ATS264" s="412"/>
      <c r="ATT264" s="412"/>
      <c r="ATU264" s="412"/>
      <c r="ATV264" s="412"/>
      <c r="ATW264" s="412"/>
      <c r="ATX264" s="412"/>
      <c r="ATY264" s="412"/>
      <c r="ATZ264" s="412"/>
      <c r="AUA264" s="412"/>
      <c r="AUB264" s="412"/>
      <c r="AUC264" s="412"/>
      <c r="AUD264" s="412"/>
      <c r="AUE264" s="412"/>
      <c r="AUF264" s="412"/>
      <c r="AUG264" s="412"/>
      <c r="AUH264" s="412"/>
      <c r="AUI264" s="412"/>
      <c r="AUJ264" s="412"/>
      <c r="AUK264" s="412"/>
      <c r="AUL264" s="412"/>
      <c r="AUM264" s="412"/>
      <c r="AUN264" s="412"/>
      <c r="AUO264" s="412"/>
      <c r="AUP264" s="412"/>
      <c r="AUQ264" s="412"/>
      <c r="AUR264" s="412"/>
      <c r="AUS264" s="412"/>
      <c r="AUT264" s="412"/>
      <c r="AUU264" s="412"/>
      <c r="AUV264" s="412"/>
      <c r="AUW264" s="412"/>
      <c r="AUX264" s="412"/>
      <c r="AUY264" s="412"/>
      <c r="AUZ264" s="412"/>
      <c r="AVA264" s="412"/>
      <c r="AVB264" s="412"/>
      <c r="AVC264" s="412"/>
      <c r="AVD264" s="412"/>
      <c r="AVE264" s="412"/>
      <c r="AVF264" s="412"/>
      <c r="AVG264" s="412"/>
      <c r="AVH264" s="412"/>
      <c r="AVI264" s="412"/>
      <c r="AVJ264" s="412"/>
      <c r="AVK264" s="412"/>
      <c r="AVL264" s="412"/>
      <c r="AVM264" s="412"/>
      <c r="AVN264" s="412"/>
      <c r="AVO264" s="412"/>
      <c r="AVP264" s="412"/>
      <c r="AVQ264" s="412"/>
      <c r="AVR264" s="412"/>
      <c r="AVS264" s="412"/>
      <c r="AVT264" s="412"/>
      <c r="AVU264" s="412"/>
      <c r="AVV264" s="412"/>
      <c r="AVW264" s="412"/>
      <c r="AVX264" s="412"/>
      <c r="AVY264" s="412"/>
      <c r="AVZ264" s="412"/>
      <c r="AWA264" s="412"/>
      <c r="AWB264" s="412"/>
      <c r="AWC264" s="412"/>
      <c r="AWD264" s="412"/>
      <c r="AWE264" s="412"/>
      <c r="AWF264" s="412"/>
      <c r="AWG264" s="412"/>
      <c r="AWH264" s="412"/>
      <c r="AWI264" s="412"/>
      <c r="AWJ264" s="412"/>
      <c r="AWK264" s="412"/>
      <c r="AWL264" s="412"/>
      <c r="AWM264" s="412"/>
      <c r="AWN264" s="412"/>
      <c r="AWO264" s="412"/>
      <c r="AWP264" s="412"/>
      <c r="AWQ264" s="412"/>
      <c r="AWR264" s="412"/>
      <c r="AWS264" s="412"/>
      <c r="AWT264" s="412"/>
      <c r="AWU264" s="412"/>
      <c r="AWV264" s="412"/>
      <c r="AWW264" s="412"/>
      <c r="AWX264" s="412"/>
      <c r="AWY264" s="412"/>
      <c r="AWZ264" s="412"/>
      <c r="AXA264" s="412"/>
      <c r="AXB264" s="412"/>
      <c r="AXC264" s="412"/>
      <c r="AXD264" s="412"/>
      <c r="AXE264" s="412"/>
      <c r="AXF264" s="412"/>
      <c r="AXG264" s="412"/>
      <c r="AXH264" s="412"/>
      <c r="AXI264" s="412"/>
      <c r="AXJ264" s="412"/>
      <c r="AXK264" s="412"/>
      <c r="AXL264" s="412"/>
      <c r="AXM264" s="412"/>
      <c r="AXN264" s="412"/>
      <c r="AXO264" s="412"/>
      <c r="AXP264" s="412"/>
      <c r="AXQ264" s="412"/>
      <c r="AXR264" s="412"/>
      <c r="AXS264" s="412"/>
      <c r="AXT264" s="412"/>
      <c r="AXU264" s="412"/>
      <c r="AXV264" s="412"/>
      <c r="AXW264" s="412"/>
      <c r="AXX264" s="412"/>
      <c r="AXY264" s="412"/>
      <c r="AXZ264" s="412"/>
      <c r="AYA264" s="412"/>
      <c r="AYB264" s="412"/>
      <c r="AYC264" s="412"/>
      <c r="AYD264" s="412"/>
      <c r="AYE264" s="412"/>
      <c r="AYF264" s="412"/>
      <c r="AYG264" s="412"/>
      <c r="AYH264" s="412"/>
      <c r="AYI264" s="412"/>
      <c r="AYJ264" s="412"/>
      <c r="AYK264" s="412"/>
      <c r="AYL264" s="412"/>
      <c r="AYM264" s="412"/>
      <c r="AYN264" s="412"/>
      <c r="AYO264" s="412"/>
      <c r="AYP264" s="412"/>
      <c r="AYQ264" s="412"/>
      <c r="AYR264" s="412"/>
      <c r="AYS264" s="412"/>
      <c r="AYT264" s="412"/>
      <c r="AYU264" s="412"/>
      <c r="AYV264" s="412"/>
      <c r="AYW264" s="412"/>
      <c r="AYX264" s="412"/>
      <c r="AYY264" s="412"/>
      <c r="AYZ264" s="412"/>
      <c r="AZA264" s="412"/>
      <c r="AZB264" s="412"/>
      <c r="AZC264" s="412"/>
      <c r="AZD264" s="412"/>
      <c r="AZE264" s="412"/>
      <c r="AZF264" s="412"/>
      <c r="AZG264" s="412"/>
      <c r="AZH264" s="412"/>
      <c r="AZI264" s="412"/>
      <c r="AZJ264" s="412"/>
      <c r="AZK264" s="412"/>
      <c r="AZL264" s="412"/>
      <c r="AZM264" s="412"/>
      <c r="AZN264" s="412"/>
      <c r="AZO264" s="412"/>
      <c r="AZP264" s="412"/>
      <c r="AZQ264" s="412"/>
      <c r="AZR264" s="412"/>
      <c r="AZS264" s="412"/>
      <c r="AZT264" s="412"/>
      <c r="AZU264" s="412"/>
      <c r="AZV264" s="412"/>
      <c r="AZW264" s="412"/>
      <c r="AZX264" s="412"/>
      <c r="AZY264" s="412"/>
      <c r="AZZ264" s="412"/>
      <c r="BAA264" s="412"/>
      <c r="BAB264" s="412"/>
      <c r="BAC264" s="412"/>
      <c r="BAD264" s="412"/>
      <c r="BAE264" s="412"/>
      <c r="BAF264" s="412"/>
      <c r="BAG264" s="412"/>
      <c r="BAH264" s="412"/>
      <c r="BAI264" s="412"/>
      <c r="BAJ264" s="412"/>
      <c r="BAK264" s="412"/>
      <c r="BAL264" s="412"/>
      <c r="BAM264" s="412"/>
      <c r="BAN264" s="412"/>
      <c r="BAO264" s="412"/>
      <c r="BAP264" s="412"/>
      <c r="BAQ264" s="412"/>
      <c r="BAR264" s="412"/>
      <c r="BAS264" s="412"/>
      <c r="BAT264" s="412"/>
      <c r="BAU264" s="412"/>
      <c r="BAV264" s="412"/>
      <c r="BAW264" s="412"/>
      <c r="BAX264" s="412"/>
      <c r="BAY264" s="412"/>
      <c r="BAZ264" s="412"/>
      <c r="BBA264" s="412"/>
      <c r="BBB264" s="412"/>
      <c r="BBC264" s="412"/>
      <c r="BBD264" s="412"/>
      <c r="BBE264" s="412"/>
      <c r="BBF264" s="412"/>
      <c r="BBG264" s="412"/>
      <c r="BBH264" s="412"/>
      <c r="BBI264" s="412"/>
      <c r="BBJ264" s="412"/>
      <c r="BBK264" s="412"/>
      <c r="BBL264" s="412"/>
      <c r="BBM264" s="412"/>
      <c r="BBN264" s="412"/>
      <c r="BBO264" s="412"/>
      <c r="BBP264" s="412"/>
      <c r="BBQ264" s="412"/>
      <c r="BBR264" s="412"/>
      <c r="BBS264" s="412"/>
      <c r="BBT264" s="412"/>
      <c r="BBU264" s="412"/>
      <c r="BBV264" s="412"/>
      <c r="BBW264" s="412"/>
      <c r="BBX264" s="412"/>
      <c r="BBY264" s="412"/>
      <c r="BBZ264" s="412"/>
      <c r="BCA264" s="412"/>
      <c r="BCB264" s="412"/>
      <c r="BCC264" s="412"/>
      <c r="BCD264" s="412"/>
      <c r="BCE264" s="412"/>
      <c r="BCF264" s="412"/>
      <c r="BCG264" s="412"/>
      <c r="BCH264" s="412"/>
      <c r="BCI264" s="412"/>
      <c r="BCJ264" s="412"/>
      <c r="BCK264" s="412"/>
      <c r="BCL264" s="412"/>
      <c r="BCM264" s="412"/>
      <c r="BCN264" s="412"/>
      <c r="BCO264" s="412"/>
      <c r="BCP264" s="412"/>
      <c r="BCQ264" s="412"/>
      <c r="BCR264" s="412"/>
      <c r="BCS264" s="412"/>
      <c r="BCT264" s="412"/>
      <c r="BCU264" s="412"/>
      <c r="BCV264" s="412"/>
      <c r="BCW264" s="412"/>
      <c r="BCX264" s="412"/>
      <c r="BCY264" s="412"/>
      <c r="BCZ264" s="412"/>
      <c r="BDA264" s="412"/>
      <c r="BDB264" s="412"/>
      <c r="BDC264" s="412"/>
      <c r="BDD264" s="412"/>
      <c r="BDE264" s="412"/>
      <c r="BDF264" s="412"/>
      <c r="BDG264" s="412"/>
      <c r="BDH264" s="412"/>
      <c r="BDI264" s="412"/>
      <c r="BDJ264" s="412"/>
      <c r="BDK264" s="412"/>
      <c r="BDL264" s="412"/>
      <c r="BDM264" s="412"/>
      <c r="BDN264" s="412"/>
      <c r="BDO264" s="412"/>
      <c r="BDP264" s="412"/>
      <c r="BDQ264" s="412"/>
      <c r="BDR264" s="412"/>
      <c r="BDS264" s="412"/>
      <c r="BDT264" s="412"/>
      <c r="BDU264" s="412"/>
      <c r="BDV264" s="412"/>
      <c r="BDW264" s="412"/>
      <c r="BDX264" s="412"/>
      <c r="BDY264" s="412"/>
      <c r="BDZ264" s="412"/>
      <c r="BEA264" s="412"/>
      <c r="BEB264" s="412"/>
      <c r="BEC264" s="412"/>
      <c r="BED264" s="412"/>
      <c r="BEE264" s="412"/>
      <c r="BEF264" s="412"/>
      <c r="BEG264" s="412"/>
      <c r="BEH264" s="412"/>
      <c r="BEI264" s="412"/>
      <c r="BEJ264" s="412"/>
      <c r="BEK264" s="412"/>
      <c r="BEL264" s="412"/>
      <c r="BEM264" s="412"/>
      <c r="BEN264" s="412"/>
      <c r="BEO264" s="412"/>
      <c r="BEP264" s="412"/>
      <c r="BEQ264" s="412"/>
      <c r="BER264" s="412"/>
      <c r="BES264" s="412"/>
      <c r="BET264" s="412"/>
      <c r="BEU264" s="412"/>
      <c r="BEV264" s="412"/>
      <c r="BEW264" s="412"/>
      <c r="BEX264" s="412"/>
      <c r="BEY264" s="412"/>
      <c r="BEZ264" s="412"/>
      <c r="BFA264" s="412"/>
      <c r="BFB264" s="412"/>
      <c r="BFC264" s="412"/>
      <c r="BFD264" s="412"/>
      <c r="BFE264" s="412"/>
      <c r="BFF264" s="412"/>
      <c r="BFG264" s="412"/>
      <c r="BFH264" s="412"/>
      <c r="BFI264" s="412"/>
      <c r="BFJ264" s="412"/>
      <c r="BFK264" s="412"/>
      <c r="BFL264" s="412"/>
      <c r="BFM264" s="412"/>
      <c r="BFN264" s="412"/>
      <c r="BFO264" s="412"/>
      <c r="BFP264" s="412"/>
      <c r="BFQ264" s="412"/>
      <c r="BFR264" s="412"/>
      <c r="BFS264" s="412"/>
      <c r="BFT264" s="412"/>
      <c r="BFU264" s="412"/>
      <c r="BFV264" s="412"/>
      <c r="BFW264" s="412"/>
      <c r="BFX264" s="412"/>
      <c r="BFY264" s="412"/>
      <c r="BFZ264" s="412"/>
      <c r="BGA264" s="412"/>
      <c r="BGB264" s="412"/>
      <c r="BGC264" s="412"/>
      <c r="BGD264" s="412"/>
      <c r="BGE264" s="412"/>
      <c r="BGF264" s="412"/>
      <c r="BGG264" s="412"/>
      <c r="BGH264" s="412"/>
      <c r="BGI264" s="412"/>
      <c r="BGJ264" s="412"/>
      <c r="BGK264" s="412"/>
      <c r="BGL264" s="412"/>
      <c r="BGM264" s="412"/>
      <c r="BGN264" s="412"/>
      <c r="BGO264" s="412"/>
      <c r="BGP264" s="412"/>
      <c r="BGQ264" s="412"/>
      <c r="BGR264" s="412"/>
      <c r="BGS264" s="412"/>
      <c r="BGT264" s="412"/>
      <c r="BGU264" s="412"/>
      <c r="BGV264" s="412"/>
      <c r="BGW264" s="412"/>
      <c r="BGX264" s="412"/>
      <c r="BGY264" s="412"/>
      <c r="BGZ264" s="412"/>
      <c r="BHA264" s="412"/>
      <c r="BHB264" s="412"/>
      <c r="BHC264" s="412"/>
      <c r="BHD264" s="412"/>
      <c r="BHE264" s="412"/>
      <c r="BHF264" s="412"/>
      <c r="BHG264" s="412"/>
      <c r="BHH264" s="412"/>
      <c r="BHI264" s="412"/>
      <c r="BHJ264" s="412"/>
      <c r="BHK264" s="412"/>
      <c r="BHL264" s="412"/>
      <c r="BHM264" s="412"/>
      <c r="BHN264" s="412"/>
      <c r="BHO264" s="412"/>
      <c r="BHP264" s="412"/>
      <c r="BHQ264" s="412"/>
      <c r="BHR264" s="412"/>
      <c r="BHS264" s="412"/>
      <c r="BHT264" s="412"/>
      <c r="BHU264" s="412"/>
      <c r="BHV264" s="412"/>
      <c r="BHW264" s="412"/>
      <c r="BHX264" s="412"/>
      <c r="BHY264" s="412"/>
      <c r="BHZ264" s="412"/>
      <c r="BIA264" s="412"/>
      <c r="BIB264" s="412"/>
      <c r="BIC264" s="412"/>
      <c r="BID264" s="412"/>
      <c r="BIE264" s="412"/>
      <c r="BIF264" s="412"/>
      <c r="BIG264" s="412"/>
      <c r="BIH264" s="412"/>
      <c r="BII264" s="412"/>
      <c r="BIJ264" s="412"/>
      <c r="BIK264" s="412"/>
      <c r="BIL264" s="412"/>
      <c r="BIM264" s="412"/>
      <c r="BIN264" s="412"/>
      <c r="BIO264" s="412"/>
      <c r="BIP264" s="412"/>
      <c r="BIQ264" s="412"/>
      <c r="BIR264" s="412"/>
      <c r="BIS264" s="412"/>
      <c r="BIT264" s="412"/>
      <c r="BIU264" s="412"/>
      <c r="BIV264" s="412"/>
      <c r="BIW264" s="412"/>
      <c r="BIX264" s="412"/>
      <c r="BIY264" s="412"/>
      <c r="BIZ264" s="412"/>
      <c r="BJA264" s="412"/>
      <c r="BJB264" s="412"/>
      <c r="BJC264" s="412"/>
      <c r="BJD264" s="412"/>
      <c r="BJE264" s="412"/>
      <c r="BJF264" s="412"/>
      <c r="BJG264" s="412"/>
      <c r="BJH264" s="412"/>
      <c r="BJI264" s="412"/>
      <c r="BJJ264" s="412"/>
      <c r="BJK264" s="412"/>
      <c r="BJL264" s="412"/>
      <c r="BJM264" s="412"/>
      <c r="BJN264" s="412"/>
      <c r="BJO264" s="412"/>
      <c r="BJP264" s="412"/>
      <c r="BJQ264" s="412"/>
      <c r="BJR264" s="412"/>
      <c r="BJS264" s="412"/>
      <c r="BJT264" s="412"/>
      <c r="BJU264" s="412"/>
      <c r="BJV264" s="412"/>
      <c r="BJW264" s="412"/>
      <c r="BJX264" s="412"/>
      <c r="BJY264" s="412"/>
      <c r="BJZ264" s="412"/>
      <c r="BKA264" s="412"/>
      <c r="BKB264" s="412"/>
      <c r="BKC264" s="412"/>
      <c r="BKD264" s="412"/>
      <c r="BKE264" s="412"/>
      <c r="BKF264" s="412"/>
      <c r="BKG264" s="412"/>
      <c r="BKH264" s="412"/>
      <c r="BKI264" s="412"/>
      <c r="BKJ264" s="412"/>
      <c r="BKK264" s="412"/>
      <c r="BKL264" s="412"/>
      <c r="BKM264" s="412"/>
      <c r="BKN264" s="412"/>
      <c r="BKO264" s="412"/>
      <c r="BKP264" s="412"/>
      <c r="BKQ264" s="412"/>
      <c r="BKR264" s="412"/>
      <c r="BKS264" s="412"/>
      <c r="BKT264" s="412"/>
      <c r="BKU264" s="412"/>
      <c r="BKV264" s="412"/>
      <c r="BKW264" s="412"/>
      <c r="BKX264" s="412"/>
      <c r="BKY264" s="412"/>
      <c r="BKZ264" s="412"/>
      <c r="BLA264" s="412"/>
      <c r="BLB264" s="412"/>
      <c r="BLC264" s="412"/>
      <c r="BLD264" s="412"/>
      <c r="BLE264" s="412"/>
      <c r="BLF264" s="412"/>
      <c r="BLG264" s="412"/>
      <c r="BLH264" s="412"/>
      <c r="BLI264" s="412"/>
      <c r="BLJ264" s="412"/>
      <c r="BLK264" s="412"/>
      <c r="BLL264" s="412"/>
      <c r="BLM264" s="412"/>
      <c r="BLN264" s="412"/>
      <c r="BLO264" s="412"/>
      <c r="BLP264" s="412"/>
      <c r="BLQ264" s="412"/>
      <c r="BLR264" s="412"/>
      <c r="BLS264" s="412"/>
      <c r="BLT264" s="412"/>
      <c r="BLU264" s="412"/>
      <c r="BLV264" s="412"/>
      <c r="BLW264" s="412"/>
      <c r="BLX264" s="412"/>
      <c r="BLY264" s="412"/>
      <c r="BLZ264" s="412"/>
      <c r="BMA264" s="412"/>
      <c r="BMB264" s="412"/>
      <c r="BMC264" s="412"/>
      <c r="BMD264" s="412"/>
      <c r="BME264" s="412"/>
      <c r="BMF264" s="412"/>
      <c r="BMG264" s="412"/>
      <c r="BMH264" s="412"/>
      <c r="BMI264" s="412"/>
      <c r="BMJ264" s="412"/>
      <c r="BMK264" s="412"/>
      <c r="BML264" s="412"/>
      <c r="BMM264" s="412"/>
      <c r="BMN264" s="412"/>
      <c r="BMO264" s="412"/>
      <c r="BMP264" s="412"/>
      <c r="BMQ264" s="412"/>
      <c r="BMR264" s="412"/>
      <c r="BMS264" s="412"/>
      <c r="BMT264" s="412"/>
      <c r="BMU264" s="412"/>
      <c r="BMV264" s="412"/>
      <c r="BMW264" s="412"/>
      <c r="BMX264" s="412"/>
      <c r="BMY264" s="412"/>
      <c r="BMZ264" s="412"/>
      <c r="BNA264" s="412"/>
      <c r="BNB264" s="412"/>
      <c r="BNC264" s="412"/>
      <c r="BND264" s="412"/>
      <c r="BNE264" s="412"/>
      <c r="BNF264" s="412"/>
      <c r="BNG264" s="412"/>
      <c r="BNH264" s="412"/>
      <c r="BNI264" s="412"/>
      <c r="BNJ264" s="412"/>
      <c r="BNK264" s="412"/>
      <c r="BNL264" s="412"/>
      <c r="BNM264" s="412"/>
      <c r="BNN264" s="412"/>
      <c r="BNO264" s="412"/>
      <c r="BNP264" s="412"/>
      <c r="BNQ264" s="412"/>
      <c r="BNR264" s="412"/>
      <c r="BNS264" s="412"/>
      <c r="BNT264" s="412"/>
      <c r="BNU264" s="412"/>
      <c r="BNV264" s="412"/>
      <c r="BNW264" s="412"/>
      <c r="BNX264" s="412"/>
      <c r="BNY264" s="412"/>
      <c r="BNZ264" s="412"/>
      <c r="BOA264" s="412"/>
      <c r="BOB264" s="412"/>
      <c r="BOC264" s="412"/>
      <c r="BOD264" s="412"/>
      <c r="BOE264" s="412"/>
      <c r="BOF264" s="412"/>
      <c r="BOG264" s="412"/>
      <c r="BOH264" s="412"/>
      <c r="BOI264" s="412"/>
      <c r="BOJ264" s="412"/>
      <c r="BOK264" s="412"/>
      <c r="BOL264" s="412"/>
      <c r="BOM264" s="412"/>
      <c r="BON264" s="412"/>
      <c r="BOO264" s="412"/>
      <c r="BOP264" s="412"/>
      <c r="BOQ264" s="412"/>
      <c r="BOR264" s="412"/>
      <c r="BOS264" s="412"/>
      <c r="BOT264" s="412"/>
      <c r="BOU264" s="412"/>
      <c r="BOV264" s="412"/>
      <c r="BOW264" s="412"/>
      <c r="BOX264" s="412"/>
      <c r="BOY264" s="412"/>
      <c r="BOZ264" s="412"/>
      <c r="BPA264" s="412"/>
      <c r="BPB264" s="412"/>
      <c r="BPC264" s="412"/>
      <c r="BPD264" s="412"/>
      <c r="BPE264" s="412"/>
      <c r="BPF264" s="412"/>
      <c r="BPG264" s="412"/>
      <c r="BPH264" s="412"/>
      <c r="BPI264" s="412"/>
      <c r="BPJ264" s="412"/>
      <c r="BPK264" s="412"/>
      <c r="BPL264" s="412"/>
      <c r="BPM264" s="412"/>
      <c r="BPN264" s="412"/>
      <c r="BPO264" s="412"/>
      <c r="BPP264" s="412"/>
      <c r="BPQ264" s="412"/>
      <c r="BPR264" s="412"/>
      <c r="BPS264" s="412"/>
      <c r="BPT264" s="412"/>
      <c r="BPU264" s="412"/>
      <c r="BPV264" s="412"/>
      <c r="BPW264" s="412"/>
      <c r="BPX264" s="412"/>
      <c r="BPY264" s="412"/>
      <c r="BPZ264" s="412"/>
      <c r="BQA264" s="412"/>
      <c r="BQB264" s="412"/>
      <c r="BQC264" s="412"/>
      <c r="BQD264" s="412"/>
      <c r="BQE264" s="412"/>
      <c r="BQF264" s="412"/>
      <c r="BQG264" s="412"/>
      <c r="BQH264" s="412"/>
      <c r="BQI264" s="412"/>
      <c r="BQJ264" s="412"/>
      <c r="BQK264" s="412"/>
      <c r="BQL264" s="412"/>
      <c r="BQM264" s="412"/>
      <c r="BQN264" s="412"/>
      <c r="BQO264" s="412"/>
      <c r="BQP264" s="412"/>
      <c r="BQQ264" s="412"/>
      <c r="BQR264" s="412"/>
      <c r="BQS264" s="412"/>
      <c r="BQT264" s="412"/>
      <c r="BQU264" s="412"/>
      <c r="BQV264" s="412"/>
      <c r="BQW264" s="412"/>
      <c r="BQX264" s="412"/>
      <c r="BQY264" s="412"/>
      <c r="BQZ264" s="412"/>
      <c r="BRA264" s="412"/>
      <c r="BRB264" s="412"/>
      <c r="BRC264" s="412"/>
      <c r="BRD264" s="412"/>
      <c r="BRE264" s="412"/>
      <c r="BRF264" s="412"/>
      <c r="BRG264" s="412"/>
      <c r="BRH264" s="412"/>
      <c r="BRI264" s="412"/>
      <c r="BRJ264" s="412"/>
      <c r="BRK264" s="412"/>
      <c r="BRL264" s="412"/>
      <c r="BRM264" s="412"/>
      <c r="BRN264" s="412"/>
      <c r="BRO264" s="412"/>
      <c r="BRP264" s="412"/>
      <c r="BRQ264" s="412"/>
      <c r="BRR264" s="412"/>
      <c r="BRS264" s="412"/>
      <c r="BRT264" s="412"/>
      <c r="BRU264" s="412"/>
      <c r="BRV264" s="412"/>
      <c r="BRW264" s="412"/>
      <c r="BRX264" s="412"/>
      <c r="BRY264" s="412"/>
      <c r="BRZ264" s="412"/>
      <c r="BSA264" s="412"/>
      <c r="BSB264" s="412"/>
      <c r="BSC264" s="412"/>
      <c r="BSD264" s="412"/>
      <c r="BSE264" s="412"/>
      <c r="BSF264" s="412"/>
      <c r="BSG264" s="412"/>
      <c r="BSH264" s="412"/>
      <c r="BSI264" s="412"/>
      <c r="BSJ264" s="412"/>
      <c r="BSK264" s="412"/>
      <c r="BSL264" s="412"/>
      <c r="BSM264" s="412"/>
      <c r="BSN264" s="412"/>
      <c r="BSO264" s="412"/>
      <c r="BSP264" s="412"/>
      <c r="BSQ264" s="412"/>
      <c r="BSR264" s="412"/>
      <c r="BSS264" s="412"/>
      <c r="BST264" s="412"/>
      <c r="BSU264" s="412"/>
      <c r="BSV264" s="412"/>
      <c r="BSW264" s="412"/>
      <c r="BSX264" s="412"/>
      <c r="BSY264" s="412"/>
      <c r="BSZ264" s="412"/>
      <c r="BTA264" s="412"/>
      <c r="BTB264" s="412"/>
      <c r="BTC264" s="412"/>
      <c r="BTD264" s="412"/>
      <c r="BTE264" s="412"/>
      <c r="BTF264" s="412"/>
      <c r="BTG264" s="412"/>
      <c r="BTH264" s="412"/>
      <c r="BTI264" s="412"/>
    </row>
    <row r="265" spans="1:1881" ht="59.25" x14ac:dyDescent="0.25">
      <c r="A265" s="423"/>
      <c r="B265" s="41" t="s">
        <v>47</v>
      </c>
      <c r="C265" s="41"/>
      <c r="D265" s="50" t="s">
        <v>53</v>
      </c>
      <c r="E265" s="49"/>
      <c r="F265" s="49"/>
      <c r="G265" s="49"/>
      <c r="H265" s="53"/>
      <c r="I265" s="189"/>
    </row>
    <row r="266" spans="1:1881" s="411" customFormat="1" x14ac:dyDescent="0.25">
      <c r="A266" s="423"/>
      <c r="B266" s="419"/>
      <c r="C266" s="422"/>
      <c r="D266" s="870"/>
      <c r="E266" s="860"/>
      <c r="F266" s="603"/>
      <c r="G266" s="394"/>
      <c r="H266" s="414"/>
      <c r="I266" s="423"/>
      <c r="J266" s="412"/>
      <c r="K266" s="412"/>
      <c r="L266" s="412"/>
      <c r="M266" s="412"/>
      <c r="N266"/>
      <c r="O266" s="412"/>
      <c r="P266" s="412"/>
      <c r="Q266" s="412"/>
      <c r="R266" s="412"/>
      <c r="S266" s="412"/>
      <c r="T266" s="412"/>
      <c r="U266" s="412"/>
      <c r="V266" s="412"/>
      <c r="W266" s="412"/>
      <c r="X266" s="412"/>
      <c r="Y266" s="412"/>
      <c r="Z266" s="412"/>
      <c r="AA266" s="412"/>
      <c r="AB266" s="412"/>
      <c r="AC266" s="412"/>
      <c r="AD266" s="412"/>
      <c r="AE266" s="412"/>
      <c r="AF266" s="412"/>
      <c r="AG266" s="412"/>
      <c r="AH266" s="412"/>
      <c r="AI266" s="412"/>
      <c r="AJ266" s="412"/>
      <c r="AK266" s="412"/>
      <c r="AL266" s="412"/>
      <c r="AM266" s="412"/>
      <c r="AN266" s="412"/>
      <c r="AO266" s="412"/>
      <c r="AP266" s="412"/>
      <c r="AQ266" s="412"/>
      <c r="AR266" s="412"/>
      <c r="AS266" s="412"/>
      <c r="AT266" s="412"/>
      <c r="AU266" s="412"/>
      <c r="AV266" s="412"/>
      <c r="AW266" s="412"/>
      <c r="AX266" s="412"/>
      <c r="AY266" s="412"/>
      <c r="AZ266" s="412"/>
      <c r="BA266" s="412"/>
      <c r="BB266" s="412"/>
      <c r="BC266" s="412"/>
      <c r="BD266" s="412"/>
      <c r="BE266" s="412"/>
      <c r="BF266" s="412"/>
      <c r="BG266" s="412"/>
      <c r="BH266" s="412"/>
      <c r="BI266" s="412"/>
      <c r="BJ266" s="412"/>
      <c r="BK266" s="412"/>
      <c r="BL266" s="412"/>
      <c r="BM266" s="412"/>
      <c r="BN266" s="412"/>
      <c r="BO266" s="412"/>
      <c r="BP266" s="412"/>
      <c r="BQ266" s="412"/>
      <c r="BR266" s="412"/>
      <c r="BS266" s="412"/>
      <c r="BT266" s="412"/>
      <c r="BU266" s="412"/>
      <c r="BV266" s="412"/>
      <c r="BW266" s="412"/>
      <c r="BX266" s="412"/>
      <c r="BY266" s="412"/>
      <c r="BZ266" s="412"/>
      <c r="CA266" s="412"/>
      <c r="CB266" s="412"/>
      <c r="CC266" s="412"/>
      <c r="CD266" s="412"/>
      <c r="CE266" s="412"/>
      <c r="CF266" s="412"/>
      <c r="CG266" s="412"/>
      <c r="CH266" s="412"/>
      <c r="CI266" s="412"/>
      <c r="CJ266" s="412"/>
      <c r="CK266" s="412"/>
      <c r="CL266" s="412"/>
      <c r="CM266" s="412"/>
      <c r="CN266" s="412"/>
      <c r="CO266" s="412"/>
      <c r="CP266" s="412"/>
      <c r="CQ266" s="412"/>
      <c r="CR266" s="412"/>
      <c r="CS266" s="412"/>
      <c r="CT266" s="412"/>
      <c r="CU266" s="412"/>
      <c r="CV266" s="412"/>
      <c r="CW266" s="412"/>
      <c r="CX266" s="412"/>
      <c r="CY266" s="412"/>
      <c r="CZ266" s="412"/>
      <c r="DA266" s="412"/>
      <c r="DB266" s="412"/>
      <c r="DC266" s="412"/>
      <c r="DD266" s="412"/>
      <c r="DE266" s="412"/>
      <c r="DF266" s="412"/>
      <c r="DG266" s="412"/>
      <c r="DH266" s="412"/>
      <c r="DI266" s="412"/>
      <c r="DJ266" s="412"/>
      <c r="DK266" s="412"/>
      <c r="DL266" s="412"/>
      <c r="DM266" s="412"/>
      <c r="DN266" s="412"/>
      <c r="DO266" s="412"/>
      <c r="DP266" s="412"/>
      <c r="DQ266" s="412"/>
      <c r="DR266" s="412"/>
      <c r="DS266" s="412"/>
      <c r="DT266" s="412"/>
      <c r="DU266" s="412"/>
      <c r="DV266" s="412"/>
      <c r="DW266" s="412"/>
      <c r="DX266" s="412"/>
      <c r="DY266" s="412"/>
      <c r="DZ266" s="412"/>
      <c r="EA266" s="412"/>
      <c r="EB266" s="412"/>
      <c r="EC266" s="412"/>
      <c r="ED266" s="412"/>
      <c r="EE266" s="412"/>
      <c r="EF266" s="412"/>
      <c r="EG266" s="412"/>
      <c r="EH266" s="412"/>
      <c r="EI266" s="412"/>
      <c r="EJ266" s="412"/>
      <c r="EK266" s="412"/>
      <c r="EL266" s="412"/>
      <c r="EM266" s="412"/>
      <c r="EN266" s="412"/>
      <c r="EO266" s="412"/>
      <c r="EP266" s="412"/>
      <c r="EQ266" s="412"/>
      <c r="ER266" s="412"/>
      <c r="ES266" s="412"/>
      <c r="ET266" s="412"/>
      <c r="EU266" s="412"/>
      <c r="EV266" s="412"/>
      <c r="EW266" s="412"/>
      <c r="EX266" s="412"/>
      <c r="EY266" s="412"/>
      <c r="EZ266" s="412"/>
      <c r="FA266" s="412"/>
      <c r="FB266" s="412"/>
      <c r="FC266" s="412"/>
      <c r="FD266" s="412"/>
      <c r="FE266" s="412"/>
      <c r="FF266" s="412"/>
      <c r="FG266" s="412"/>
      <c r="FH266" s="412"/>
      <c r="FI266" s="412"/>
      <c r="FJ266" s="412"/>
      <c r="FK266" s="412"/>
      <c r="FL266" s="412"/>
      <c r="FM266" s="412"/>
      <c r="FN266" s="412"/>
      <c r="FO266" s="412"/>
      <c r="FP266" s="412"/>
      <c r="FQ266" s="412"/>
      <c r="FR266" s="412"/>
      <c r="FS266" s="412"/>
      <c r="FT266" s="412"/>
      <c r="FU266" s="412"/>
      <c r="FV266" s="412"/>
      <c r="FW266" s="412"/>
      <c r="FX266" s="412"/>
      <c r="FY266" s="412"/>
      <c r="FZ266" s="412"/>
      <c r="GA266" s="412"/>
      <c r="GB266" s="412"/>
      <c r="GC266" s="412"/>
      <c r="GD266" s="412"/>
      <c r="GE266" s="412"/>
      <c r="GF266" s="412"/>
      <c r="GG266" s="412"/>
      <c r="GH266" s="412"/>
      <c r="GI266" s="412"/>
      <c r="GJ266" s="412"/>
      <c r="GK266" s="412"/>
      <c r="GL266" s="412"/>
      <c r="GM266" s="412"/>
      <c r="GN266" s="412"/>
      <c r="GO266" s="412"/>
      <c r="GP266" s="412"/>
      <c r="GQ266" s="412"/>
      <c r="GR266" s="412"/>
      <c r="GS266" s="412"/>
      <c r="GT266" s="412"/>
      <c r="GU266" s="412"/>
      <c r="GV266" s="412"/>
      <c r="GW266" s="412"/>
      <c r="GX266" s="412"/>
      <c r="GY266" s="412"/>
      <c r="GZ266" s="412"/>
      <c r="HA266" s="412"/>
      <c r="HB266" s="412"/>
      <c r="HC266" s="412"/>
      <c r="HD266" s="412"/>
      <c r="HE266" s="412"/>
      <c r="HF266" s="412"/>
      <c r="HG266" s="412"/>
      <c r="HH266" s="412"/>
      <c r="HI266" s="412"/>
      <c r="HJ266" s="412"/>
      <c r="HK266" s="412"/>
      <c r="HL266" s="412"/>
      <c r="HM266" s="412"/>
      <c r="HN266" s="412"/>
      <c r="HO266" s="412"/>
      <c r="HP266" s="412"/>
      <c r="HQ266" s="412"/>
      <c r="HR266" s="412"/>
      <c r="HS266" s="412"/>
      <c r="HT266" s="412"/>
      <c r="HU266" s="412"/>
      <c r="HV266" s="412"/>
      <c r="HW266" s="412"/>
      <c r="HX266" s="412"/>
      <c r="HY266" s="412"/>
      <c r="HZ266" s="412"/>
      <c r="IA266" s="412"/>
      <c r="IB266" s="412"/>
      <c r="IC266" s="412"/>
      <c r="ID266" s="412"/>
      <c r="IE266" s="412"/>
      <c r="IF266" s="412"/>
      <c r="IG266" s="412"/>
      <c r="IH266" s="412"/>
      <c r="II266" s="412"/>
      <c r="IJ266" s="412"/>
      <c r="IK266" s="412"/>
      <c r="IL266" s="412"/>
      <c r="IM266" s="412"/>
      <c r="IN266" s="412"/>
      <c r="IO266" s="412"/>
      <c r="IP266" s="412"/>
      <c r="IQ266" s="412"/>
      <c r="IR266" s="412"/>
      <c r="IS266" s="412"/>
      <c r="IT266" s="412"/>
      <c r="IU266" s="412"/>
      <c r="IV266" s="412"/>
      <c r="IW266" s="412"/>
      <c r="IX266" s="412"/>
      <c r="IY266" s="412"/>
      <c r="IZ266" s="412"/>
      <c r="JA266" s="412"/>
      <c r="JB266" s="412"/>
      <c r="JC266" s="412"/>
      <c r="JD266" s="412"/>
      <c r="JE266" s="412"/>
      <c r="JF266" s="412"/>
      <c r="JG266" s="412"/>
      <c r="JH266" s="412"/>
      <c r="JI266" s="412"/>
      <c r="JJ266" s="412"/>
      <c r="JK266" s="412"/>
      <c r="JL266" s="412"/>
      <c r="JM266" s="412"/>
      <c r="JN266" s="412"/>
      <c r="JO266" s="412"/>
      <c r="JP266" s="412"/>
      <c r="JQ266" s="412"/>
      <c r="JR266" s="412"/>
      <c r="JS266" s="412"/>
      <c r="JT266" s="412"/>
      <c r="JU266" s="412"/>
      <c r="JV266" s="412"/>
      <c r="JW266" s="412"/>
      <c r="JX266" s="412"/>
      <c r="JY266" s="412"/>
      <c r="JZ266" s="412"/>
      <c r="KA266" s="412"/>
      <c r="KB266" s="412"/>
      <c r="KC266" s="412"/>
      <c r="KD266" s="412"/>
      <c r="KE266" s="412"/>
      <c r="KF266" s="412"/>
      <c r="KG266" s="412"/>
      <c r="KH266" s="412"/>
      <c r="KI266" s="412"/>
      <c r="KJ266" s="412"/>
      <c r="KK266" s="412"/>
      <c r="KL266" s="412"/>
      <c r="KM266" s="412"/>
      <c r="KN266" s="412"/>
      <c r="KO266" s="412"/>
      <c r="KP266" s="412"/>
      <c r="KQ266" s="412"/>
      <c r="KR266" s="412"/>
      <c r="KS266" s="412"/>
      <c r="KT266" s="412"/>
      <c r="KU266" s="412"/>
      <c r="KV266" s="412"/>
      <c r="KW266" s="412"/>
      <c r="KX266" s="412"/>
      <c r="KY266" s="412"/>
      <c r="KZ266" s="412"/>
      <c r="LA266" s="412"/>
      <c r="LB266" s="412"/>
      <c r="LC266" s="412"/>
      <c r="LD266" s="412"/>
      <c r="LE266" s="412"/>
      <c r="LF266" s="412"/>
      <c r="LG266" s="412"/>
      <c r="LH266" s="412"/>
      <c r="LI266" s="412"/>
      <c r="LJ266" s="412"/>
      <c r="LK266" s="412"/>
      <c r="LL266" s="412"/>
      <c r="LM266" s="412"/>
      <c r="LN266" s="412"/>
      <c r="LO266" s="412"/>
      <c r="LP266" s="412"/>
      <c r="LQ266" s="412"/>
      <c r="LR266" s="412"/>
      <c r="LS266" s="412"/>
      <c r="LT266" s="412"/>
      <c r="LU266" s="412"/>
      <c r="LV266" s="412"/>
      <c r="LW266" s="412"/>
      <c r="LX266" s="412"/>
      <c r="LY266" s="412"/>
      <c r="LZ266" s="412"/>
      <c r="MA266" s="412"/>
      <c r="MB266" s="412"/>
      <c r="MC266" s="412"/>
      <c r="MD266" s="412"/>
      <c r="ME266" s="412"/>
      <c r="MF266" s="412"/>
      <c r="MG266" s="412"/>
      <c r="MH266" s="412"/>
      <c r="MI266" s="412"/>
      <c r="MJ266" s="412"/>
      <c r="MK266" s="412"/>
      <c r="ML266" s="412"/>
      <c r="MM266" s="412"/>
      <c r="MN266" s="412"/>
      <c r="MO266" s="412"/>
      <c r="MP266" s="412"/>
      <c r="MQ266" s="412"/>
      <c r="MR266" s="412"/>
      <c r="MS266" s="412"/>
      <c r="MT266" s="412"/>
      <c r="MU266" s="412"/>
      <c r="MV266" s="412"/>
      <c r="MW266" s="412"/>
      <c r="MX266" s="412"/>
      <c r="MY266" s="412"/>
      <c r="MZ266" s="412"/>
      <c r="NA266" s="412"/>
      <c r="NB266" s="412"/>
      <c r="NC266" s="412"/>
      <c r="ND266" s="412"/>
      <c r="NE266" s="412"/>
      <c r="NF266" s="412"/>
      <c r="NG266" s="412"/>
      <c r="NH266" s="412"/>
      <c r="NI266" s="412"/>
      <c r="NJ266" s="412"/>
      <c r="NK266" s="412"/>
      <c r="NL266" s="412"/>
      <c r="NM266" s="412"/>
      <c r="NN266" s="412"/>
      <c r="NO266" s="412"/>
      <c r="NP266" s="412"/>
      <c r="NQ266" s="412"/>
      <c r="NR266" s="412"/>
      <c r="NS266" s="412"/>
      <c r="NT266" s="412"/>
      <c r="NU266" s="412"/>
      <c r="NV266" s="412"/>
      <c r="NW266" s="412"/>
      <c r="NX266" s="412"/>
      <c r="NY266" s="412"/>
      <c r="NZ266" s="412"/>
      <c r="OA266" s="412"/>
      <c r="OB266" s="412"/>
      <c r="OC266" s="412"/>
      <c r="OD266" s="412"/>
      <c r="OE266" s="412"/>
      <c r="OF266" s="412"/>
      <c r="OG266" s="412"/>
      <c r="OH266" s="412"/>
      <c r="OI266" s="412"/>
      <c r="OJ266" s="412"/>
      <c r="OK266" s="412"/>
      <c r="OL266" s="412"/>
      <c r="OM266" s="412"/>
      <c r="ON266" s="412"/>
      <c r="OO266" s="412"/>
      <c r="OP266" s="412"/>
      <c r="OQ266" s="412"/>
      <c r="OR266" s="412"/>
      <c r="OS266" s="412"/>
      <c r="OT266" s="412"/>
      <c r="OU266" s="412"/>
      <c r="OV266" s="412"/>
      <c r="OW266" s="412"/>
      <c r="OX266" s="412"/>
      <c r="OY266" s="412"/>
      <c r="OZ266" s="412"/>
      <c r="PA266" s="412"/>
      <c r="PB266" s="412"/>
      <c r="PC266" s="412"/>
      <c r="PD266" s="412"/>
      <c r="PE266" s="412"/>
      <c r="PF266" s="412"/>
      <c r="PG266" s="412"/>
      <c r="PH266" s="412"/>
      <c r="PI266" s="412"/>
      <c r="PJ266" s="412"/>
      <c r="PK266" s="412"/>
      <c r="PL266" s="412"/>
      <c r="PM266" s="412"/>
      <c r="PN266" s="412"/>
      <c r="PO266" s="412"/>
      <c r="PP266" s="412"/>
      <c r="PQ266" s="412"/>
      <c r="PR266" s="412"/>
      <c r="PS266" s="412"/>
      <c r="PT266" s="412"/>
      <c r="PU266" s="412"/>
      <c r="PV266" s="412"/>
      <c r="PW266" s="412"/>
      <c r="PX266" s="412"/>
      <c r="PY266" s="412"/>
      <c r="PZ266" s="412"/>
      <c r="QA266" s="412"/>
      <c r="QB266" s="412"/>
      <c r="QC266" s="412"/>
      <c r="QD266" s="412"/>
      <c r="QE266" s="412"/>
      <c r="QF266" s="412"/>
      <c r="QG266" s="412"/>
      <c r="QH266" s="412"/>
      <c r="QI266" s="412"/>
      <c r="QJ266" s="412"/>
      <c r="QK266" s="412"/>
      <c r="QL266" s="412"/>
      <c r="QM266" s="412"/>
      <c r="QN266" s="412"/>
      <c r="QO266" s="412"/>
      <c r="QP266" s="412"/>
      <c r="QQ266" s="412"/>
      <c r="QR266" s="412"/>
      <c r="QS266" s="412"/>
      <c r="QT266" s="412"/>
      <c r="QU266" s="412"/>
      <c r="QV266" s="412"/>
      <c r="QW266" s="412"/>
      <c r="QX266" s="412"/>
      <c r="QY266" s="412"/>
      <c r="QZ266" s="412"/>
      <c r="RA266" s="412"/>
      <c r="RB266" s="412"/>
      <c r="RC266" s="412"/>
      <c r="RD266" s="412"/>
      <c r="RE266" s="412"/>
      <c r="RF266" s="412"/>
      <c r="RG266" s="412"/>
      <c r="RH266" s="412"/>
      <c r="RI266" s="412"/>
      <c r="RJ266" s="412"/>
      <c r="RK266" s="412"/>
      <c r="RL266" s="412"/>
      <c r="RM266" s="412"/>
      <c r="RN266" s="412"/>
      <c r="RO266" s="412"/>
      <c r="RP266" s="412"/>
      <c r="RQ266" s="412"/>
      <c r="RR266" s="412"/>
      <c r="RS266" s="412"/>
      <c r="RT266" s="412"/>
      <c r="RU266" s="412"/>
      <c r="RV266" s="412"/>
      <c r="RW266" s="412"/>
      <c r="RX266" s="412"/>
      <c r="RY266" s="412"/>
      <c r="RZ266" s="412"/>
      <c r="SA266" s="412"/>
      <c r="SB266" s="412"/>
      <c r="SC266" s="412"/>
      <c r="SD266" s="412"/>
      <c r="SE266" s="412"/>
      <c r="SF266" s="412"/>
      <c r="SG266" s="412"/>
      <c r="SH266" s="412"/>
      <c r="SI266" s="412"/>
      <c r="SJ266" s="412"/>
      <c r="SK266" s="412"/>
      <c r="SL266" s="412"/>
      <c r="SM266" s="412"/>
      <c r="SN266" s="412"/>
      <c r="SO266" s="412"/>
      <c r="SP266" s="412"/>
      <c r="SQ266" s="412"/>
      <c r="SR266" s="412"/>
      <c r="SS266" s="412"/>
      <c r="ST266" s="412"/>
      <c r="SU266" s="412"/>
      <c r="SV266" s="412"/>
      <c r="SW266" s="412"/>
      <c r="SX266" s="412"/>
      <c r="SY266" s="412"/>
      <c r="SZ266" s="412"/>
      <c r="TA266" s="412"/>
      <c r="TB266" s="412"/>
      <c r="TC266" s="412"/>
      <c r="TD266" s="412"/>
      <c r="TE266" s="412"/>
      <c r="TF266" s="412"/>
      <c r="TG266" s="412"/>
      <c r="TH266" s="412"/>
      <c r="TI266" s="412"/>
      <c r="TJ266" s="412"/>
      <c r="TK266" s="412"/>
      <c r="TL266" s="412"/>
      <c r="TM266" s="412"/>
      <c r="TN266" s="412"/>
      <c r="TO266" s="412"/>
      <c r="TP266" s="412"/>
      <c r="TQ266" s="412"/>
      <c r="TR266" s="412"/>
      <c r="TS266" s="412"/>
      <c r="TT266" s="412"/>
      <c r="TU266" s="412"/>
      <c r="TV266" s="412"/>
      <c r="TW266" s="412"/>
      <c r="TX266" s="412"/>
      <c r="TY266" s="412"/>
      <c r="TZ266" s="412"/>
      <c r="UA266" s="412"/>
      <c r="UB266" s="412"/>
      <c r="UC266" s="412"/>
      <c r="UD266" s="412"/>
      <c r="UE266" s="412"/>
      <c r="UF266" s="412"/>
      <c r="UG266" s="412"/>
      <c r="UH266" s="412"/>
      <c r="UI266" s="412"/>
      <c r="UJ266" s="412"/>
      <c r="UK266" s="412"/>
      <c r="UL266" s="412"/>
      <c r="UM266" s="412"/>
      <c r="UN266" s="412"/>
      <c r="UO266" s="412"/>
      <c r="UP266" s="412"/>
      <c r="UQ266" s="412"/>
      <c r="UR266" s="412"/>
      <c r="US266" s="412"/>
      <c r="UT266" s="412"/>
      <c r="UU266" s="412"/>
      <c r="UV266" s="412"/>
      <c r="UW266" s="412"/>
      <c r="UX266" s="412"/>
      <c r="UY266" s="412"/>
      <c r="UZ266" s="412"/>
      <c r="VA266" s="412"/>
      <c r="VB266" s="412"/>
      <c r="VC266" s="412"/>
      <c r="VD266" s="412"/>
      <c r="VE266" s="412"/>
      <c r="VF266" s="412"/>
      <c r="VG266" s="412"/>
      <c r="VH266" s="412"/>
      <c r="VI266" s="412"/>
      <c r="VJ266" s="412"/>
      <c r="VK266" s="412"/>
      <c r="VL266" s="412"/>
      <c r="VM266" s="412"/>
      <c r="VN266" s="412"/>
      <c r="VO266" s="412"/>
      <c r="VP266" s="412"/>
      <c r="VQ266" s="412"/>
      <c r="VR266" s="412"/>
      <c r="VS266" s="412"/>
      <c r="VT266" s="412"/>
      <c r="VU266" s="412"/>
      <c r="VV266" s="412"/>
      <c r="VW266" s="412"/>
      <c r="VX266" s="412"/>
      <c r="VY266" s="412"/>
      <c r="VZ266" s="412"/>
      <c r="WA266" s="412"/>
      <c r="WB266" s="412"/>
      <c r="WC266" s="412"/>
      <c r="WD266" s="412"/>
      <c r="WE266" s="412"/>
      <c r="WF266" s="412"/>
      <c r="WG266" s="412"/>
      <c r="WH266" s="412"/>
      <c r="WI266" s="412"/>
      <c r="WJ266" s="412"/>
      <c r="WK266" s="412"/>
      <c r="WL266" s="412"/>
      <c r="WM266" s="412"/>
      <c r="WN266" s="412"/>
      <c r="WO266" s="412"/>
      <c r="WP266" s="412"/>
      <c r="WQ266" s="412"/>
      <c r="WR266" s="412"/>
      <c r="WS266" s="412"/>
      <c r="WT266" s="412"/>
      <c r="WU266" s="412"/>
      <c r="WV266" s="412"/>
      <c r="WW266" s="412"/>
      <c r="WX266" s="412"/>
      <c r="WY266" s="412"/>
      <c r="WZ266" s="412"/>
      <c r="XA266" s="412"/>
      <c r="XB266" s="412"/>
      <c r="XC266" s="412"/>
      <c r="XD266" s="412"/>
      <c r="XE266" s="412"/>
      <c r="XF266" s="412"/>
      <c r="XG266" s="412"/>
      <c r="XH266" s="412"/>
      <c r="XI266" s="412"/>
      <c r="XJ266" s="412"/>
      <c r="XK266" s="412"/>
      <c r="XL266" s="412"/>
      <c r="XM266" s="412"/>
      <c r="XN266" s="412"/>
      <c r="XO266" s="412"/>
      <c r="XP266" s="412"/>
      <c r="XQ266" s="412"/>
      <c r="XR266" s="412"/>
      <c r="XS266" s="412"/>
      <c r="XT266" s="412"/>
      <c r="XU266" s="412"/>
      <c r="XV266" s="412"/>
      <c r="XW266" s="412"/>
      <c r="XX266" s="412"/>
      <c r="XY266" s="412"/>
      <c r="XZ266" s="412"/>
      <c r="YA266" s="412"/>
      <c r="YB266" s="412"/>
      <c r="YC266" s="412"/>
      <c r="YD266" s="412"/>
      <c r="YE266" s="412"/>
      <c r="YF266" s="412"/>
      <c r="YG266" s="412"/>
      <c r="YH266" s="412"/>
      <c r="YI266" s="412"/>
      <c r="YJ266" s="412"/>
      <c r="YK266" s="412"/>
      <c r="YL266" s="412"/>
      <c r="YM266" s="412"/>
      <c r="YN266" s="412"/>
      <c r="YO266" s="412"/>
      <c r="YP266" s="412"/>
      <c r="YQ266" s="412"/>
      <c r="YR266" s="412"/>
      <c r="YS266" s="412"/>
      <c r="YT266" s="412"/>
      <c r="YU266" s="412"/>
      <c r="YV266" s="412"/>
      <c r="YW266" s="412"/>
      <c r="YX266" s="412"/>
      <c r="YY266" s="412"/>
      <c r="YZ266" s="412"/>
      <c r="ZA266" s="412"/>
      <c r="ZB266" s="412"/>
      <c r="ZC266" s="412"/>
      <c r="ZD266" s="412"/>
      <c r="ZE266" s="412"/>
      <c r="ZF266" s="412"/>
      <c r="ZG266" s="412"/>
      <c r="ZH266" s="412"/>
      <c r="ZI266" s="412"/>
      <c r="ZJ266" s="412"/>
      <c r="ZK266" s="412"/>
      <c r="ZL266" s="412"/>
      <c r="ZM266" s="412"/>
      <c r="ZN266" s="412"/>
      <c r="ZO266" s="412"/>
      <c r="ZP266" s="412"/>
      <c r="ZQ266" s="412"/>
      <c r="ZR266" s="412"/>
      <c r="ZS266" s="412"/>
      <c r="ZT266" s="412"/>
      <c r="ZU266" s="412"/>
      <c r="ZV266" s="412"/>
      <c r="ZW266" s="412"/>
      <c r="ZX266" s="412"/>
      <c r="ZY266" s="412"/>
      <c r="ZZ266" s="412"/>
      <c r="AAA266" s="412"/>
      <c r="AAB266" s="412"/>
      <c r="AAC266" s="412"/>
      <c r="AAD266" s="412"/>
      <c r="AAE266" s="412"/>
      <c r="AAF266" s="412"/>
      <c r="AAG266" s="412"/>
      <c r="AAH266" s="412"/>
      <c r="AAI266" s="412"/>
      <c r="AAJ266" s="412"/>
      <c r="AAK266" s="412"/>
      <c r="AAL266" s="412"/>
      <c r="AAM266" s="412"/>
      <c r="AAN266" s="412"/>
      <c r="AAO266" s="412"/>
      <c r="AAP266" s="412"/>
      <c r="AAQ266" s="412"/>
      <c r="AAR266" s="412"/>
      <c r="AAS266" s="412"/>
      <c r="AAT266" s="412"/>
      <c r="AAU266" s="412"/>
      <c r="AAV266" s="412"/>
      <c r="AAW266" s="412"/>
      <c r="AAX266" s="412"/>
      <c r="AAY266" s="412"/>
      <c r="AAZ266" s="412"/>
      <c r="ABA266" s="412"/>
      <c r="ABB266" s="412"/>
      <c r="ABC266" s="412"/>
      <c r="ABD266" s="412"/>
      <c r="ABE266" s="412"/>
      <c r="ABF266" s="412"/>
      <c r="ABG266" s="412"/>
      <c r="ABH266" s="412"/>
      <c r="ABI266" s="412"/>
      <c r="ABJ266" s="412"/>
      <c r="ABK266" s="412"/>
      <c r="ABL266" s="412"/>
      <c r="ABM266" s="412"/>
      <c r="ABN266" s="412"/>
      <c r="ABO266" s="412"/>
      <c r="ABP266" s="412"/>
      <c r="ABQ266" s="412"/>
      <c r="ABR266" s="412"/>
      <c r="ABS266" s="412"/>
      <c r="ABT266" s="412"/>
      <c r="ABU266" s="412"/>
      <c r="ABV266" s="412"/>
      <c r="ABW266" s="412"/>
      <c r="ABX266" s="412"/>
      <c r="ABY266" s="412"/>
      <c r="ABZ266" s="412"/>
      <c r="ACA266" s="412"/>
      <c r="ACB266" s="412"/>
      <c r="ACC266" s="412"/>
      <c r="ACD266" s="412"/>
      <c r="ACE266" s="412"/>
      <c r="ACF266" s="412"/>
      <c r="ACG266" s="412"/>
      <c r="ACH266" s="412"/>
      <c r="ACI266" s="412"/>
      <c r="ACJ266" s="412"/>
      <c r="ACK266" s="412"/>
      <c r="ACL266" s="412"/>
      <c r="ACM266" s="412"/>
      <c r="ACN266" s="412"/>
      <c r="ACO266" s="412"/>
      <c r="ACP266" s="412"/>
      <c r="ACQ266" s="412"/>
      <c r="ACR266" s="412"/>
      <c r="ACS266" s="412"/>
      <c r="ACT266" s="412"/>
      <c r="ACU266" s="412"/>
      <c r="ACV266" s="412"/>
      <c r="ACW266" s="412"/>
      <c r="ACX266" s="412"/>
      <c r="ACY266" s="412"/>
      <c r="ACZ266" s="412"/>
      <c r="ADA266" s="412"/>
      <c r="ADB266" s="412"/>
      <c r="ADC266" s="412"/>
      <c r="ADD266" s="412"/>
      <c r="ADE266" s="412"/>
      <c r="ADF266" s="412"/>
      <c r="ADG266" s="412"/>
      <c r="ADH266" s="412"/>
      <c r="ADI266" s="412"/>
      <c r="ADJ266" s="412"/>
      <c r="ADK266" s="412"/>
      <c r="ADL266" s="412"/>
      <c r="ADM266" s="412"/>
      <c r="ADN266" s="412"/>
      <c r="ADO266" s="412"/>
      <c r="ADP266" s="412"/>
      <c r="ADQ266" s="412"/>
      <c r="ADR266" s="412"/>
      <c r="ADS266" s="412"/>
      <c r="ADT266" s="412"/>
      <c r="ADU266" s="412"/>
      <c r="ADV266" s="412"/>
      <c r="ADW266" s="412"/>
      <c r="ADX266" s="412"/>
      <c r="ADY266" s="412"/>
      <c r="ADZ266" s="412"/>
      <c r="AEA266" s="412"/>
      <c r="AEB266" s="412"/>
      <c r="AEC266" s="412"/>
      <c r="AED266" s="412"/>
      <c r="AEE266" s="412"/>
      <c r="AEF266" s="412"/>
      <c r="AEG266" s="412"/>
      <c r="AEH266" s="412"/>
      <c r="AEI266" s="412"/>
      <c r="AEJ266" s="412"/>
      <c r="AEK266" s="412"/>
      <c r="AEL266" s="412"/>
      <c r="AEM266" s="412"/>
      <c r="AEN266" s="412"/>
      <c r="AEO266" s="412"/>
      <c r="AEP266" s="412"/>
      <c r="AEQ266" s="412"/>
      <c r="AER266" s="412"/>
      <c r="AES266" s="412"/>
      <c r="AET266" s="412"/>
      <c r="AEU266" s="412"/>
      <c r="AEV266" s="412"/>
      <c r="AEW266" s="412"/>
      <c r="AEX266" s="412"/>
      <c r="AEY266" s="412"/>
      <c r="AEZ266" s="412"/>
      <c r="AFA266" s="412"/>
      <c r="AFB266" s="412"/>
      <c r="AFC266" s="412"/>
      <c r="AFD266" s="412"/>
      <c r="AFE266" s="412"/>
      <c r="AFF266" s="412"/>
      <c r="AFG266" s="412"/>
      <c r="AFH266" s="412"/>
      <c r="AFI266" s="412"/>
      <c r="AFJ266" s="412"/>
      <c r="AFK266" s="412"/>
      <c r="AFL266" s="412"/>
      <c r="AFM266" s="412"/>
      <c r="AFN266" s="412"/>
      <c r="AFO266" s="412"/>
      <c r="AFP266" s="412"/>
      <c r="AFQ266" s="412"/>
      <c r="AFR266" s="412"/>
      <c r="AFS266" s="412"/>
      <c r="AFT266" s="412"/>
      <c r="AFU266" s="412"/>
      <c r="AFV266" s="412"/>
      <c r="AFW266" s="412"/>
      <c r="AFX266" s="412"/>
      <c r="AFY266" s="412"/>
      <c r="AFZ266" s="412"/>
      <c r="AGA266" s="412"/>
      <c r="AGB266" s="412"/>
      <c r="AGC266" s="412"/>
      <c r="AGD266" s="412"/>
      <c r="AGE266" s="412"/>
      <c r="AGF266" s="412"/>
      <c r="AGG266" s="412"/>
      <c r="AGH266" s="412"/>
      <c r="AGI266" s="412"/>
      <c r="AGJ266" s="412"/>
      <c r="AGK266" s="412"/>
      <c r="AGL266" s="412"/>
      <c r="AGM266" s="412"/>
      <c r="AGN266" s="412"/>
      <c r="AGO266" s="412"/>
      <c r="AGP266" s="412"/>
      <c r="AGQ266" s="412"/>
      <c r="AGR266" s="412"/>
      <c r="AGS266" s="412"/>
      <c r="AGT266" s="412"/>
      <c r="AGU266" s="412"/>
      <c r="AGV266" s="412"/>
      <c r="AGW266" s="412"/>
      <c r="AGX266" s="412"/>
      <c r="AGY266" s="412"/>
      <c r="AGZ266" s="412"/>
      <c r="AHA266" s="412"/>
      <c r="AHB266" s="412"/>
      <c r="AHC266" s="412"/>
      <c r="AHD266" s="412"/>
      <c r="AHE266" s="412"/>
      <c r="AHF266" s="412"/>
      <c r="AHG266" s="412"/>
      <c r="AHH266" s="412"/>
      <c r="AHI266" s="412"/>
      <c r="AHJ266" s="412"/>
      <c r="AHK266" s="412"/>
      <c r="AHL266" s="412"/>
      <c r="AHM266" s="412"/>
      <c r="AHN266" s="412"/>
      <c r="AHO266" s="412"/>
      <c r="AHP266" s="412"/>
      <c r="AHQ266" s="412"/>
      <c r="AHR266" s="412"/>
      <c r="AHS266" s="412"/>
      <c r="AHT266" s="412"/>
      <c r="AHU266" s="412"/>
      <c r="AHV266" s="412"/>
      <c r="AHW266" s="412"/>
      <c r="AHX266" s="412"/>
      <c r="AHY266" s="412"/>
      <c r="AHZ266" s="412"/>
      <c r="AIA266" s="412"/>
      <c r="AIB266" s="412"/>
      <c r="AIC266" s="412"/>
      <c r="AID266" s="412"/>
      <c r="AIE266" s="412"/>
      <c r="AIF266" s="412"/>
      <c r="AIG266" s="412"/>
      <c r="AIH266" s="412"/>
      <c r="AII266" s="412"/>
      <c r="AIJ266" s="412"/>
      <c r="AIK266" s="412"/>
      <c r="AIL266" s="412"/>
      <c r="AIM266" s="412"/>
      <c r="AIN266" s="412"/>
      <c r="AIO266" s="412"/>
      <c r="AIP266" s="412"/>
      <c r="AIQ266" s="412"/>
      <c r="AIR266" s="412"/>
      <c r="AIS266" s="412"/>
      <c r="AIT266" s="412"/>
      <c r="AIU266" s="412"/>
      <c r="AIV266" s="412"/>
      <c r="AIW266" s="412"/>
      <c r="AIX266" s="412"/>
      <c r="AIY266" s="412"/>
      <c r="AIZ266" s="412"/>
      <c r="AJA266" s="412"/>
      <c r="AJB266" s="412"/>
      <c r="AJC266" s="412"/>
      <c r="AJD266" s="412"/>
      <c r="AJE266" s="412"/>
      <c r="AJF266" s="412"/>
      <c r="AJG266" s="412"/>
      <c r="AJH266" s="412"/>
      <c r="AJI266" s="412"/>
      <c r="AJJ266" s="412"/>
      <c r="AJK266" s="412"/>
      <c r="AJL266" s="412"/>
      <c r="AJM266" s="412"/>
      <c r="AJN266" s="412"/>
      <c r="AJO266" s="412"/>
      <c r="AJP266" s="412"/>
      <c r="AJQ266" s="412"/>
      <c r="AJR266" s="412"/>
      <c r="AJS266" s="412"/>
      <c r="AJT266" s="412"/>
      <c r="AJU266" s="412"/>
      <c r="AJV266" s="412"/>
      <c r="AJW266" s="412"/>
      <c r="AJX266" s="412"/>
      <c r="AJY266" s="412"/>
      <c r="AJZ266" s="412"/>
      <c r="AKA266" s="412"/>
      <c r="AKB266" s="412"/>
      <c r="AKC266" s="412"/>
      <c r="AKD266" s="412"/>
      <c r="AKE266" s="412"/>
      <c r="AKF266" s="412"/>
      <c r="AKG266" s="412"/>
      <c r="AKH266" s="412"/>
      <c r="AKI266" s="412"/>
      <c r="AKJ266" s="412"/>
      <c r="AKK266" s="412"/>
      <c r="AKL266" s="412"/>
      <c r="AKM266" s="412"/>
      <c r="AKN266" s="412"/>
      <c r="AKO266" s="412"/>
      <c r="AKP266" s="412"/>
      <c r="AKQ266" s="412"/>
      <c r="AKR266" s="412"/>
      <c r="AKS266" s="412"/>
      <c r="AKT266" s="412"/>
      <c r="AKU266" s="412"/>
      <c r="AKV266" s="412"/>
      <c r="AKW266" s="412"/>
      <c r="AKX266" s="412"/>
      <c r="AKY266" s="412"/>
      <c r="AKZ266" s="412"/>
      <c r="ALA266" s="412"/>
      <c r="ALB266" s="412"/>
      <c r="ALC266" s="412"/>
      <c r="ALD266" s="412"/>
      <c r="ALE266" s="412"/>
      <c r="ALF266" s="412"/>
      <c r="ALG266" s="412"/>
      <c r="ALH266" s="412"/>
      <c r="ALI266" s="412"/>
      <c r="ALJ266" s="412"/>
      <c r="ALK266" s="412"/>
      <c r="ALL266" s="412"/>
      <c r="ALM266" s="412"/>
      <c r="ALN266" s="412"/>
      <c r="ALO266" s="412"/>
      <c r="ALP266" s="412"/>
      <c r="ALQ266" s="412"/>
      <c r="ALR266" s="412"/>
      <c r="ALS266" s="412"/>
      <c r="ALT266" s="412"/>
      <c r="ALU266" s="412"/>
      <c r="ALV266" s="412"/>
      <c r="ALW266" s="412"/>
      <c r="ALX266" s="412"/>
      <c r="ALY266" s="412"/>
      <c r="ALZ266" s="412"/>
      <c r="AMA266" s="412"/>
      <c r="AMB266" s="412"/>
      <c r="AMC266" s="412"/>
      <c r="AMD266" s="412"/>
      <c r="AME266" s="412"/>
      <c r="AMF266" s="412"/>
      <c r="AMG266" s="412"/>
      <c r="AMH266" s="412"/>
      <c r="AMI266" s="412"/>
      <c r="AMJ266" s="412"/>
      <c r="AMK266" s="412"/>
      <c r="AML266" s="412"/>
      <c r="AMM266" s="412"/>
      <c r="AMN266" s="412"/>
      <c r="AMO266" s="412"/>
      <c r="AMP266" s="412"/>
      <c r="AMQ266" s="412"/>
      <c r="AMR266" s="412"/>
      <c r="AMS266" s="412"/>
      <c r="AMT266" s="412"/>
      <c r="AMU266" s="412"/>
      <c r="AMV266" s="412"/>
      <c r="AMW266" s="412"/>
      <c r="AMX266" s="412"/>
      <c r="AMY266" s="412"/>
      <c r="AMZ266" s="412"/>
      <c r="ANA266" s="412"/>
      <c r="ANB266" s="412"/>
      <c r="ANC266" s="412"/>
      <c r="AND266" s="412"/>
      <c r="ANE266" s="412"/>
      <c r="ANF266" s="412"/>
      <c r="ANG266" s="412"/>
      <c r="ANH266" s="412"/>
      <c r="ANI266" s="412"/>
      <c r="ANJ266" s="412"/>
      <c r="ANK266" s="412"/>
      <c r="ANL266" s="412"/>
      <c r="ANM266" s="412"/>
      <c r="ANN266" s="412"/>
      <c r="ANO266" s="412"/>
      <c r="ANP266" s="412"/>
      <c r="ANQ266" s="412"/>
      <c r="ANR266" s="412"/>
      <c r="ANS266" s="412"/>
      <c r="ANT266" s="412"/>
      <c r="ANU266" s="412"/>
      <c r="ANV266" s="412"/>
      <c r="ANW266" s="412"/>
      <c r="ANX266" s="412"/>
      <c r="ANY266" s="412"/>
      <c r="ANZ266" s="412"/>
      <c r="AOA266" s="412"/>
      <c r="AOB266" s="412"/>
      <c r="AOC266" s="412"/>
      <c r="AOD266" s="412"/>
      <c r="AOE266" s="412"/>
      <c r="AOF266" s="412"/>
      <c r="AOG266" s="412"/>
      <c r="AOH266" s="412"/>
      <c r="AOI266" s="412"/>
      <c r="AOJ266" s="412"/>
      <c r="AOK266" s="412"/>
      <c r="AOL266" s="412"/>
      <c r="AOM266" s="412"/>
      <c r="AON266" s="412"/>
      <c r="AOO266" s="412"/>
      <c r="AOP266" s="412"/>
      <c r="AOQ266" s="412"/>
      <c r="AOR266" s="412"/>
      <c r="AOS266" s="412"/>
      <c r="AOT266" s="412"/>
      <c r="AOU266" s="412"/>
      <c r="AOV266" s="412"/>
      <c r="AOW266" s="412"/>
      <c r="AOX266" s="412"/>
      <c r="AOY266" s="412"/>
      <c r="AOZ266" s="412"/>
      <c r="APA266" s="412"/>
      <c r="APB266" s="412"/>
      <c r="APC266" s="412"/>
      <c r="APD266" s="412"/>
      <c r="APE266" s="412"/>
      <c r="APF266" s="412"/>
      <c r="APG266" s="412"/>
      <c r="APH266" s="412"/>
      <c r="API266" s="412"/>
      <c r="APJ266" s="412"/>
      <c r="APK266" s="412"/>
      <c r="APL266" s="412"/>
      <c r="APM266" s="412"/>
      <c r="APN266" s="412"/>
      <c r="APO266" s="412"/>
      <c r="APP266" s="412"/>
      <c r="APQ266" s="412"/>
      <c r="APR266" s="412"/>
      <c r="APS266" s="412"/>
      <c r="APT266" s="412"/>
      <c r="APU266" s="412"/>
      <c r="APV266" s="412"/>
      <c r="APW266" s="412"/>
      <c r="APX266" s="412"/>
      <c r="APY266" s="412"/>
      <c r="APZ266" s="412"/>
      <c r="AQA266" s="412"/>
      <c r="AQB266" s="412"/>
      <c r="AQC266" s="412"/>
      <c r="AQD266" s="412"/>
      <c r="AQE266" s="412"/>
      <c r="AQF266" s="412"/>
      <c r="AQG266" s="412"/>
      <c r="AQH266" s="412"/>
      <c r="AQI266" s="412"/>
      <c r="AQJ266" s="412"/>
      <c r="AQK266" s="412"/>
      <c r="AQL266" s="412"/>
      <c r="AQM266" s="412"/>
      <c r="AQN266" s="412"/>
      <c r="AQO266" s="412"/>
      <c r="AQP266" s="412"/>
      <c r="AQQ266" s="412"/>
      <c r="AQR266" s="412"/>
      <c r="AQS266" s="412"/>
      <c r="AQT266" s="412"/>
      <c r="AQU266" s="412"/>
      <c r="AQV266" s="412"/>
      <c r="AQW266" s="412"/>
      <c r="AQX266" s="412"/>
      <c r="AQY266" s="412"/>
      <c r="AQZ266" s="412"/>
      <c r="ARA266" s="412"/>
      <c r="ARB266" s="412"/>
      <c r="ARC266" s="412"/>
      <c r="ARD266" s="412"/>
      <c r="ARE266" s="412"/>
      <c r="ARF266" s="412"/>
      <c r="ARG266" s="412"/>
      <c r="ARH266" s="412"/>
      <c r="ARI266" s="412"/>
      <c r="ARJ266" s="412"/>
      <c r="ARK266" s="412"/>
      <c r="ARL266" s="412"/>
      <c r="ARM266" s="412"/>
      <c r="ARN266" s="412"/>
      <c r="ARO266" s="412"/>
      <c r="ARP266" s="412"/>
      <c r="ARQ266" s="412"/>
      <c r="ARR266" s="412"/>
      <c r="ARS266" s="412"/>
      <c r="ART266" s="412"/>
      <c r="ARU266" s="412"/>
      <c r="ARV266" s="412"/>
      <c r="ARW266" s="412"/>
      <c r="ARX266" s="412"/>
      <c r="ARY266" s="412"/>
      <c r="ARZ266" s="412"/>
      <c r="ASA266" s="412"/>
      <c r="ASB266" s="412"/>
      <c r="ASC266" s="412"/>
      <c r="ASD266" s="412"/>
      <c r="ASE266" s="412"/>
      <c r="ASF266" s="412"/>
      <c r="ASG266" s="412"/>
      <c r="ASH266" s="412"/>
      <c r="ASI266" s="412"/>
      <c r="ASJ266" s="412"/>
      <c r="ASK266" s="412"/>
      <c r="ASL266" s="412"/>
      <c r="ASM266" s="412"/>
      <c r="ASN266" s="412"/>
      <c r="ASO266" s="412"/>
      <c r="ASP266" s="412"/>
      <c r="ASQ266" s="412"/>
      <c r="ASR266" s="412"/>
      <c r="ASS266" s="412"/>
      <c r="AST266" s="412"/>
      <c r="ASU266" s="412"/>
      <c r="ASV266" s="412"/>
      <c r="ASW266" s="412"/>
      <c r="ASX266" s="412"/>
      <c r="ASY266" s="412"/>
      <c r="ASZ266" s="412"/>
      <c r="ATA266" s="412"/>
      <c r="ATB266" s="412"/>
      <c r="ATC266" s="412"/>
      <c r="ATD266" s="412"/>
      <c r="ATE266" s="412"/>
      <c r="ATF266" s="412"/>
      <c r="ATG266" s="412"/>
      <c r="ATH266" s="412"/>
      <c r="ATI266" s="412"/>
      <c r="ATJ266" s="412"/>
      <c r="ATK266" s="412"/>
      <c r="ATL266" s="412"/>
      <c r="ATM266" s="412"/>
      <c r="ATN266" s="412"/>
      <c r="ATO266" s="412"/>
      <c r="ATP266" s="412"/>
      <c r="ATQ266" s="412"/>
      <c r="ATR266" s="412"/>
      <c r="ATS266" s="412"/>
      <c r="ATT266" s="412"/>
      <c r="ATU266" s="412"/>
      <c r="ATV266" s="412"/>
      <c r="ATW266" s="412"/>
      <c r="ATX266" s="412"/>
      <c r="ATY266" s="412"/>
      <c r="ATZ266" s="412"/>
      <c r="AUA266" s="412"/>
      <c r="AUB266" s="412"/>
      <c r="AUC266" s="412"/>
      <c r="AUD266" s="412"/>
      <c r="AUE266" s="412"/>
      <c r="AUF266" s="412"/>
      <c r="AUG266" s="412"/>
      <c r="AUH266" s="412"/>
      <c r="AUI266" s="412"/>
      <c r="AUJ266" s="412"/>
      <c r="AUK266" s="412"/>
      <c r="AUL266" s="412"/>
      <c r="AUM266" s="412"/>
      <c r="AUN266" s="412"/>
      <c r="AUO266" s="412"/>
      <c r="AUP266" s="412"/>
      <c r="AUQ266" s="412"/>
      <c r="AUR266" s="412"/>
      <c r="AUS266" s="412"/>
      <c r="AUT266" s="412"/>
      <c r="AUU266" s="412"/>
      <c r="AUV266" s="412"/>
      <c r="AUW266" s="412"/>
      <c r="AUX266" s="412"/>
      <c r="AUY266" s="412"/>
      <c r="AUZ266" s="412"/>
      <c r="AVA266" s="412"/>
      <c r="AVB266" s="412"/>
      <c r="AVC266" s="412"/>
      <c r="AVD266" s="412"/>
      <c r="AVE266" s="412"/>
      <c r="AVF266" s="412"/>
      <c r="AVG266" s="412"/>
      <c r="AVH266" s="412"/>
      <c r="AVI266" s="412"/>
      <c r="AVJ266" s="412"/>
      <c r="AVK266" s="412"/>
      <c r="AVL266" s="412"/>
      <c r="AVM266" s="412"/>
      <c r="AVN266" s="412"/>
      <c r="AVO266" s="412"/>
      <c r="AVP266" s="412"/>
      <c r="AVQ266" s="412"/>
      <c r="AVR266" s="412"/>
      <c r="AVS266" s="412"/>
      <c r="AVT266" s="412"/>
      <c r="AVU266" s="412"/>
      <c r="AVV266" s="412"/>
      <c r="AVW266" s="412"/>
      <c r="AVX266" s="412"/>
      <c r="AVY266" s="412"/>
      <c r="AVZ266" s="412"/>
      <c r="AWA266" s="412"/>
      <c r="AWB266" s="412"/>
      <c r="AWC266" s="412"/>
      <c r="AWD266" s="412"/>
      <c r="AWE266" s="412"/>
      <c r="AWF266" s="412"/>
      <c r="AWG266" s="412"/>
      <c r="AWH266" s="412"/>
      <c r="AWI266" s="412"/>
      <c r="AWJ266" s="412"/>
      <c r="AWK266" s="412"/>
      <c r="AWL266" s="412"/>
      <c r="AWM266" s="412"/>
      <c r="AWN266" s="412"/>
      <c r="AWO266" s="412"/>
      <c r="AWP266" s="412"/>
      <c r="AWQ266" s="412"/>
      <c r="AWR266" s="412"/>
      <c r="AWS266" s="412"/>
      <c r="AWT266" s="412"/>
      <c r="AWU266" s="412"/>
      <c r="AWV266" s="412"/>
      <c r="AWW266" s="412"/>
      <c r="AWX266" s="412"/>
      <c r="AWY266" s="412"/>
      <c r="AWZ266" s="412"/>
      <c r="AXA266" s="412"/>
      <c r="AXB266" s="412"/>
      <c r="AXC266" s="412"/>
      <c r="AXD266" s="412"/>
      <c r="AXE266" s="412"/>
      <c r="AXF266" s="412"/>
      <c r="AXG266" s="412"/>
      <c r="AXH266" s="412"/>
      <c r="AXI266" s="412"/>
      <c r="AXJ266" s="412"/>
      <c r="AXK266" s="412"/>
      <c r="AXL266" s="412"/>
      <c r="AXM266" s="412"/>
      <c r="AXN266" s="412"/>
      <c r="AXO266" s="412"/>
      <c r="AXP266" s="412"/>
      <c r="AXQ266" s="412"/>
      <c r="AXR266" s="412"/>
      <c r="AXS266" s="412"/>
      <c r="AXT266" s="412"/>
      <c r="AXU266" s="412"/>
      <c r="AXV266" s="412"/>
      <c r="AXW266" s="412"/>
      <c r="AXX266" s="412"/>
      <c r="AXY266" s="412"/>
      <c r="AXZ266" s="412"/>
      <c r="AYA266" s="412"/>
      <c r="AYB266" s="412"/>
      <c r="AYC266" s="412"/>
      <c r="AYD266" s="412"/>
      <c r="AYE266" s="412"/>
      <c r="AYF266" s="412"/>
      <c r="AYG266" s="412"/>
      <c r="AYH266" s="412"/>
      <c r="AYI266" s="412"/>
      <c r="AYJ266" s="412"/>
      <c r="AYK266" s="412"/>
      <c r="AYL266" s="412"/>
      <c r="AYM266" s="412"/>
      <c r="AYN266" s="412"/>
      <c r="AYO266" s="412"/>
      <c r="AYP266" s="412"/>
      <c r="AYQ266" s="412"/>
      <c r="AYR266" s="412"/>
      <c r="AYS266" s="412"/>
      <c r="AYT266" s="412"/>
      <c r="AYU266" s="412"/>
      <c r="AYV266" s="412"/>
      <c r="AYW266" s="412"/>
      <c r="AYX266" s="412"/>
      <c r="AYY266" s="412"/>
      <c r="AYZ266" s="412"/>
      <c r="AZA266" s="412"/>
      <c r="AZB266" s="412"/>
      <c r="AZC266" s="412"/>
      <c r="AZD266" s="412"/>
      <c r="AZE266" s="412"/>
      <c r="AZF266" s="412"/>
      <c r="AZG266" s="412"/>
      <c r="AZH266" s="412"/>
      <c r="AZI266" s="412"/>
      <c r="AZJ266" s="412"/>
      <c r="AZK266" s="412"/>
      <c r="AZL266" s="412"/>
      <c r="AZM266" s="412"/>
      <c r="AZN266" s="412"/>
      <c r="AZO266" s="412"/>
      <c r="AZP266" s="412"/>
      <c r="AZQ266" s="412"/>
      <c r="AZR266" s="412"/>
      <c r="AZS266" s="412"/>
      <c r="AZT266" s="412"/>
      <c r="AZU266" s="412"/>
      <c r="AZV266" s="412"/>
      <c r="AZW266" s="412"/>
      <c r="AZX266" s="412"/>
      <c r="AZY266" s="412"/>
      <c r="AZZ266" s="412"/>
      <c r="BAA266" s="412"/>
      <c r="BAB266" s="412"/>
      <c r="BAC266" s="412"/>
      <c r="BAD266" s="412"/>
      <c r="BAE266" s="412"/>
      <c r="BAF266" s="412"/>
      <c r="BAG266" s="412"/>
      <c r="BAH266" s="412"/>
      <c r="BAI266" s="412"/>
      <c r="BAJ266" s="412"/>
      <c r="BAK266" s="412"/>
      <c r="BAL266" s="412"/>
      <c r="BAM266" s="412"/>
      <c r="BAN266" s="412"/>
      <c r="BAO266" s="412"/>
      <c r="BAP266" s="412"/>
      <c r="BAQ266" s="412"/>
      <c r="BAR266" s="412"/>
      <c r="BAS266" s="412"/>
      <c r="BAT266" s="412"/>
      <c r="BAU266" s="412"/>
      <c r="BAV266" s="412"/>
      <c r="BAW266" s="412"/>
      <c r="BAX266" s="412"/>
      <c r="BAY266" s="412"/>
      <c r="BAZ266" s="412"/>
      <c r="BBA266" s="412"/>
      <c r="BBB266" s="412"/>
      <c r="BBC266" s="412"/>
      <c r="BBD266" s="412"/>
      <c r="BBE266" s="412"/>
      <c r="BBF266" s="412"/>
      <c r="BBG266" s="412"/>
      <c r="BBH266" s="412"/>
      <c r="BBI266" s="412"/>
      <c r="BBJ266" s="412"/>
      <c r="BBK266" s="412"/>
      <c r="BBL266" s="412"/>
      <c r="BBM266" s="412"/>
      <c r="BBN266" s="412"/>
      <c r="BBO266" s="412"/>
      <c r="BBP266" s="412"/>
      <c r="BBQ266" s="412"/>
      <c r="BBR266" s="412"/>
      <c r="BBS266" s="412"/>
      <c r="BBT266" s="412"/>
      <c r="BBU266" s="412"/>
      <c r="BBV266" s="412"/>
      <c r="BBW266" s="412"/>
      <c r="BBX266" s="412"/>
      <c r="BBY266" s="412"/>
      <c r="BBZ266" s="412"/>
      <c r="BCA266" s="412"/>
      <c r="BCB266" s="412"/>
      <c r="BCC266" s="412"/>
      <c r="BCD266" s="412"/>
      <c r="BCE266" s="412"/>
      <c r="BCF266" s="412"/>
      <c r="BCG266" s="412"/>
      <c r="BCH266" s="412"/>
      <c r="BCI266" s="412"/>
      <c r="BCJ266" s="412"/>
      <c r="BCK266" s="412"/>
      <c r="BCL266" s="412"/>
      <c r="BCM266" s="412"/>
      <c r="BCN266" s="412"/>
      <c r="BCO266" s="412"/>
      <c r="BCP266" s="412"/>
      <c r="BCQ266" s="412"/>
      <c r="BCR266" s="412"/>
      <c r="BCS266" s="412"/>
      <c r="BCT266" s="412"/>
      <c r="BCU266" s="412"/>
      <c r="BCV266" s="412"/>
      <c r="BCW266" s="412"/>
      <c r="BCX266" s="412"/>
      <c r="BCY266" s="412"/>
      <c r="BCZ266" s="412"/>
      <c r="BDA266" s="412"/>
      <c r="BDB266" s="412"/>
      <c r="BDC266" s="412"/>
      <c r="BDD266" s="412"/>
      <c r="BDE266" s="412"/>
      <c r="BDF266" s="412"/>
      <c r="BDG266" s="412"/>
      <c r="BDH266" s="412"/>
      <c r="BDI266" s="412"/>
      <c r="BDJ266" s="412"/>
      <c r="BDK266" s="412"/>
      <c r="BDL266" s="412"/>
      <c r="BDM266" s="412"/>
      <c r="BDN266" s="412"/>
      <c r="BDO266" s="412"/>
      <c r="BDP266" s="412"/>
      <c r="BDQ266" s="412"/>
      <c r="BDR266" s="412"/>
      <c r="BDS266" s="412"/>
      <c r="BDT266" s="412"/>
      <c r="BDU266" s="412"/>
      <c r="BDV266" s="412"/>
      <c r="BDW266" s="412"/>
      <c r="BDX266" s="412"/>
      <c r="BDY266" s="412"/>
      <c r="BDZ266" s="412"/>
      <c r="BEA266" s="412"/>
      <c r="BEB266" s="412"/>
      <c r="BEC266" s="412"/>
      <c r="BED266" s="412"/>
      <c r="BEE266" s="412"/>
      <c r="BEF266" s="412"/>
      <c r="BEG266" s="412"/>
      <c r="BEH266" s="412"/>
      <c r="BEI266" s="412"/>
      <c r="BEJ266" s="412"/>
      <c r="BEK266" s="412"/>
      <c r="BEL266" s="412"/>
      <c r="BEM266" s="412"/>
      <c r="BEN266" s="412"/>
      <c r="BEO266" s="412"/>
      <c r="BEP266" s="412"/>
      <c r="BEQ266" s="412"/>
      <c r="BER266" s="412"/>
      <c r="BES266" s="412"/>
      <c r="BET266" s="412"/>
      <c r="BEU266" s="412"/>
      <c r="BEV266" s="412"/>
      <c r="BEW266" s="412"/>
      <c r="BEX266" s="412"/>
      <c r="BEY266" s="412"/>
      <c r="BEZ266" s="412"/>
      <c r="BFA266" s="412"/>
      <c r="BFB266" s="412"/>
      <c r="BFC266" s="412"/>
      <c r="BFD266" s="412"/>
      <c r="BFE266" s="412"/>
      <c r="BFF266" s="412"/>
      <c r="BFG266" s="412"/>
      <c r="BFH266" s="412"/>
      <c r="BFI266" s="412"/>
      <c r="BFJ266" s="412"/>
      <c r="BFK266" s="412"/>
      <c r="BFL266" s="412"/>
      <c r="BFM266" s="412"/>
      <c r="BFN266" s="412"/>
      <c r="BFO266" s="412"/>
      <c r="BFP266" s="412"/>
      <c r="BFQ266" s="412"/>
      <c r="BFR266" s="412"/>
      <c r="BFS266" s="412"/>
      <c r="BFT266" s="412"/>
      <c r="BFU266" s="412"/>
      <c r="BFV266" s="412"/>
      <c r="BFW266" s="412"/>
      <c r="BFX266" s="412"/>
      <c r="BFY266" s="412"/>
      <c r="BFZ266" s="412"/>
      <c r="BGA266" s="412"/>
      <c r="BGB266" s="412"/>
      <c r="BGC266" s="412"/>
      <c r="BGD266" s="412"/>
      <c r="BGE266" s="412"/>
      <c r="BGF266" s="412"/>
      <c r="BGG266" s="412"/>
      <c r="BGH266" s="412"/>
      <c r="BGI266" s="412"/>
      <c r="BGJ266" s="412"/>
      <c r="BGK266" s="412"/>
      <c r="BGL266" s="412"/>
      <c r="BGM266" s="412"/>
      <c r="BGN266" s="412"/>
      <c r="BGO266" s="412"/>
      <c r="BGP266" s="412"/>
      <c r="BGQ266" s="412"/>
      <c r="BGR266" s="412"/>
      <c r="BGS266" s="412"/>
      <c r="BGT266" s="412"/>
      <c r="BGU266" s="412"/>
      <c r="BGV266" s="412"/>
      <c r="BGW266" s="412"/>
      <c r="BGX266" s="412"/>
      <c r="BGY266" s="412"/>
      <c r="BGZ266" s="412"/>
      <c r="BHA266" s="412"/>
      <c r="BHB266" s="412"/>
      <c r="BHC266" s="412"/>
      <c r="BHD266" s="412"/>
      <c r="BHE266" s="412"/>
      <c r="BHF266" s="412"/>
      <c r="BHG266" s="412"/>
      <c r="BHH266" s="412"/>
      <c r="BHI266" s="412"/>
      <c r="BHJ266" s="412"/>
      <c r="BHK266" s="412"/>
      <c r="BHL266" s="412"/>
      <c r="BHM266" s="412"/>
      <c r="BHN266" s="412"/>
      <c r="BHO266" s="412"/>
      <c r="BHP266" s="412"/>
      <c r="BHQ266" s="412"/>
      <c r="BHR266" s="412"/>
      <c r="BHS266" s="412"/>
      <c r="BHT266" s="412"/>
      <c r="BHU266" s="412"/>
      <c r="BHV266" s="412"/>
      <c r="BHW266" s="412"/>
      <c r="BHX266" s="412"/>
      <c r="BHY266" s="412"/>
      <c r="BHZ266" s="412"/>
      <c r="BIA266" s="412"/>
      <c r="BIB266" s="412"/>
      <c r="BIC266" s="412"/>
      <c r="BID266" s="412"/>
      <c r="BIE266" s="412"/>
      <c r="BIF266" s="412"/>
      <c r="BIG266" s="412"/>
      <c r="BIH266" s="412"/>
      <c r="BII266" s="412"/>
      <c r="BIJ266" s="412"/>
      <c r="BIK266" s="412"/>
      <c r="BIL266" s="412"/>
      <c r="BIM266" s="412"/>
      <c r="BIN266" s="412"/>
      <c r="BIO266" s="412"/>
      <c r="BIP266" s="412"/>
      <c r="BIQ266" s="412"/>
      <c r="BIR266" s="412"/>
      <c r="BIS266" s="412"/>
      <c r="BIT266" s="412"/>
      <c r="BIU266" s="412"/>
      <c r="BIV266" s="412"/>
      <c r="BIW266" s="412"/>
      <c r="BIX266" s="412"/>
      <c r="BIY266" s="412"/>
      <c r="BIZ266" s="412"/>
      <c r="BJA266" s="412"/>
      <c r="BJB266" s="412"/>
      <c r="BJC266" s="412"/>
      <c r="BJD266" s="412"/>
      <c r="BJE266" s="412"/>
      <c r="BJF266" s="412"/>
      <c r="BJG266" s="412"/>
      <c r="BJH266" s="412"/>
      <c r="BJI266" s="412"/>
      <c r="BJJ266" s="412"/>
      <c r="BJK266" s="412"/>
      <c r="BJL266" s="412"/>
      <c r="BJM266" s="412"/>
      <c r="BJN266" s="412"/>
      <c r="BJO266" s="412"/>
      <c r="BJP266" s="412"/>
      <c r="BJQ266" s="412"/>
      <c r="BJR266" s="412"/>
      <c r="BJS266" s="412"/>
      <c r="BJT266" s="412"/>
      <c r="BJU266" s="412"/>
      <c r="BJV266" s="412"/>
      <c r="BJW266" s="412"/>
      <c r="BJX266" s="412"/>
      <c r="BJY266" s="412"/>
      <c r="BJZ266" s="412"/>
      <c r="BKA266" s="412"/>
      <c r="BKB266" s="412"/>
      <c r="BKC266" s="412"/>
      <c r="BKD266" s="412"/>
      <c r="BKE266" s="412"/>
      <c r="BKF266" s="412"/>
      <c r="BKG266" s="412"/>
      <c r="BKH266" s="412"/>
      <c r="BKI266" s="412"/>
      <c r="BKJ266" s="412"/>
      <c r="BKK266" s="412"/>
      <c r="BKL266" s="412"/>
      <c r="BKM266" s="412"/>
      <c r="BKN266" s="412"/>
      <c r="BKO266" s="412"/>
      <c r="BKP266" s="412"/>
      <c r="BKQ266" s="412"/>
      <c r="BKR266" s="412"/>
      <c r="BKS266" s="412"/>
      <c r="BKT266" s="412"/>
      <c r="BKU266" s="412"/>
      <c r="BKV266" s="412"/>
      <c r="BKW266" s="412"/>
      <c r="BKX266" s="412"/>
      <c r="BKY266" s="412"/>
      <c r="BKZ266" s="412"/>
      <c r="BLA266" s="412"/>
      <c r="BLB266" s="412"/>
      <c r="BLC266" s="412"/>
      <c r="BLD266" s="412"/>
      <c r="BLE266" s="412"/>
      <c r="BLF266" s="412"/>
      <c r="BLG266" s="412"/>
      <c r="BLH266" s="412"/>
      <c r="BLI266" s="412"/>
      <c r="BLJ266" s="412"/>
      <c r="BLK266" s="412"/>
      <c r="BLL266" s="412"/>
      <c r="BLM266" s="412"/>
      <c r="BLN266" s="412"/>
      <c r="BLO266" s="412"/>
      <c r="BLP266" s="412"/>
      <c r="BLQ266" s="412"/>
      <c r="BLR266" s="412"/>
      <c r="BLS266" s="412"/>
      <c r="BLT266" s="412"/>
      <c r="BLU266" s="412"/>
      <c r="BLV266" s="412"/>
      <c r="BLW266" s="412"/>
      <c r="BLX266" s="412"/>
      <c r="BLY266" s="412"/>
      <c r="BLZ266" s="412"/>
      <c r="BMA266" s="412"/>
      <c r="BMB266" s="412"/>
      <c r="BMC266" s="412"/>
      <c r="BMD266" s="412"/>
      <c r="BME266" s="412"/>
      <c r="BMF266" s="412"/>
      <c r="BMG266" s="412"/>
      <c r="BMH266" s="412"/>
      <c r="BMI266" s="412"/>
      <c r="BMJ266" s="412"/>
      <c r="BMK266" s="412"/>
      <c r="BML266" s="412"/>
      <c r="BMM266" s="412"/>
      <c r="BMN266" s="412"/>
      <c r="BMO266" s="412"/>
      <c r="BMP266" s="412"/>
      <c r="BMQ266" s="412"/>
      <c r="BMR266" s="412"/>
      <c r="BMS266" s="412"/>
      <c r="BMT266" s="412"/>
      <c r="BMU266" s="412"/>
      <c r="BMV266" s="412"/>
      <c r="BMW266" s="412"/>
      <c r="BMX266" s="412"/>
      <c r="BMY266" s="412"/>
      <c r="BMZ266" s="412"/>
      <c r="BNA266" s="412"/>
      <c r="BNB266" s="412"/>
      <c r="BNC266" s="412"/>
      <c r="BND266" s="412"/>
      <c r="BNE266" s="412"/>
      <c r="BNF266" s="412"/>
      <c r="BNG266" s="412"/>
      <c r="BNH266" s="412"/>
      <c r="BNI266" s="412"/>
      <c r="BNJ266" s="412"/>
      <c r="BNK266" s="412"/>
      <c r="BNL266" s="412"/>
      <c r="BNM266" s="412"/>
      <c r="BNN266" s="412"/>
      <c r="BNO266" s="412"/>
      <c r="BNP266" s="412"/>
      <c r="BNQ266" s="412"/>
      <c r="BNR266" s="412"/>
      <c r="BNS266" s="412"/>
      <c r="BNT266" s="412"/>
      <c r="BNU266" s="412"/>
      <c r="BNV266" s="412"/>
      <c r="BNW266" s="412"/>
      <c r="BNX266" s="412"/>
      <c r="BNY266" s="412"/>
      <c r="BNZ266" s="412"/>
      <c r="BOA266" s="412"/>
      <c r="BOB266" s="412"/>
      <c r="BOC266" s="412"/>
      <c r="BOD266" s="412"/>
      <c r="BOE266" s="412"/>
      <c r="BOF266" s="412"/>
      <c r="BOG266" s="412"/>
      <c r="BOH266" s="412"/>
      <c r="BOI266" s="412"/>
      <c r="BOJ266" s="412"/>
      <c r="BOK266" s="412"/>
      <c r="BOL266" s="412"/>
      <c r="BOM266" s="412"/>
      <c r="BON266" s="412"/>
      <c r="BOO266" s="412"/>
      <c r="BOP266" s="412"/>
      <c r="BOQ266" s="412"/>
      <c r="BOR266" s="412"/>
      <c r="BOS266" s="412"/>
      <c r="BOT266" s="412"/>
      <c r="BOU266" s="412"/>
      <c r="BOV266" s="412"/>
      <c r="BOW266" s="412"/>
      <c r="BOX266" s="412"/>
      <c r="BOY266" s="412"/>
      <c r="BOZ266" s="412"/>
      <c r="BPA266" s="412"/>
      <c r="BPB266" s="412"/>
      <c r="BPC266" s="412"/>
      <c r="BPD266" s="412"/>
      <c r="BPE266" s="412"/>
      <c r="BPF266" s="412"/>
      <c r="BPG266" s="412"/>
      <c r="BPH266" s="412"/>
      <c r="BPI266" s="412"/>
      <c r="BPJ266" s="412"/>
      <c r="BPK266" s="412"/>
      <c r="BPL266" s="412"/>
      <c r="BPM266" s="412"/>
      <c r="BPN266" s="412"/>
      <c r="BPO266" s="412"/>
      <c r="BPP266" s="412"/>
      <c r="BPQ266" s="412"/>
      <c r="BPR266" s="412"/>
      <c r="BPS266" s="412"/>
      <c r="BPT266" s="412"/>
      <c r="BPU266" s="412"/>
      <c r="BPV266" s="412"/>
      <c r="BPW266" s="412"/>
      <c r="BPX266" s="412"/>
      <c r="BPY266" s="412"/>
      <c r="BPZ266" s="412"/>
      <c r="BQA266" s="412"/>
      <c r="BQB266" s="412"/>
      <c r="BQC266" s="412"/>
      <c r="BQD266" s="412"/>
      <c r="BQE266" s="412"/>
      <c r="BQF266" s="412"/>
      <c r="BQG266" s="412"/>
      <c r="BQH266" s="412"/>
      <c r="BQI266" s="412"/>
      <c r="BQJ266" s="412"/>
      <c r="BQK266" s="412"/>
      <c r="BQL266" s="412"/>
      <c r="BQM266" s="412"/>
      <c r="BQN266" s="412"/>
      <c r="BQO266" s="412"/>
      <c r="BQP266" s="412"/>
      <c r="BQQ266" s="412"/>
      <c r="BQR266" s="412"/>
      <c r="BQS266" s="412"/>
      <c r="BQT266" s="412"/>
      <c r="BQU266" s="412"/>
      <c r="BQV266" s="412"/>
      <c r="BQW266" s="412"/>
      <c r="BQX266" s="412"/>
      <c r="BQY266" s="412"/>
      <c r="BQZ266" s="412"/>
      <c r="BRA266" s="412"/>
      <c r="BRB266" s="412"/>
      <c r="BRC266" s="412"/>
      <c r="BRD266" s="412"/>
      <c r="BRE266" s="412"/>
      <c r="BRF266" s="412"/>
      <c r="BRG266" s="412"/>
      <c r="BRH266" s="412"/>
      <c r="BRI266" s="412"/>
      <c r="BRJ266" s="412"/>
      <c r="BRK266" s="412"/>
      <c r="BRL266" s="412"/>
      <c r="BRM266" s="412"/>
      <c r="BRN266" s="412"/>
      <c r="BRO266" s="412"/>
      <c r="BRP266" s="412"/>
      <c r="BRQ266" s="412"/>
      <c r="BRR266" s="412"/>
      <c r="BRS266" s="412"/>
      <c r="BRT266" s="412"/>
      <c r="BRU266" s="412"/>
      <c r="BRV266" s="412"/>
      <c r="BRW266" s="412"/>
      <c r="BRX266" s="412"/>
      <c r="BRY266" s="412"/>
      <c r="BRZ266" s="412"/>
      <c r="BSA266" s="412"/>
      <c r="BSB266" s="412"/>
      <c r="BSC266" s="412"/>
      <c r="BSD266" s="412"/>
      <c r="BSE266" s="412"/>
      <c r="BSF266" s="412"/>
      <c r="BSG266" s="412"/>
      <c r="BSH266" s="412"/>
      <c r="BSI266" s="412"/>
      <c r="BSJ266" s="412"/>
      <c r="BSK266" s="412"/>
      <c r="BSL266" s="412"/>
      <c r="BSM266" s="412"/>
      <c r="BSN266" s="412"/>
      <c r="BSO266" s="412"/>
      <c r="BSP266" s="412"/>
      <c r="BSQ266" s="412"/>
      <c r="BSR266" s="412"/>
      <c r="BSS266" s="412"/>
      <c r="BST266" s="412"/>
      <c r="BSU266" s="412"/>
      <c r="BSV266" s="412"/>
      <c r="BSW266" s="412"/>
      <c r="BSX266" s="412"/>
      <c r="BSY266" s="412"/>
      <c r="BSZ266" s="412"/>
      <c r="BTA266" s="412"/>
      <c r="BTB266" s="412"/>
      <c r="BTC266" s="412"/>
      <c r="BTD266" s="412"/>
      <c r="BTE266" s="412"/>
      <c r="BTF266" s="412"/>
      <c r="BTG266" s="412"/>
      <c r="BTH266" s="412"/>
      <c r="BTI266" s="412"/>
    </row>
    <row r="267" spans="1:1881" s="411" customFormat="1" x14ac:dyDescent="0.25">
      <c r="A267" s="423"/>
      <c r="B267" s="419"/>
      <c r="C267" s="422"/>
      <c r="D267" s="338"/>
      <c r="E267" s="416"/>
      <c r="F267" s="603"/>
      <c r="G267" s="394"/>
      <c r="H267" s="414"/>
      <c r="I267" s="423"/>
      <c r="J267" s="412"/>
      <c r="K267" s="412"/>
      <c r="L267" s="412"/>
      <c r="M267" s="412"/>
      <c r="N267"/>
      <c r="O267" s="412"/>
      <c r="P267" s="412"/>
      <c r="Q267" s="412"/>
      <c r="R267" s="412"/>
      <c r="S267" s="412"/>
      <c r="T267" s="412"/>
      <c r="U267" s="412"/>
      <c r="V267" s="412"/>
      <c r="W267" s="412"/>
      <c r="X267" s="412"/>
      <c r="Y267" s="412"/>
      <c r="Z267" s="412"/>
      <c r="AA267" s="412"/>
      <c r="AB267" s="412"/>
      <c r="AC267" s="412"/>
      <c r="AD267" s="412"/>
      <c r="AE267" s="412"/>
      <c r="AF267" s="412"/>
      <c r="AG267" s="412"/>
      <c r="AH267" s="412"/>
      <c r="AI267" s="412"/>
      <c r="AJ267" s="412"/>
      <c r="AK267" s="412"/>
      <c r="AL267" s="412"/>
      <c r="AM267" s="412"/>
      <c r="AN267" s="412"/>
      <c r="AO267" s="412"/>
      <c r="AP267" s="412"/>
      <c r="AQ267" s="412"/>
      <c r="AR267" s="412"/>
      <c r="AS267" s="412"/>
      <c r="AT267" s="412"/>
      <c r="AU267" s="412"/>
      <c r="AV267" s="412"/>
      <c r="AW267" s="412"/>
      <c r="AX267" s="412"/>
      <c r="AY267" s="412"/>
      <c r="AZ267" s="412"/>
      <c r="BA267" s="412"/>
      <c r="BB267" s="412"/>
      <c r="BC267" s="412"/>
      <c r="BD267" s="412"/>
      <c r="BE267" s="412"/>
      <c r="BF267" s="412"/>
      <c r="BG267" s="412"/>
      <c r="BH267" s="412"/>
      <c r="BI267" s="412"/>
      <c r="BJ267" s="412"/>
      <c r="BK267" s="412"/>
      <c r="BL267" s="412"/>
      <c r="BM267" s="412"/>
      <c r="BN267" s="412"/>
      <c r="BO267" s="412"/>
      <c r="BP267" s="412"/>
      <c r="BQ267" s="412"/>
      <c r="BR267" s="412"/>
      <c r="BS267" s="412"/>
      <c r="BT267" s="412"/>
      <c r="BU267" s="412"/>
      <c r="BV267" s="412"/>
      <c r="BW267" s="412"/>
      <c r="BX267" s="412"/>
      <c r="BY267" s="412"/>
      <c r="BZ267" s="412"/>
      <c r="CA267" s="412"/>
      <c r="CB267" s="412"/>
      <c r="CC267" s="412"/>
      <c r="CD267" s="412"/>
      <c r="CE267" s="412"/>
      <c r="CF267" s="412"/>
      <c r="CG267" s="412"/>
      <c r="CH267" s="412"/>
      <c r="CI267" s="412"/>
      <c r="CJ267" s="412"/>
      <c r="CK267" s="412"/>
      <c r="CL267" s="412"/>
      <c r="CM267" s="412"/>
      <c r="CN267" s="412"/>
      <c r="CO267" s="412"/>
      <c r="CP267" s="412"/>
      <c r="CQ267" s="412"/>
      <c r="CR267" s="412"/>
      <c r="CS267" s="412"/>
      <c r="CT267" s="412"/>
      <c r="CU267" s="412"/>
      <c r="CV267" s="412"/>
      <c r="CW267" s="412"/>
      <c r="CX267" s="412"/>
      <c r="CY267" s="412"/>
      <c r="CZ267" s="412"/>
      <c r="DA267" s="412"/>
      <c r="DB267" s="412"/>
      <c r="DC267" s="412"/>
      <c r="DD267" s="412"/>
      <c r="DE267" s="412"/>
      <c r="DF267" s="412"/>
      <c r="DG267" s="412"/>
      <c r="DH267" s="412"/>
      <c r="DI267" s="412"/>
      <c r="DJ267" s="412"/>
      <c r="DK267" s="412"/>
      <c r="DL267" s="412"/>
      <c r="DM267" s="412"/>
      <c r="DN267" s="412"/>
      <c r="DO267" s="412"/>
      <c r="DP267" s="412"/>
      <c r="DQ267" s="412"/>
      <c r="DR267" s="412"/>
      <c r="DS267" s="412"/>
      <c r="DT267" s="412"/>
      <c r="DU267" s="412"/>
      <c r="DV267" s="412"/>
      <c r="DW267" s="412"/>
      <c r="DX267" s="412"/>
      <c r="DY267" s="412"/>
      <c r="DZ267" s="412"/>
      <c r="EA267" s="412"/>
      <c r="EB267" s="412"/>
      <c r="EC267" s="412"/>
      <c r="ED267" s="412"/>
      <c r="EE267" s="412"/>
      <c r="EF267" s="412"/>
      <c r="EG267" s="412"/>
      <c r="EH267" s="412"/>
      <c r="EI267" s="412"/>
      <c r="EJ267" s="412"/>
      <c r="EK267" s="412"/>
      <c r="EL267" s="412"/>
      <c r="EM267" s="412"/>
      <c r="EN267" s="412"/>
      <c r="EO267" s="412"/>
      <c r="EP267" s="412"/>
      <c r="EQ267" s="412"/>
      <c r="ER267" s="412"/>
      <c r="ES267" s="412"/>
      <c r="ET267" s="412"/>
      <c r="EU267" s="412"/>
      <c r="EV267" s="412"/>
      <c r="EW267" s="412"/>
      <c r="EX267" s="412"/>
      <c r="EY267" s="412"/>
      <c r="EZ267" s="412"/>
      <c r="FA267" s="412"/>
      <c r="FB267" s="412"/>
      <c r="FC267" s="412"/>
      <c r="FD267" s="412"/>
      <c r="FE267" s="412"/>
      <c r="FF267" s="412"/>
      <c r="FG267" s="412"/>
      <c r="FH267" s="412"/>
      <c r="FI267" s="412"/>
      <c r="FJ267" s="412"/>
      <c r="FK267" s="412"/>
      <c r="FL267" s="412"/>
      <c r="FM267" s="412"/>
      <c r="FN267" s="412"/>
      <c r="FO267" s="412"/>
      <c r="FP267" s="412"/>
      <c r="FQ267" s="412"/>
      <c r="FR267" s="412"/>
      <c r="FS267" s="412"/>
      <c r="FT267" s="412"/>
      <c r="FU267" s="412"/>
      <c r="FV267" s="412"/>
      <c r="FW267" s="412"/>
      <c r="FX267" s="412"/>
      <c r="FY267" s="412"/>
      <c r="FZ267" s="412"/>
      <c r="GA267" s="412"/>
      <c r="GB267" s="412"/>
      <c r="GC267" s="412"/>
      <c r="GD267" s="412"/>
      <c r="GE267" s="412"/>
      <c r="GF267" s="412"/>
      <c r="GG267" s="412"/>
      <c r="GH267" s="412"/>
      <c r="GI267" s="412"/>
      <c r="GJ267" s="412"/>
      <c r="GK267" s="412"/>
      <c r="GL267" s="412"/>
      <c r="GM267" s="412"/>
      <c r="GN267" s="412"/>
      <c r="GO267" s="412"/>
      <c r="GP267" s="412"/>
      <c r="GQ267" s="412"/>
      <c r="GR267" s="412"/>
      <c r="GS267" s="412"/>
      <c r="GT267" s="412"/>
      <c r="GU267" s="412"/>
      <c r="GV267" s="412"/>
      <c r="GW267" s="412"/>
      <c r="GX267" s="412"/>
      <c r="GY267" s="412"/>
      <c r="GZ267" s="412"/>
      <c r="HA267" s="412"/>
      <c r="HB267" s="412"/>
      <c r="HC267" s="412"/>
      <c r="HD267" s="412"/>
      <c r="HE267" s="412"/>
      <c r="HF267" s="412"/>
      <c r="HG267" s="412"/>
      <c r="HH267" s="412"/>
      <c r="HI267" s="412"/>
      <c r="HJ267" s="412"/>
      <c r="HK267" s="412"/>
      <c r="HL267" s="412"/>
      <c r="HM267" s="412"/>
      <c r="HN267" s="412"/>
      <c r="HO267" s="412"/>
      <c r="HP267" s="412"/>
      <c r="HQ267" s="412"/>
      <c r="HR267" s="412"/>
      <c r="HS267" s="412"/>
      <c r="HT267" s="412"/>
      <c r="HU267" s="412"/>
      <c r="HV267" s="412"/>
      <c r="HW267" s="412"/>
      <c r="HX267" s="412"/>
      <c r="HY267" s="412"/>
      <c r="HZ267" s="412"/>
      <c r="IA267" s="412"/>
      <c r="IB267" s="412"/>
      <c r="IC267" s="412"/>
      <c r="ID267" s="412"/>
      <c r="IE267" s="412"/>
      <c r="IF267" s="412"/>
      <c r="IG267" s="412"/>
      <c r="IH267" s="412"/>
      <c r="II267" s="412"/>
      <c r="IJ267" s="412"/>
      <c r="IK267" s="412"/>
      <c r="IL267" s="412"/>
      <c r="IM267" s="412"/>
      <c r="IN267" s="412"/>
      <c r="IO267" s="412"/>
      <c r="IP267" s="412"/>
      <c r="IQ267" s="412"/>
      <c r="IR267" s="412"/>
      <c r="IS267" s="412"/>
      <c r="IT267" s="412"/>
      <c r="IU267" s="412"/>
      <c r="IV267" s="412"/>
      <c r="IW267" s="412"/>
      <c r="IX267" s="412"/>
      <c r="IY267" s="412"/>
      <c r="IZ267" s="412"/>
      <c r="JA267" s="412"/>
      <c r="JB267" s="412"/>
      <c r="JC267" s="412"/>
      <c r="JD267" s="412"/>
      <c r="JE267" s="412"/>
      <c r="JF267" s="412"/>
      <c r="JG267" s="412"/>
      <c r="JH267" s="412"/>
      <c r="JI267" s="412"/>
      <c r="JJ267" s="412"/>
      <c r="JK267" s="412"/>
      <c r="JL267" s="412"/>
      <c r="JM267" s="412"/>
      <c r="JN267" s="412"/>
      <c r="JO267" s="412"/>
      <c r="JP267" s="412"/>
      <c r="JQ267" s="412"/>
      <c r="JR267" s="412"/>
      <c r="JS267" s="412"/>
      <c r="JT267" s="412"/>
      <c r="JU267" s="412"/>
      <c r="JV267" s="412"/>
      <c r="JW267" s="412"/>
      <c r="JX267" s="412"/>
      <c r="JY267" s="412"/>
      <c r="JZ267" s="412"/>
      <c r="KA267" s="412"/>
      <c r="KB267" s="412"/>
      <c r="KC267" s="412"/>
      <c r="KD267" s="412"/>
      <c r="KE267" s="412"/>
      <c r="KF267" s="412"/>
      <c r="KG267" s="412"/>
      <c r="KH267" s="412"/>
      <c r="KI267" s="412"/>
      <c r="KJ267" s="412"/>
      <c r="KK267" s="412"/>
      <c r="KL267" s="412"/>
      <c r="KM267" s="412"/>
      <c r="KN267" s="412"/>
      <c r="KO267" s="412"/>
      <c r="KP267" s="412"/>
      <c r="KQ267" s="412"/>
      <c r="KR267" s="412"/>
      <c r="KS267" s="412"/>
      <c r="KT267" s="412"/>
      <c r="KU267" s="412"/>
      <c r="KV267" s="412"/>
      <c r="KW267" s="412"/>
      <c r="KX267" s="412"/>
      <c r="KY267" s="412"/>
      <c r="KZ267" s="412"/>
      <c r="LA267" s="412"/>
      <c r="LB267" s="412"/>
      <c r="LC267" s="412"/>
      <c r="LD267" s="412"/>
      <c r="LE267" s="412"/>
      <c r="LF267" s="412"/>
      <c r="LG267" s="412"/>
      <c r="LH267" s="412"/>
      <c r="LI267" s="412"/>
      <c r="LJ267" s="412"/>
      <c r="LK267" s="412"/>
      <c r="LL267" s="412"/>
      <c r="LM267" s="412"/>
      <c r="LN267" s="412"/>
      <c r="LO267" s="412"/>
      <c r="LP267" s="412"/>
      <c r="LQ267" s="412"/>
      <c r="LR267" s="412"/>
      <c r="LS267" s="412"/>
      <c r="LT267" s="412"/>
      <c r="LU267" s="412"/>
      <c r="LV267" s="412"/>
      <c r="LW267" s="412"/>
      <c r="LX267" s="412"/>
      <c r="LY267" s="412"/>
      <c r="LZ267" s="412"/>
      <c r="MA267" s="412"/>
      <c r="MB267" s="412"/>
      <c r="MC267" s="412"/>
      <c r="MD267" s="412"/>
      <c r="ME267" s="412"/>
      <c r="MF267" s="412"/>
      <c r="MG267" s="412"/>
      <c r="MH267" s="412"/>
      <c r="MI267" s="412"/>
      <c r="MJ267" s="412"/>
      <c r="MK267" s="412"/>
      <c r="ML267" s="412"/>
      <c r="MM267" s="412"/>
      <c r="MN267" s="412"/>
      <c r="MO267" s="412"/>
      <c r="MP267" s="412"/>
      <c r="MQ267" s="412"/>
      <c r="MR267" s="412"/>
      <c r="MS267" s="412"/>
      <c r="MT267" s="412"/>
      <c r="MU267" s="412"/>
      <c r="MV267" s="412"/>
      <c r="MW267" s="412"/>
      <c r="MX267" s="412"/>
      <c r="MY267" s="412"/>
      <c r="MZ267" s="412"/>
      <c r="NA267" s="412"/>
      <c r="NB267" s="412"/>
      <c r="NC267" s="412"/>
      <c r="ND267" s="412"/>
      <c r="NE267" s="412"/>
      <c r="NF267" s="412"/>
      <c r="NG267" s="412"/>
      <c r="NH267" s="412"/>
      <c r="NI267" s="412"/>
      <c r="NJ267" s="412"/>
      <c r="NK267" s="412"/>
      <c r="NL267" s="412"/>
      <c r="NM267" s="412"/>
      <c r="NN267" s="412"/>
      <c r="NO267" s="412"/>
      <c r="NP267" s="412"/>
      <c r="NQ267" s="412"/>
      <c r="NR267" s="412"/>
      <c r="NS267" s="412"/>
      <c r="NT267" s="412"/>
      <c r="NU267" s="412"/>
      <c r="NV267" s="412"/>
      <c r="NW267" s="412"/>
      <c r="NX267" s="412"/>
      <c r="NY267" s="412"/>
      <c r="NZ267" s="412"/>
      <c r="OA267" s="412"/>
      <c r="OB267" s="412"/>
      <c r="OC267" s="412"/>
      <c r="OD267" s="412"/>
      <c r="OE267" s="412"/>
      <c r="OF267" s="412"/>
      <c r="OG267" s="412"/>
      <c r="OH267" s="412"/>
      <c r="OI267" s="412"/>
      <c r="OJ267" s="412"/>
      <c r="OK267" s="412"/>
      <c r="OL267" s="412"/>
      <c r="OM267" s="412"/>
      <c r="ON267" s="412"/>
      <c r="OO267" s="412"/>
      <c r="OP267" s="412"/>
      <c r="OQ267" s="412"/>
      <c r="OR267" s="412"/>
      <c r="OS267" s="412"/>
      <c r="OT267" s="412"/>
      <c r="OU267" s="412"/>
      <c r="OV267" s="412"/>
      <c r="OW267" s="412"/>
      <c r="OX267" s="412"/>
      <c r="OY267" s="412"/>
      <c r="OZ267" s="412"/>
      <c r="PA267" s="412"/>
      <c r="PB267" s="412"/>
      <c r="PC267" s="412"/>
      <c r="PD267" s="412"/>
      <c r="PE267" s="412"/>
      <c r="PF267" s="412"/>
      <c r="PG267" s="412"/>
      <c r="PH267" s="412"/>
      <c r="PI267" s="412"/>
      <c r="PJ267" s="412"/>
      <c r="PK267" s="412"/>
      <c r="PL267" s="412"/>
      <c r="PM267" s="412"/>
      <c r="PN267" s="412"/>
      <c r="PO267" s="412"/>
      <c r="PP267" s="412"/>
      <c r="PQ267" s="412"/>
      <c r="PR267" s="412"/>
      <c r="PS267" s="412"/>
      <c r="PT267" s="412"/>
      <c r="PU267" s="412"/>
      <c r="PV267" s="412"/>
      <c r="PW267" s="412"/>
      <c r="PX267" s="412"/>
      <c r="PY267" s="412"/>
      <c r="PZ267" s="412"/>
      <c r="QA267" s="412"/>
      <c r="QB267" s="412"/>
      <c r="QC267" s="412"/>
      <c r="QD267" s="412"/>
      <c r="QE267" s="412"/>
      <c r="QF267" s="412"/>
      <c r="QG267" s="412"/>
      <c r="QH267" s="412"/>
      <c r="QI267" s="412"/>
      <c r="QJ267" s="412"/>
      <c r="QK267" s="412"/>
      <c r="QL267" s="412"/>
      <c r="QM267" s="412"/>
      <c r="QN267" s="412"/>
      <c r="QO267" s="412"/>
      <c r="QP267" s="412"/>
      <c r="QQ267" s="412"/>
      <c r="QR267" s="412"/>
      <c r="QS267" s="412"/>
      <c r="QT267" s="412"/>
      <c r="QU267" s="412"/>
      <c r="QV267" s="412"/>
      <c r="QW267" s="412"/>
      <c r="QX267" s="412"/>
      <c r="QY267" s="412"/>
      <c r="QZ267" s="412"/>
      <c r="RA267" s="412"/>
      <c r="RB267" s="412"/>
      <c r="RC267" s="412"/>
      <c r="RD267" s="412"/>
      <c r="RE267" s="412"/>
      <c r="RF267" s="412"/>
      <c r="RG267" s="412"/>
      <c r="RH267" s="412"/>
      <c r="RI267" s="412"/>
      <c r="RJ267" s="412"/>
      <c r="RK267" s="412"/>
      <c r="RL267" s="412"/>
      <c r="RM267" s="412"/>
      <c r="RN267" s="412"/>
      <c r="RO267" s="412"/>
      <c r="RP267" s="412"/>
      <c r="RQ267" s="412"/>
      <c r="RR267" s="412"/>
      <c r="RS267" s="412"/>
      <c r="RT267" s="412"/>
      <c r="RU267" s="412"/>
      <c r="RV267" s="412"/>
      <c r="RW267" s="412"/>
      <c r="RX267" s="412"/>
      <c r="RY267" s="412"/>
      <c r="RZ267" s="412"/>
      <c r="SA267" s="412"/>
      <c r="SB267" s="412"/>
      <c r="SC267" s="412"/>
      <c r="SD267" s="412"/>
      <c r="SE267" s="412"/>
      <c r="SF267" s="412"/>
      <c r="SG267" s="412"/>
      <c r="SH267" s="412"/>
      <c r="SI267" s="412"/>
      <c r="SJ267" s="412"/>
      <c r="SK267" s="412"/>
      <c r="SL267" s="412"/>
      <c r="SM267" s="412"/>
      <c r="SN267" s="412"/>
      <c r="SO267" s="412"/>
      <c r="SP267" s="412"/>
      <c r="SQ267" s="412"/>
      <c r="SR267" s="412"/>
      <c r="SS267" s="412"/>
      <c r="ST267" s="412"/>
      <c r="SU267" s="412"/>
      <c r="SV267" s="412"/>
      <c r="SW267" s="412"/>
      <c r="SX267" s="412"/>
      <c r="SY267" s="412"/>
      <c r="SZ267" s="412"/>
      <c r="TA267" s="412"/>
      <c r="TB267" s="412"/>
      <c r="TC267" s="412"/>
      <c r="TD267" s="412"/>
      <c r="TE267" s="412"/>
      <c r="TF267" s="412"/>
      <c r="TG267" s="412"/>
      <c r="TH267" s="412"/>
      <c r="TI267" s="412"/>
      <c r="TJ267" s="412"/>
      <c r="TK267" s="412"/>
      <c r="TL267" s="412"/>
      <c r="TM267" s="412"/>
      <c r="TN267" s="412"/>
      <c r="TO267" s="412"/>
      <c r="TP267" s="412"/>
      <c r="TQ267" s="412"/>
      <c r="TR267" s="412"/>
      <c r="TS267" s="412"/>
      <c r="TT267" s="412"/>
      <c r="TU267" s="412"/>
      <c r="TV267" s="412"/>
      <c r="TW267" s="412"/>
      <c r="TX267" s="412"/>
      <c r="TY267" s="412"/>
      <c r="TZ267" s="412"/>
      <c r="UA267" s="412"/>
      <c r="UB267" s="412"/>
      <c r="UC267" s="412"/>
      <c r="UD267" s="412"/>
      <c r="UE267" s="412"/>
      <c r="UF267" s="412"/>
      <c r="UG267" s="412"/>
      <c r="UH267" s="412"/>
      <c r="UI267" s="412"/>
      <c r="UJ267" s="412"/>
      <c r="UK267" s="412"/>
      <c r="UL267" s="412"/>
      <c r="UM267" s="412"/>
      <c r="UN267" s="412"/>
      <c r="UO267" s="412"/>
      <c r="UP267" s="412"/>
      <c r="UQ267" s="412"/>
      <c r="UR267" s="412"/>
      <c r="US267" s="412"/>
      <c r="UT267" s="412"/>
      <c r="UU267" s="412"/>
      <c r="UV267" s="412"/>
      <c r="UW267" s="412"/>
      <c r="UX267" s="412"/>
      <c r="UY267" s="412"/>
      <c r="UZ267" s="412"/>
      <c r="VA267" s="412"/>
      <c r="VB267" s="412"/>
      <c r="VC267" s="412"/>
      <c r="VD267" s="412"/>
      <c r="VE267" s="412"/>
      <c r="VF267" s="412"/>
      <c r="VG267" s="412"/>
      <c r="VH267" s="412"/>
      <c r="VI267" s="412"/>
      <c r="VJ267" s="412"/>
      <c r="VK267" s="412"/>
      <c r="VL267" s="412"/>
      <c r="VM267" s="412"/>
      <c r="VN267" s="412"/>
      <c r="VO267" s="412"/>
      <c r="VP267" s="412"/>
      <c r="VQ267" s="412"/>
      <c r="VR267" s="412"/>
      <c r="VS267" s="412"/>
      <c r="VT267" s="412"/>
      <c r="VU267" s="412"/>
      <c r="VV267" s="412"/>
      <c r="VW267" s="412"/>
      <c r="VX267" s="412"/>
      <c r="VY267" s="412"/>
      <c r="VZ267" s="412"/>
      <c r="WA267" s="412"/>
      <c r="WB267" s="412"/>
      <c r="WC267" s="412"/>
      <c r="WD267" s="412"/>
      <c r="WE267" s="412"/>
      <c r="WF267" s="412"/>
      <c r="WG267" s="412"/>
      <c r="WH267" s="412"/>
      <c r="WI267" s="412"/>
      <c r="WJ267" s="412"/>
      <c r="WK267" s="412"/>
      <c r="WL267" s="412"/>
      <c r="WM267" s="412"/>
      <c r="WN267" s="412"/>
      <c r="WO267" s="412"/>
      <c r="WP267" s="412"/>
      <c r="WQ267" s="412"/>
      <c r="WR267" s="412"/>
      <c r="WS267" s="412"/>
      <c r="WT267" s="412"/>
      <c r="WU267" s="412"/>
      <c r="WV267" s="412"/>
      <c r="WW267" s="412"/>
      <c r="WX267" s="412"/>
      <c r="WY267" s="412"/>
      <c r="WZ267" s="412"/>
      <c r="XA267" s="412"/>
      <c r="XB267" s="412"/>
      <c r="XC267" s="412"/>
      <c r="XD267" s="412"/>
      <c r="XE267" s="412"/>
      <c r="XF267" s="412"/>
      <c r="XG267" s="412"/>
      <c r="XH267" s="412"/>
      <c r="XI267" s="412"/>
      <c r="XJ267" s="412"/>
      <c r="XK267" s="412"/>
      <c r="XL267" s="412"/>
      <c r="XM267" s="412"/>
      <c r="XN267" s="412"/>
      <c r="XO267" s="412"/>
      <c r="XP267" s="412"/>
      <c r="XQ267" s="412"/>
      <c r="XR267" s="412"/>
      <c r="XS267" s="412"/>
      <c r="XT267" s="412"/>
      <c r="XU267" s="412"/>
      <c r="XV267" s="412"/>
      <c r="XW267" s="412"/>
      <c r="XX267" s="412"/>
      <c r="XY267" s="412"/>
      <c r="XZ267" s="412"/>
      <c r="YA267" s="412"/>
      <c r="YB267" s="412"/>
      <c r="YC267" s="412"/>
      <c r="YD267" s="412"/>
      <c r="YE267" s="412"/>
      <c r="YF267" s="412"/>
      <c r="YG267" s="412"/>
      <c r="YH267" s="412"/>
      <c r="YI267" s="412"/>
      <c r="YJ267" s="412"/>
      <c r="YK267" s="412"/>
      <c r="YL267" s="412"/>
      <c r="YM267" s="412"/>
      <c r="YN267" s="412"/>
      <c r="YO267" s="412"/>
      <c r="YP267" s="412"/>
      <c r="YQ267" s="412"/>
      <c r="YR267" s="412"/>
      <c r="YS267" s="412"/>
      <c r="YT267" s="412"/>
      <c r="YU267" s="412"/>
      <c r="YV267" s="412"/>
      <c r="YW267" s="412"/>
      <c r="YX267" s="412"/>
      <c r="YY267" s="412"/>
      <c r="YZ267" s="412"/>
      <c r="ZA267" s="412"/>
      <c r="ZB267" s="412"/>
      <c r="ZC267" s="412"/>
      <c r="ZD267" s="412"/>
      <c r="ZE267" s="412"/>
      <c r="ZF267" s="412"/>
      <c r="ZG267" s="412"/>
      <c r="ZH267" s="412"/>
      <c r="ZI267" s="412"/>
      <c r="ZJ267" s="412"/>
      <c r="ZK267" s="412"/>
      <c r="ZL267" s="412"/>
      <c r="ZM267" s="412"/>
      <c r="ZN267" s="412"/>
      <c r="ZO267" s="412"/>
      <c r="ZP267" s="412"/>
      <c r="ZQ267" s="412"/>
      <c r="ZR267" s="412"/>
      <c r="ZS267" s="412"/>
      <c r="ZT267" s="412"/>
      <c r="ZU267" s="412"/>
      <c r="ZV267" s="412"/>
      <c r="ZW267" s="412"/>
      <c r="ZX267" s="412"/>
      <c r="ZY267" s="412"/>
      <c r="ZZ267" s="412"/>
      <c r="AAA267" s="412"/>
      <c r="AAB267" s="412"/>
      <c r="AAC267" s="412"/>
      <c r="AAD267" s="412"/>
      <c r="AAE267" s="412"/>
      <c r="AAF267" s="412"/>
      <c r="AAG267" s="412"/>
      <c r="AAH267" s="412"/>
      <c r="AAI267" s="412"/>
      <c r="AAJ267" s="412"/>
      <c r="AAK267" s="412"/>
      <c r="AAL267" s="412"/>
      <c r="AAM267" s="412"/>
      <c r="AAN267" s="412"/>
      <c r="AAO267" s="412"/>
      <c r="AAP267" s="412"/>
      <c r="AAQ267" s="412"/>
      <c r="AAR267" s="412"/>
      <c r="AAS267" s="412"/>
      <c r="AAT267" s="412"/>
      <c r="AAU267" s="412"/>
      <c r="AAV267" s="412"/>
      <c r="AAW267" s="412"/>
      <c r="AAX267" s="412"/>
      <c r="AAY267" s="412"/>
      <c r="AAZ267" s="412"/>
      <c r="ABA267" s="412"/>
      <c r="ABB267" s="412"/>
      <c r="ABC267" s="412"/>
      <c r="ABD267" s="412"/>
      <c r="ABE267" s="412"/>
      <c r="ABF267" s="412"/>
      <c r="ABG267" s="412"/>
      <c r="ABH267" s="412"/>
      <c r="ABI267" s="412"/>
      <c r="ABJ267" s="412"/>
      <c r="ABK267" s="412"/>
      <c r="ABL267" s="412"/>
      <c r="ABM267" s="412"/>
      <c r="ABN267" s="412"/>
      <c r="ABO267" s="412"/>
      <c r="ABP267" s="412"/>
      <c r="ABQ267" s="412"/>
      <c r="ABR267" s="412"/>
      <c r="ABS267" s="412"/>
      <c r="ABT267" s="412"/>
      <c r="ABU267" s="412"/>
      <c r="ABV267" s="412"/>
      <c r="ABW267" s="412"/>
      <c r="ABX267" s="412"/>
      <c r="ABY267" s="412"/>
      <c r="ABZ267" s="412"/>
      <c r="ACA267" s="412"/>
      <c r="ACB267" s="412"/>
      <c r="ACC267" s="412"/>
      <c r="ACD267" s="412"/>
      <c r="ACE267" s="412"/>
      <c r="ACF267" s="412"/>
      <c r="ACG267" s="412"/>
      <c r="ACH267" s="412"/>
      <c r="ACI267" s="412"/>
      <c r="ACJ267" s="412"/>
      <c r="ACK267" s="412"/>
      <c r="ACL267" s="412"/>
      <c r="ACM267" s="412"/>
      <c r="ACN267" s="412"/>
      <c r="ACO267" s="412"/>
      <c r="ACP267" s="412"/>
      <c r="ACQ267" s="412"/>
      <c r="ACR267" s="412"/>
      <c r="ACS267" s="412"/>
      <c r="ACT267" s="412"/>
      <c r="ACU267" s="412"/>
      <c r="ACV267" s="412"/>
      <c r="ACW267" s="412"/>
      <c r="ACX267" s="412"/>
      <c r="ACY267" s="412"/>
      <c r="ACZ267" s="412"/>
      <c r="ADA267" s="412"/>
      <c r="ADB267" s="412"/>
      <c r="ADC267" s="412"/>
      <c r="ADD267" s="412"/>
      <c r="ADE267" s="412"/>
      <c r="ADF267" s="412"/>
      <c r="ADG267" s="412"/>
      <c r="ADH267" s="412"/>
      <c r="ADI267" s="412"/>
      <c r="ADJ267" s="412"/>
      <c r="ADK267" s="412"/>
      <c r="ADL267" s="412"/>
      <c r="ADM267" s="412"/>
      <c r="ADN267" s="412"/>
      <c r="ADO267" s="412"/>
      <c r="ADP267" s="412"/>
      <c r="ADQ267" s="412"/>
      <c r="ADR267" s="412"/>
      <c r="ADS267" s="412"/>
      <c r="ADT267" s="412"/>
      <c r="ADU267" s="412"/>
      <c r="ADV267" s="412"/>
      <c r="ADW267" s="412"/>
      <c r="ADX267" s="412"/>
      <c r="ADY267" s="412"/>
      <c r="ADZ267" s="412"/>
      <c r="AEA267" s="412"/>
      <c r="AEB267" s="412"/>
      <c r="AEC267" s="412"/>
      <c r="AED267" s="412"/>
      <c r="AEE267" s="412"/>
      <c r="AEF267" s="412"/>
      <c r="AEG267" s="412"/>
      <c r="AEH267" s="412"/>
      <c r="AEI267" s="412"/>
      <c r="AEJ267" s="412"/>
      <c r="AEK267" s="412"/>
      <c r="AEL267" s="412"/>
      <c r="AEM267" s="412"/>
      <c r="AEN267" s="412"/>
      <c r="AEO267" s="412"/>
      <c r="AEP267" s="412"/>
      <c r="AEQ267" s="412"/>
      <c r="AER267" s="412"/>
      <c r="AES267" s="412"/>
      <c r="AET267" s="412"/>
      <c r="AEU267" s="412"/>
      <c r="AEV267" s="412"/>
      <c r="AEW267" s="412"/>
      <c r="AEX267" s="412"/>
      <c r="AEY267" s="412"/>
      <c r="AEZ267" s="412"/>
      <c r="AFA267" s="412"/>
      <c r="AFB267" s="412"/>
      <c r="AFC267" s="412"/>
      <c r="AFD267" s="412"/>
      <c r="AFE267" s="412"/>
      <c r="AFF267" s="412"/>
      <c r="AFG267" s="412"/>
      <c r="AFH267" s="412"/>
      <c r="AFI267" s="412"/>
      <c r="AFJ267" s="412"/>
      <c r="AFK267" s="412"/>
      <c r="AFL267" s="412"/>
      <c r="AFM267" s="412"/>
      <c r="AFN267" s="412"/>
      <c r="AFO267" s="412"/>
      <c r="AFP267" s="412"/>
      <c r="AFQ267" s="412"/>
      <c r="AFR267" s="412"/>
      <c r="AFS267" s="412"/>
      <c r="AFT267" s="412"/>
      <c r="AFU267" s="412"/>
      <c r="AFV267" s="412"/>
      <c r="AFW267" s="412"/>
      <c r="AFX267" s="412"/>
      <c r="AFY267" s="412"/>
      <c r="AFZ267" s="412"/>
      <c r="AGA267" s="412"/>
      <c r="AGB267" s="412"/>
      <c r="AGC267" s="412"/>
      <c r="AGD267" s="412"/>
      <c r="AGE267" s="412"/>
      <c r="AGF267" s="412"/>
      <c r="AGG267" s="412"/>
      <c r="AGH267" s="412"/>
      <c r="AGI267" s="412"/>
      <c r="AGJ267" s="412"/>
      <c r="AGK267" s="412"/>
      <c r="AGL267" s="412"/>
      <c r="AGM267" s="412"/>
      <c r="AGN267" s="412"/>
      <c r="AGO267" s="412"/>
      <c r="AGP267" s="412"/>
      <c r="AGQ267" s="412"/>
      <c r="AGR267" s="412"/>
      <c r="AGS267" s="412"/>
      <c r="AGT267" s="412"/>
      <c r="AGU267" s="412"/>
      <c r="AGV267" s="412"/>
      <c r="AGW267" s="412"/>
      <c r="AGX267" s="412"/>
      <c r="AGY267" s="412"/>
      <c r="AGZ267" s="412"/>
      <c r="AHA267" s="412"/>
      <c r="AHB267" s="412"/>
      <c r="AHC267" s="412"/>
      <c r="AHD267" s="412"/>
      <c r="AHE267" s="412"/>
      <c r="AHF267" s="412"/>
      <c r="AHG267" s="412"/>
      <c r="AHH267" s="412"/>
      <c r="AHI267" s="412"/>
      <c r="AHJ267" s="412"/>
      <c r="AHK267" s="412"/>
      <c r="AHL267" s="412"/>
      <c r="AHM267" s="412"/>
      <c r="AHN267" s="412"/>
      <c r="AHO267" s="412"/>
      <c r="AHP267" s="412"/>
      <c r="AHQ267" s="412"/>
      <c r="AHR267" s="412"/>
      <c r="AHS267" s="412"/>
      <c r="AHT267" s="412"/>
      <c r="AHU267" s="412"/>
      <c r="AHV267" s="412"/>
      <c r="AHW267" s="412"/>
      <c r="AHX267" s="412"/>
      <c r="AHY267" s="412"/>
      <c r="AHZ267" s="412"/>
      <c r="AIA267" s="412"/>
      <c r="AIB267" s="412"/>
      <c r="AIC267" s="412"/>
      <c r="AID267" s="412"/>
      <c r="AIE267" s="412"/>
      <c r="AIF267" s="412"/>
      <c r="AIG267" s="412"/>
      <c r="AIH267" s="412"/>
      <c r="AII267" s="412"/>
      <c r="AIJ267" s="412"/>
      <c r="AIK267" s="412"/>
      <c r="AIL267" s="412"/>
      <c r="AIM267" s="412"/>
      <c r="AIN267" s="412"/>
      <c r="AIO267" s="412"/>
      <c r="AIP267" s="412"/>
      <c r="AIQ267" s="412"/>
      <c r="AIR267" s="412"/>
      <c r="AIS267" s="412"/>
      <c r="AIT267" s="412"/>
      <c r="AIU267" s="412"/>
      <c r="AIV267" s="412"/>
      <c r="AIW267" s="412"/>
      <c r="AIX267" s="412"/>
      <c r="AIY267" s="412"/>
      <c r="AIZ267" s="412"/>
      <c r="AJA267" s="412"/>
      <c r="AJB267" s="412"/>
      <c r="AJC267" s="412"/>
      <c r="AJD267" s="412"/>
      <c r="AJE267" s="412"/>
      <c r="AJF267" s="412"/>
      <c r="AJG267" s="412"/>
      <c r="AJH267" s="412"/>
      <c r="AJI267" s="412"/>
      <c r="AJJ267" s="412"/>
      <c r="AJK267" s="412"/>
      <c r="AJL267" s="412"/>
      <c r="AJM267" s="412"/>
      <c r="AJN267" s="412"/>
      <c r="AJO267" s="412"/>
      <c r="AJP267" s="412"/>
      <c r="AJQ267" s="412"/>
      <c r="AJR267" s="412"/>
      <c r="AJS267" s="412"/>
      <c r="AJT267" s="412"/>
      <c r="AJU267" s="412"/>
      <c r="AJV267" s="412"/>
      <c r="AJW267" s="412"/>
      <c r="AJX267" s="412"/>
      <c r="AJY267" s="412"/>
      <c r="AJZ267" s="412"/>
      <c r="AKA267" s="412"/>
      <c r="AKB267" s="412"/>
      <c r="AKC267" s="412"/>
      <c r="AKD267" s="412"/>
      <c r="AKE267" s="412"/>
      <c r="AKF267" s="412"/>
      <c r="AKG267" s="412"/>
      <c r="AKH267" s="412"/>
      <c r="AKI267" s="412"/>
      <c r="AKJ267" s="412"/>
      <c r="AKK267" s="412"/>
      <c r="AKL267" s="412"/>
      <c r="AKM267" s="412"/>
      <c r="AKN267" s="412"/>
      <c r="AKO267" s="412"/>
      <c r="AKP267" s="412"/>
      <c r="AKQ267" s="412"/>
      <c r="AKR267" s="412"/>
      <c r="AKS267" s="412"/>
      <c r="AKT267" s="412"/>
      <c r="AKU267" s="412"/>
      <c r="AKV267" s="412"/>
      <c r="AKW267" s="412"/>
      <c r="AKX267" s="412"/>
      <c r="AKY267" s="412"/>
      <c r="AKZ267" s="412"/>
      <c r="ALA267" s="412"/>
      <c r="ALB267" s="412"/>
      <c r="ALC267" s="412"/>
      <c r="ALD267" s="412"/>
      <c r="ALE267" s="412"/>
      <c r="ALF267" s="412"/>
      <c r="ALG267" s="412"/>
      <c r="ALH267" s="412"/>
      <c r="ALI267" s="412"/>
      <c r="ALJ267" s="412"/>
      <c r="ALK267" s="412"/>
      <c r="ALL267" s="412"/>
      <c r="ALM267" s="412"/>
      <c r="ALN267" s="412"/>
      <c r="ALO267" s="412"/>
      <c r="ALP267" s="412"/>
      <c r="ALQ267" s="412"/>
      <c r="ALR267" s="412"/>
      <c r="ALS267" s="412"/>
      <c r="ALT267" s="412"/>
      <c r="ALU267" s="412"/>
      <c r="ALV267" s="412"/>
      <c r="ALW267" s="412"/>
      <c r="ALX267" s="412"/>
      <c r="ALY267" s="412"/>
      <c r="ALZ267" s="412"/>
      <c r="AMA267" s="412"/>
      <c r="AMB267" s="412"/>
      <c r="AMC267" s="412"/>
      <c r="AMD267" s="412"/>
      <c r="AME267" s="412"/>
      <c r="AMF267" s="412"/>
      <c r="AMG267" s="412"/>
      <c r="AMH267" s="412"/>
      <c r="AMI267" s="412"/>
      <c r="AMJ267" s="412"/>
      <c r="AMK267" s="412"/>
      <c r="AML267" s="412"/>
      <c r="AMM267" s="412"/>
      <c r="AMN267" s="412"/>
      <c r="AMO267" s="412"/>
      <c r="AMP267" s="412"/>
      <c r="AMQ267" s="412"/>
      <c r="AMR267" s="412"/>
      <c r="AMS267" s="412"/>
      <c r="AMT267" s="412"/>
      <c r="AMU267" s="412"/>
      <c r="AMV267" s="412"/>
      <c r="AMW267" s="412"/>
      <c r="AMX267" s="412"/>
      <c r="AMY267" s="412"/>
      <c r="AMZ267" s="412"/>
      <c r="ANA267" s="412"/>
      <c r="ANB267" s="412"/>
      <c r="ANC267" s="412"/>
      <c r="AND267" s="412"/>
      <c r="ANE267" s="412"/>
      <c r="ANF267" s="412"/>
      <c r="ANG267" s="412"/>
      <c r="ANH267" s="412"/>
      <c r="ANI267" s="412"/>
      <c r="ANJ267" s="412"/>
      <c r="ANK267" s="412"/>
      <c r="ANL267" s="412"/>
      <c r="ANM267" s="412"/>
      <c r="ANN267" s="412"/>
      <c r="ANO267" s="412"/>
      <c r="ANP267" s="412"/>
      <c r="ANQ267" s="412"/>
      <c r="ANR267" s="412"/>
      <c r="ANS267" s="412"/>
      <c r="ANT267" s="412"/>
      <c r="ANU267" s="412"/>
      <c r="ANV267" s="412"/>
      <c r="ANW267" s="412"/>
      <c r="ANX267" s="412"/>
      <c r="ANY267" s="412"/>
      <c r="ANZ267" s="412"/>
      <c r="AOA267" s="412"/>
      <c r="AOB267" s="412"/>
      <c r="AOC267" s="412"/>
      <c r="AOD267" s="412"/>
      <c r="AOE267" s="412"/>
      <c r="AOF267" s="412"/>
      <c r="AOG267" s="412"/>
      <c r="AOH267" s="412"/>
      <c r="AOI267" s="412"/>
      <c r="AOJ267" s="412"/>
      <c r="AOK267" s="412"/>
      <c r="AOL267" s="412"/>
      <c r="AOM267" s="412"/>
      <c r="AON267" s="412"/>
      <c r="AOO267" s="412"/>
      <c r="AOP267" s="412"/>
      <c r="AOQ267" s="412"/>
      <c r="AOR267" s="412"/>
      <c r="AOS267" s="412"/>
      <c r="AOT267" s="412"/>
      <c r="AOU267" s="412"/>
      <c r="AOV267" s="412"/>
      <c r="AOW267" s="412"/>
      <c r="AOX267" s="412"/>
      <c r="AOY267" s="412"/>
      <c r="AOZ267" s="412"/>
      <c r="APA267" s="412"/>
      <c r="APB267" s="412"/>
      <c r="APC267" s="412"/>
      <c r="APD267" s="412"/>
      <c r="APE267" s="412"/>
      <c r="APF267" s="412"/>
      <c r="APG267" s="412"/>
      <c r="APH267" s="412"/>
      <c r="API267" s="412"/>
      <c r="APJ267" s="412"/>
      <c r="APK267" s="412"/>
      <c r="APL267" s="412"/>
      <c r="APM267" s="412"/>
      <c r="APN267" s="412"/>
      <c r="APO267" s="412"/>
      <c r="APP267" s="412"/>
      <c r="APQ267" s="412"/>
      <c r="APR267" s="412"/>
      <c r="APS267" s="412"/>
      <c r="APT267" s="412"/>
      <c r="APU267" s="412"/>
      <c r="APV267" s="412"/>
      <c r="APW267" s="412"/>
      <c r="APX267" s="412"/>
      <c r="APY267" s="412"/>
      <c r="APZ267" s="412"/>
      <c r="AQA267" s="412"/>
      <c r="AQB267" s="412"/>
      <c r="AQC267" s="412"/>
      <c r="AQD267" s="412"/>
      <c r="AQE267" s="412"/>
      <c r="AQF267" s="412"/>
      <c r="AQG267" s="412"/>
      <c r="AQH267" s="412"/>
      <c r="AQI267" s="412"/>
      <c r="AQJ267" s="412"/>
      <c r="AQK267" s="412"/>
      <c r="AQL267" s="412"/>
      <c r="AQM267" s="412"/>
      <c r="AQN267" s="412"/>
      <c r="AQO267" s="412"/>
      <c r="AQP267" s="412"/>
      <c r="AQQ267" s="412"/>
      <c r="AQR267" s="412"/>
      <c r="AQS267" s="412"/>
      <c r="AQT267" s="412"/>
      <c r="AQU267" s="412"/>
      <c r="AQV267" s="412"/>
      <c r="AQW267" s="412"/>
      <c r="AQX267" s="412"/>
      <c r="AQY267" s="412"/>
      <c r="AQZ267" s="412"/>
      <c r="ARA267" s="412"/>
      <c r="ARB267" s="412"/>
      <c r="ARC267" s="412"/>
      <c r="ARD267" s="412"/>
      <c r="ARE267" s="412"/>
      <c r="ARF267" s="412"/>
      <c r="ARG267" s="412"/>
      <c r="ARH267" s="412"/>
      <c r="ARI267" s="412"/>
      <c r="ARJ267" s="412"/>
      <c r="ARK267" s="412"/>
      <c r="ARL267" s="412"/>
      <c r="ARM267" s="412"/>
      <c r="ARN267" s="412"/>
      <c r="ARO267" s="412"/>
      <c r="ARP267" s="412"/>
      <c r="ARQ267" s="412"/>
      <c r="ARR267" s="412"/>
      <c r="ARS267" s="412"/>
      <c r="ART267" s="412"/>
      <c r="ARU267" s="412"/>
      <c r="ARV267" s="412"/>
      <c r="ARW267" s="412"/>
      <c r="ARX267" s="412"/>
      <c r="ARY267" s="412"/>
      <c r="ARZ267" s="412"/>
      <c r="ASA267" s="412"/>
      <c r="ASB267" s="412"/>
      <c r="ASC267" s="412"/>
      <c r="ASD267" s="412"/>
      <c r="ASE267" s="412"/>
      <c r="ASF267" s="412"/>
      <c r="ASG267" s="412"/>
      <c r="ASH267" s="412"/>
      <c r="ASI267" s="412"/>
      <c r="ASJ267" s="412"/>
      <c r="ASK267" s="412"/>
      <c r="ASL267" s="412"/>
      <c r="ASM267" s="412"/>
      <c r="ASN267" s="412"/>
      <c r="ASO267" s="412"/>
      <c r="ASP267" s="412"/>
      <c r="ASQ267" s="412"/>
      <c r="ASR267" s="412"/>
      <c r="ASS267" s="412"/>
      <c r="AST267" s="412"/>
      <c r="ASU267" s="412"/>
      <c r="ASV267" s="412"/>
      <c r="ASW267" s="412"/>
      <c r="ASX267" s="412"/>
      <c r="ASY267" s="412"/>
      <c r="ASZ267" s="412"/>
      <c r="ATA267" s="412"/>
      <c r="ATB267" s="412"/>
      <c r="ATC267" s="412"/>
      <c r="ATD267" s="412"/>
      <c r="ATE267" s="412"/>
      <c r="ATF267" s="412"/>
      <c r="ATG267" s="412"/>
      <c r="ATH267" s="412"/>
      <c r="ATI267" s="412"/>
      <c r="ATJ267" s="412"/>
      <c r="ATK267" s="412"/>
      <c r="ATL267" s="412"/>
      <c r="ATM267" s="412"/>
      <c r="ATN267" s="412"/>
      <c r="ATO267" s="412"/>
      <c r="ATP267" s="412"/>
      <c r="ATQ267" s="412"/>
      <c r="ATR267" s="412"/>
      <c r="ATS267" s="412"/>
      <c r="ATT267" s="412"/>
      <c r="ATU267" s="412"/>
      <c r="ATV267" s="412"/>
      <c r="ATW267" s="412"/>
      <c r="ATX267" s="412"/>
      <c r="ATY267" s="412"/>
      <c r="ATZ267" s="412"/>
      <c r="AUA267" s="412"/>
      <c r="AUB267" s="412"/>
      <c r="AUC267" s="412"/>
      <c r="AUD267" s="412"/>
      <c r="AUE267" s="412"/>
      <c r="AUF267" s="412"/>
      <c r="AUG267" s="412"/>
      <c r="AUH267" s="412"/>
      <c r="AUI267" s="412"/>
      <c r="AUJ267" s="412"/>
      <c r="AUK267" s="412"/>
      <c r="AUL267" s="412"/>
      <c r="AUM267" s="412"/>
      <c r="AUN267" s="412"/>
      <c r="AUO267" s="412"/>
      <c r="AUP267" s="412"/>
      <c r="AUQ267" s="412"/>
      <c r="AUR267" s="412"/>
      <c r="AUS267" s="412"/>
      <c r="AUT267" s="412"/>
      <c r="AUU267" s="412"/>
      <c r="AUV267" s="412"/>
      <c r="AUW267" s="412"/>
      <c r="AUX267" s="412"/>
      <c r="AUY267" s="412"/>
      <c r="AUZ267" s="412"/>
      <c r="AVA267" s="412"/>
      <c r="AVB267" s="412"/>
      <c r="AVC267" s="412"/>
      <c r="AVD267" s="412"/>
      <c r="AVE267" s="412"/>
      <c r="AVF267" s="412"/>
      <c r="AVG267" s="412"/>
      <c r="AVH267" s="412"/>
      <c r="AVI267" s="412"/>
      <c r="AVJ267" s="412"/>
      <c r="AVK267" s="412"/>
      <c r="AVL267" s="412"/>
      <c r="AVM267" s="412"/>
      <c r="AVN267" s="412"/>
      <c r="AVO267" s="412"/>
      <c r="AVP267" s="412"/>
      <c r="AVQ267" s="412"/>
      <c r="AVR267" s="412"/>
      <c r="AVS267" s="412"/>
      <c r="AVT267" s="412"/>
      <c r="AVU267" s="412"/>
      <c r="AVV267" s="412"/>
      <c r="AVW267" s="412"/>
      <c r="AVX267" s="412"/>
      <c r="AVY267" s="412"/>
      <c r="AVZ267" s="412"/>
      <c r="AWA267" s="412"/>
      <c r="AWB267" s="412"/>
      <c r="AWC267" s="412"/>
      <c r="AWD267" s="412"/>
      <c r="AWE267" s="412"/>
      <c r="AWF267" s="412"/>
      <c r="AWG267" s="412"/>
      <c r="AWH267" s="412"/>
      <c r="AWI267" s="412"/>
      <c r="AWJ267" s="412"/>
      <c r="AWK267" s="412"/>
      <c r="AWL267" s="412"/>
      <c r="AWM267" s="412"/>
      <c r="AWN267" s="412"/>
      <c r="AWO267" s="412"/>
      <c r="AWP267" s="412"/>
      <c r="AWQ267" s="412"/>
      <c r="AWR267" s="412"/>
      <c r="AWS267" s="412"/>
      <c r="AWT267" s="412"/>
      <c r="AWU267" s="412"/>
      <c r="AWV267" s="412"/>
      <c r="AWW267" s="412"/>
      <c r="AWX267" s="412"/>
      <c r="AWY267" s="412"/>
      <c r="AWZ267" s="412"/>
      <c r="AXA267" s="412"/>
      <c r="AXB267" s="412"/>
      <c r="AXC267" s="412"/>
      <c r="AXD267" s="412"/>
      <c r="AXE267" s="412"/>
      <c r="AXF267" s="412"/>
      <c r="AXG267" s="412"/>
      <c r="AXH267" s="412"/>
      <c r="AXI267" s="412"/>
      <c r="AXJ267" s="412"/>
      <c r="AXK267" s="412"/>
      <c r="AXL267" s="412"/>
      <c r="AXM267" s="412"/>
      <c r="AXN267" s="412"/>
      <c r="AXO267" s="412"/>
      <c r="AXP267" s="412"/>
      <c r="AXQ267" s="412"/>
      <c r="AXR267" s="412"/>
      <c r="AXS267" s="412"/>
      <c r="AXT267" s="412"/>
      <c r="AXU267" s="412"/>
      <c r="AXV267" s="412"/>
      <c r="AXW267" s="412"/>
      <c r="AXX267" s="412"/>
      <c r="AXY267" s="412"/>
      <c r="AXZ267" s="412"/>
      <c r="AYA267" s="412"/>
      <c r="AYB267" s="412"/>
      <c r="AYC267" s="412"/>
      <c r="AYD267" s="412"/>
      <c r="AYE267" s="412"/>
      <c r="AYF267" s="412"/>
      <c r="AYG267" s="412"/>
      <c r="AYH267" s="412"/>
      <c r="AYI267" s="412"/>
      <c r="AYJ267" s="412"/>
      <c r="AYK267" s="412"/>
      <c r="AYL267" s="412"/>
      <c r="AYM267" s="412"/>
      <c r="AYN267" s="412"/>
      <c r="AYO267" s="412"/>
      <c r="AYP267" s="412"/>
      <c r="AYQ267" s="412"/>
      <c r="AYR267" s="412"/>
      <c r="AYS267" s="412"/>
      <c r="AYT267" s="412"/>
      <c r="AYU267" s="412"/>
      <c r="AYV267" s="412"/>
      <c r="AYW267" s="412"/>
      <c r="AYX267" s="412"/>
      <c r="AYY267" s="412"/>
      <c r="AYZ267" s="412"/>
      <c r="AZA267" s="412"/>
      <c r="AZB267" s="412"/>
      <c r="AZC267" s="412"/>
      <c r="AZD267" s="412"/>
      <c r="AZE267" s="412"/>
      <c r="AZF267" s="412"/>
      <c r="AZG267" s="412"/>
      <c r="AZH267" s="412"/>
      <c r="AZI267" s="412"/>
      <c r="AZJ267" s="412"/>
      <c r="AZK267" s="412"/>
      <c r="AZL267" s="412"/>
      <c r="AZM267" s="412"/>
      <c r="AZN267" s="412"/>
      <c r="AZO267" s="412"/>
      <c r="AZP267" s="412"/>
      <c r="AZQ267" s="412"/>
      <c r="AZR267" s="412"/>
      <c r="AZS267" s="412"/>
      <c r="AZT267" s="412"/>
      <c r="AZU267" s="412"/>
      <c r="AZV267" s="412"/>
      <c r="AZW267" s="412"/>
      <c r="AZX267" s="412"/>
      <c r="AZY267" s="412"/>
      <c r="AZZ267" s="412"/>
      <c r="BAA267" s="412"/>
      <c r="BAB267" s="412"/>
      <c r="BAC267" s="412"/>
      <c r="BAD267" s="412"/>
      <c r="BAE267" s="412"/>
      <c r="BAF267" s="412"/>
      <c r="BAG267" s="412"/>
      <c r="BAH267" s="412"/>
      <c r="BAI267" s="412"/>
      <c r="BAJ267" s="412"/>
      <c r="BAK267" s="412"/>
      <c r="BAL267" s="412"/>
      <c r="BAM267" s="412"/>
      <c r="BAN267" s="412"/>
      <c r="BAO267" s="412"/>
      <c r="BAP267" s="412"/>
      <c r="BAQ267" s="412"/>
      <c r="BAR267" s="412"/>
      <c r="BAS267" s="412"/>
      <c r="BAT267" s="412"/>
      <c r="BAU267" s="412"/>
      <c r="BAV267" s="412"/>
      <c r="BAW267" s="412"/>
      <c r="BAX267" s="412"/>
      <c r="BAY267" s="412"/>
      <c r="BAZ267" s="412"/>
      <c r="BBA267" s="412"/>
      <c r="BBB267" s="412"/>
      <c r="BBC267" s="412"/>
      <c r="BBD267" s="412"/>
      <c r="BBE267" s="412"/>
      <c r="BBF267" s="412"/>
      <c r="BBG267" s="412"/>
      <c r="BBH267" s="412"/>
      <c r="BBI267" s="412"/>
      <c r="BBJ267" s="412"/>
      <c r="BBK267" s="412"/>
      <c r="BBL267" s="412"/>
      <c r="BBM267" s="412"/>
      <c r="BBN267" s="412"/>
      <c r="BBO267" s="412"/>
      <c r="BBP267" s="412"/>
      <c r="BBQ267" s="412"/>
      <c r="BBR267" s="412"/>
      <c r="BBS267" s="412"/>
      <c r="BBT267" s="412"/>
      <c r="BBU267" s="412"/>
      <c r="BBV267" s="412"/>
      <c r="BBW267" s="412"/>
      <c r="BBX267" s="412"/>
      <c r="BBY267" s="412"/>
      <c r="BBZ267" s="412"/>
      <c r="BCA267" s="412"/>
      <c r="BCB267" s="412"/>
      <c r="BCC267" s="412"/>
      <c r="BCD267" s="412"/>
      <c r="BCE267" s="412"/>
      <c r="BCF267" s="412"/>
      <c r="BCG267" s="412"/>
      <c r="BCH267" s="412"/>
      <c r="BCI267" s="412"/>
      <c r="BCJ267" s="412"/>
      <c r="BCK267" s="412"/>
      <c r="BCL267" s="412"/>
      <c r="BCM267" s="412"/>
      <c r="BCN267" s="412"/>
      <c r="BCO267" s="412"/>
      <c r="BCP267" s="412"/>
      <c r="BCQ267" s="412"/>
      <c r="BCR267" s="412"/>
      <c r="BCS267" s="412"/>
      <c r="BCT267" s="412"/>
      <c r="BCU267" s="412"/>
      <c r="BCV267" s="412"/>
      <c r="BCW267" s="412"/>
      <c r="BCX267" s="412"/>
      <c r="BCY267" s="412"/>
      <c r="BCZ267" s="412"/>
      <c r="BDA267" s="412"/>
      <c r="BDB267" s="412"/>
      <c r="BDC267" s="412"/>
      <c r="BDD267" s="412"/>
      <c r="BDE267" s="412"/>
      <c r="BDF267" s="412"/>
      <c r="BDG267" s="412"/>
      <c r="BDH267" s="412"/>
      <c r="BDI267" s="412"/>
      <c r="BDJ267" s="412"/>
      <c r="BDK267" s="412"/>
      <c r="BDL267" s="412"/>
      <c r="BDM267" s="412"/>
      <c r="BDN267" s="412"/>
      <c r="BDO267" s="412"/>
      <c r="BDP267" s="412"/>
      <c r="BDQ267" s="412"/>
      <c r="BDR267" s="412"/>
      <c r="BDS267" s="412"/>
      <c r="BDT267" s="412"/>
      <c r="BDU267" s="412"/>
      <c r="BDV267" s="412"/>
      <c r="BDW267" s="412"/>
      <c r="BDX267" s="412"/>
      <c r="BDY267" s="412"/>
      <c r="BDZ267" s="412"/>
      <c r="BEA267" s="412"/>
      <c r="BEB267" s="412"/>
      <c r="BEC267" s="412"/>
      <c r="BED267" s="412"/>
      <c r="BEE267" s="412"/>
      <c r="BEF267" s="412"/>
      <c r="BEG267" s="412"/>
      <c r="BEH267" s="412"/>
      <c r="BEI267" s="412"/>
      <c r="BEJ267" s="412"/>
      <c r="BEK267" s="412"/>
      <c r="BEL267" s="412"/>
      <c r="BEM267" s="412"/>
      <c r="BEN267" s="412"/>
      <c r="BEO267" s="412"/>
      <c r="BEP267" s="412"/>
      <c r="BEQ267" s="412"/>
      <c r="BER267" s="412"/>
      <c r="BES267" s="412"/>
      <c r="BET267" s="412"/>
      <c r="BEU267" s="412"/>
      <c r="BEV267" s="412"/>
      <c r="BEW267" s="412"/>
      <c r="BEX267" s="412"/>
      <c r="BEY267" s="412"/>
      <c r="BEZ267" s="412"/>
      <c r="BFA267" s="412"/>
      <c r="BFB267" s="412"/>
      <c r="BFC267" s="412"/>
      <c r="BFD267" s="412"/>
      <c r="BFE267" s="412"/>
      <c r="BFF267" s="412"/>
      <c r="BFG267" s="412"/>
      <c r="BFH267" s="412"/>
      <c r="BFI267" s="412"/>
      <c r="BFJ267" s="412"/>
      <c r="BFK267" s="412"/>
      <c r="BFL267" s="412"/>
      <c r="BFM267" s="412"/>
      <c r="BFN267" s="412"/>
      <c r="BFO267" s="412"/>
      <c r="BFP267" s="412"/>
      <c r="BFQ267" s="412"/>
      <c r="BFR267" s="412"/>
      <c r="BFS267" s="412"/>
      <c r="BFT267" s="412"/>
      <c r="BFU267" s="412"/>
      <c r="BFV267" s="412"/>
      <c r="BFW267" s="412"/>
      <c r="BFX267" s="412"/>
      <c r="BFY267" s="412"/>
      <c r="BFZ267" s="412"/>
      <c r="BGA267" s="412"/>
      <c r="BGB267" s="412"/>
      <c r="BGC267" s="412"/>
      <c r="BGD267" s="412"/>
      <c r="BGE267" s="412"/>
      <c r="BGF267" s="412"/>
      <c r="BGG267" s="412"/>
      <c r="BGH267" s="412"/>
      <c r="BGI267" s="412"/>
      <c r="BGJ267" s="412"/>
      <c r="BGK267" s="412"/>
      <c r="BGL267" s="412"/>
      <c r="BGM267" s="412"/>
      <c r="BGN267" s="412"/>
      <c r="BGO267" s="412"/>
      <c r="BGP267" s="412"/>
      <c r="BGQ267" s="412"/>
      <c r="BGR267" s="412"/>
      <c r="BGS267" s="412"/>
      <c r="BGT267" s="412"/>
      <c r="BGU267" s="412"/>
      <c r="BGV267" s="412"/>
      <c r="BGW267" s="412"/>
      <c r="BGX267" s="412"/>
      <c r="BGY267" s="412"/>
      <c r="BGZ267" s="412"/>
      <c r="BHA267" s="412"/>
      <c r="BHB267" s="412"/>
      <c r="BHC267" s="412"/>
      <c r="BHD267" s="412"/>
      <c r="BHE267" s="412"/>
      <c r="BHF267" s="412"/>
      <c r="BHG267" s="412"/>
      <c r="BHH267" s="412"/>
      <c r="BHI267" s="412"/>
      <c r="BHJ267" s="412"/>
      <c r="BHK267" s="412"/>
      <c r="BHL267" s="412"/>
      <c r="BHM267" s="412"/>
      <c r="BHN267" s="412"/>
      <c r="BHO267" s="412"/>
      <c r="BHP267" s="412"/>
      <c r="BHQ267" s="412"/>
      <c r="BHR267" s="412"/>
      <c r="BHS267" s="412"/>
      <c r="BHT267" s="412"/>
      <c r="BHU267" s="412"/>
      <c r="BHV267" s="412"/>
      <c r="BHW267" s="412"/>
      <c r="BHX267" s="412"/>
      <c r="BHY267" s="412"/>
      <c r="BHZ267" s="412"/>
      <c r="BIA267" s="412"/>
      <c r="BIB267" s="412"/>
      <c r="BIC267" s="412"/>
      <c r="BID267" s="412"/>
      <c r="BIE267" s="412"/>
      <c r="BIF267" s="412"/>
      <c r="BIG267" s="412"/>
      <c r="BIH267" s="412"/>
      <c r="BII267" s="412"/>
      <c r="BIJ267" s="412"/>
      <c r="BIK267" s="412"/>
      <c r="BIL267" s="412"/>
      <c r="BIM267" s="412"/>
      <c r="BIN267" s="412"/>
      <c r="BIO267" s="412"/>
      <c r="BIP267" s="412"/>
      <c r="BIQ267" s="412"/>
      <c r="BIR267" s="412"/>
      <c r="BIS267" s="412"/>
      <c r="BIT267" s="412"/>
      <c r="BIU267" s="412"/>
      <c r="BIV267" s="412"/>
      <c r="BIW267" s="412"/>
      <c r="BIX267" s="412"/>
      <c r="BIY267" s="412"/>
      <c r="BIZ267" s="412"/>
      <c r="BJA267" s="412"/>
      <c r="BJB267" s="412"/>
      <c r="BJC267" s="412"/>
      <c r="BJD267" s="412"/>
      <c r="BJE267" s="412"/>
      <c r="BJF267" s="412"/>
      <c r="BJG267" s="412"/>
      <c r="BJH267" s="412"/>
      <c r="BJI267" s="412"/>
      <c r="BJJ267" s="412"/>
      <c r="BJK267" s="412"/>
      <c r="BJL267" s="412"/>
      <c r="BJM267" s="412"/>
      <c r="BJN267" s="412"/>
      <c r="BJO267" s="412"/>
      <c r="BJP267" s="412"/>
      <c r="BJQ267" s="412"/>
      <c r="BJR267" s="412"/>
      <c r="BJS267" s="412"/>
      <c r="BJT267" s="412"/>
      <c r="BJU267" s="412"/>
      <c r="BJV267" s="412"/>
      <c r="BJW267" s="412"/>
      <c r="BJX267" s="412"/>
      <c r="BJY267" s="412"/>
      <c r="BJZ267" s="412"/>
      <c r="BKA267" s="412"/>
      <c r="BKB267" s="412"/>
      <c r="BKC267" s="412"/>
      <c r="BKD267" s="412"/>
      <c r="BKE267" s="412"/>
      <c r="BKF267" s="412"/>
      <c r="BKG267" s="412"/>
      <c r="BKH267" s="412"/>
      <c r="BKI267" s="412"/>
      <c r="BKJ267" s="412"/>
      <c r="BKK267" s="412"/>
      <c r="BKL267" s="412"/>
      <c r="BKM267" s="412"/>
      <c r="BKN267" s="412"/>
      <c r="BKO267" s="412"/>
      <c r="BKP267" s="412"/>
      <c r="BKQ267" s="412"/>
      <c r="BKR267" s="412"/>
      <c r="BKS267" s="412"/>
      <c r="BKT267" s="412"/>
      <c r="BKU267" s="412"/>
      <c r="BKV267" s="412"/>
      <c r="BKW267" s="412"/>
      <c r="BKX267" s="412"/>
      <c r="BKY267" s="412"/>
      <c r="BKZ267" s="412"/>
      <c r="BLA267" s="412"/>
      <c r="BLB267" s="412"/>
      <c r="BLC267" s="412"/>
      <c r="BLD267" s="412"/>
      <c r="BLE267" s="412"/>
      <c r="BLF267" s="412"/>
      <c r="BLG267" s="412"/>
      <c r="BLH267" s="412"/>
      <c r="BLI267" s="412"/>
      <c r="BLJ267" s="412"/>
      <c r="BLK267" s="412"/>
      <c r="BLL267" s="412"/>
      <c r="BLM267" s="412"/>
      <c r="BLN267" s="412"/>
      <c r="BLO267" s="412"/>
      <c r="BLP267" s="412"/>
      <c r="BLQ267" s="412"/>
      <c r="BLR267" s="412"/>
      <c r="BLS267" s="412"/>
      <c r="BLT267" s="412"/>
      <c r="BLU267" s="412"/>
      <c r="BLV267" s="412"/>
      <c r="BLW267" s="412"/>
      <c r="BLX267" s="412"/>
      <c r="BLY267" s="412"/>
      <c r="BLZ267" s="412"/>
      <c r="BMA267" s="412"/>
      <c r="BMB267" s="412"/>
      <c r="BMC267" s="412"/>
      <c r="BMD267" s="412"/>
      <c r="BME267" s="412"/>
      <c r="BMF267" s="412"/>
      <c r="BMG267" s="412"/>
      <c r="BMH267" s="412"/>
      <c r="BMI267" s="412"/>
      <c r="BMJ267" s="412"/>
      <c r="BMK267" s="412"/>
      <c r="BML267" s="412"/>
      <c r="BMM267" s="412"/>
      <c r="BMN267" s="412"/>
      <c r="BMO267" s="412"/>
      <c r="BMP267" s="412"/>
      <c r="BMQ267" s="412"/>
      <c r="BMR267" s="412"/>
      <c r="BMS267" s="412"/>
      <c r="BMT267" s="412"/>
      <c r="BMU267" s="412"/>
      <c r="BMV267" s="412"/>
      <c r="BMW267" s="412"/>
      <c r="BMX267" s="412"/>
      <c r="BMY267" s="412"/>
      <c r="BMZ267" s="412"/>
      <c r="BNA267" s="412"/>
      <c r="BNB267" s="412"/>
      <c r="BNC267" s="412"/>
      <c r="BND267" s="412"/>
      <c r="BNE267" s="412"/>
      <c r="BNF267" s="412"/>
      <c r="BNG267" s="412"/>
      <c r="BNH267" s="412"/>
      <c r="BNI267" s="412"/>
      <c r="BNJ267" s="412"/>
      <c r="BNK267" s="412"/>
      <c r="BNL267" s="412"/>
      <c r="BNM267" s="412"/>
      <c r="BNN267" s="412"/>
      <c r="BNO267" s="412"/>
      <c r="BNP267" s="412"/>
      <c r="BNQ267" s="412"/>
      <c r="BNR267" s="412"/>
      <c r="BNS267" s="412"/>
      <c r="BNT267" s="412"/>
      <c r="BNU267" s="412"/>
      <c r="BNV267" s="412"/>
      <c r="BNW267" s="412"/>
      <c r="BNX267" s="412"/>
      <c r="BNY267" s="412"/>
      <c r="BNZ267" s="412"/>
      <c r="BOA267" s="412"/>
      <c r="BOB267" s="412"/>
      <c r="BOC267" s="412"/>
      <c r="BOD267" s="412"/>
      <c r="BOE267" s="412"/>
      <c r="BOF267" s="412"/>
      <c r="BOG267" s="412"/>
      <c r="BOH267" s="412"/>
      <c r="BOI267" s="412"/>
      <c r="BOJ267" s="412"/>
      <c r="BOK267" s="412"/>
      <c r="BOL267" s="412"/>
      <c r="BOM267" s="412"/>
      <c r="BON267" s="412"/>
      <c r="BOO267" s="412"/>
      <c r="BOP267" s="412"/>
      <c r="BOQ267" s="412"/>
      <c r="BOR267" s="412"/>
      <c r="BOS267" s="412"/>
      <c r="BOT267" s="412"/>
      <c r="BOU267" s="412"/>
      <c r="BOV267" s="412"/>
      <c r="BOW267" s="412"/>
      <c r="BOX267" s="412"/>
      <c r="BOY267" s="412"/>
      <c r="BOZ267" s="412"/>
      <c r="BPA267" s="412"/>
      <c r="BPB267" s="412"/>
      <c r="BPC267" s="412"/>
      <c r="BPD267" s="412"/>
      <c r="BPE267" s="412"/>
      <c r="BPF267" s="412"/>
      <c r="BPG267" s="412"/>
      <c r="BPH267" s="412"/>
      <c r="BPI267" s="412"/>
      <c r="BPJ267" s="412"/>
      <c r="BPK267" s="412"/>
      <c r="BPL267" s="412"/>
      <c r="BPM267" s="412"/>
      <c r="BPN267" s="412"/>
      <c r="BPO267" s="412"/>
      <c r="BPP267" s="412"/>
      <c r="BPQ267" s="412"/>
      <c r="BPR267" s="412"/>
      <c r="BPS267" s="412"/>
      <c r="BPT267" s="412"/>
      <c r="BPU267" s="412"/>
      <c r="BPV267" s="412"/>
      <c r="BPW267" s="412"/>
      <c r="BPX267" s="412"/>
      <c r="BPY267" s="412"/>
      <c r="BPZ267" s="412"/>
      <c r="BQA267" s="412"/>
      <c r="BQB267" s="412"/>
      <c r="BQC267" s="412"/>
      <c r="BQD267" s="412"/>
      <c r="BQE267" s="412"/>
      <c r="BQF267" s="412"/>
      <c r="BQG267" s="412"/>
      <c r="BQH267" s="412"/>
      <c r="BQI267" s="412"/>
      <c r="BQJ267" s="412"/>
      <c r="BQK267" s="412"/>
      <c r="BQL267" s="412"/>
      <c r="BQM267" s="412"/>
      <c r="BQN267" s="412"/>
      <c r="BQO267" s="412"/>
      <c r="BQP267" s="412"/>
      <c r="BQQ267" s="412"/>
      <c r="BQR267" s="412"/>
      <c r="BQS267" s="412"/>
      <c r="BQT267" s="412"/>
      <c r="BQU267" s="412"/>
      <c r="BQV267" s="412"/>
      <c r="BQW267" s="412"/>
      <c r="BQX267" s="412"/>
      <c r="BQY267" s="412"/>
      <c r="BQZ267" s="412"/>
      <c r="BRA267" s="412"/>
      <c r="BRB267" s="412"/>
      <c r="BRC267" s="412"/>
      <c r="BRD267" s="412"/>
      <c r="BRE267" s="412"/>
      <c r="BRF267" s="412"/>
      <c r="BRG267" s="412"/>
      <c r="BRH267" s="412"/>
      <c r="BRI267" s="412"/>
      <c r="BRJ267" s="412"/>
      <c r="BRK267" s="412"/>
      <c r="BRL267" s="412"/>
      <c r="BRM267" s="412"/>
      <c r="BRN267" s="412"/>
      <c r="BRO267" s="412"/>
      <c r="BRP267" s="412"/>
      <c r="BRQ267" s="412"/>
      <c r="BRR267" s="412"/>
      <c r="BRS267" s="412"/>
      <c r="BRT267" s="412"/>
      <c r="BRU267" s="412"/>
      <c r="BRV267" s="412"/>
      <c r="BRW267" s="412"/>
      <c r="BRX267" s="412"/>
      <c r="BRY267" s="412"/>
      <c r="BRZ267" s="412"/>
      <c r="BSA267" s="412"/>
      <c r="BSB267" s="412"/>
      <c r="BSC267" s="412"/>
      <c r="BSD267" s="412"/>
      <c r="BSE267" s="412"/>
      <c r="BSF267" s="412"/>
      <c r="BSG267" s="412"/>
      <c r="BSH267" s="412"/>
      <c r="BSI267" s="412"/>
      <c r="BSJ267" s="412"/>
      <c r="BSK267" s="412"/>
      <c r="BSL267" s="412"/>
      <c r="BSM267" s="412"/>
      <c r="BSN267" s="412"/>
      <c r="BSO267" s="412"/>
      <c r="BSP267" s="412"/>
      <c r="BSQ267" s="412"/>
      <c r="BSR267" s="412"/>
      <c r="BSS267" s="412"/>
      <c r="BST267" s="412"/>
      <c r="BSU267" s="412"/>
      <c r="BSV267" s="412"/>
      <c r="BSW267" s="412"/>
      <c r="BSX267" s="412"/>
      <c r="BSY267" s="412"/>
      <c r="BSZ267" s="412"/>
      <c r="BTA267" s="412"/>
      <c r="BTB267" s="412"/>
      <c r="BTC267" s="412"/>
      <c r="BTD267" s="412"/>
      <c r="BTE267" s="412"/>
      <c r="BTF267" s="412"/>
      <c r="BTG267" s="412"/>
      <c r="BTH267" s="412"/>
      <c r="BTI267" s="412"/>
    </row>
    <row r="269" spans="1:1881" x14ac:dyDescent="0.25">
      <c r="A269" s="190"/>
      <c r="B269" s="40"/>
      <c r="C269" s="40"/>
      <c r="D269" s="2"/>
      <c r="E269" s="516"/>
      <c r="F269" s="4"/>
      <c r="G269" s="7"/>
      <c r="H269" s="13"/>
      <c r="I269" s="189"/>
    </row>
    <row r="270" spans="1:1881" x14ac:dyDescent="0.25">
      <c r="A270" s="24"/>
      <c r="B270" s="180"/>
      <c r="C270" s="180"/>
      <c r="D270" s="2"/>
      <c r="E270" s="516"/>
      <c r="F270"/>
      <c r="G270" s="7"/>
      <c r="H270" s="13"/>
      <c r="I270" s="189"/>
    </row>
    <row r="271" spans="1:1881" x14ac:dyDescent="0.25">
      <c r="A271" s="24"/>
      <c r="B271" s="180"/>
      <c r="C271" s="180"/>
      <c r="D271" s="55"/>
      <c r="E271" s="516"/>
      <c r="F271"/>
      <c r="G271" s="7"/>
      <c r="H271" s="13"/>
      <c r="I271" s="189"/>
    </row>
    <row r="272" spans="1:1881" x14ac:dyDescent="0.25">
      <c r="A272" s="24"/>
      <c r="B272" s="180"/>
      <c r="C272" s="180"/>
      <c r="D272" s="55"/>
      <c r="E272" s="516"/>
      <c r="F272"/>
      <c r="G272" s="7"/>
      <c r="H272" s="13"/>
      <c r="I272" s="189"/>
    </row>
    <row r="273" spans="1:9" x14ac:dyDescent="0.25">
      <c r="A273" s="24"/>
      <c r="B273" s="180"/>
      <c r="C273" s="180"/>
      <c r="D273" s="55"/>
      <c r="E273" s="516"/>
      <c r="F273"/>
      <c r="G273" s="7"/>
      <c r="H273" s="13"/>
      <c r="I273" s="189"/>
    </row>
    <row r="274" spans="1:9" x14ac:dyDescent="0.25">
      <c r="A274" s="24"/>
      <c r="B274" s="180"/>
      <c r="C274" s="180"/>
      <c r="D274" s="55"/>
      <c r="E274" s="516"/>
      <c r="F274"/>
      <c r="G274" s="7"/>
      <c r="H274" s="13"/>
      <c r="I274" s="189"/>
    </row>
    <row r="275" spans="1:9" x14ac:dyDescent="0.25">
      <c r="A275" s="24"/>
      <c r="D275" s="57"/>
      <c r="E275" s="516"/>
      <c r="F275"/>
      <c r="H275" s="13"/>
      <c r="I275" s="189"/>
    </row>
    <row r="276" spans="1:9" x14ac:dyDescent="0.25">
      <c r="D276" s="57"/>
      <c r="E276" s="862"/>
      <c r="F276"/>
      <c r="H276" s="13"/>
      <c r="I276" s="189"/>
    </row>
    <row r="277" spans="1:9" x14ac:dyDescent="0.25">
      <c r="D277" s="57"/>
      <c r="E277"/>
      <c r="F277"/>
      <c r="H277" s="13"/>
      <c r="I277" s="189"/>
    </row>
    <row r="278" spans="1:9" x14ac:dyDescent="0.25">
      <c r="D278" s="57"/>
      <c r="E278"/>
      <c r="F278"/>
      <c r="I278" s="189"/>
    </row>
    <row r="279" spans="1:9" x14ac:dyDescent="0.25">
      <c r="E279"/>
      <c r="F279"/>
      <c r="G279" s="380"/>
      <c r="I279" s="189"/>
    </row>
    <row r="280" spans="1:9" x14ac:dyDescent="0.25">
      <c r="E280"/>
      <c r="F280"/>
      <c r="I280" s="189"/>
    </row>
    <row r="281" spans="1:9" x14ac:dyDescent="0.25">
      <c r="E281"/>
      <c r="F281"/>
      <c r="I281" s="189"/>
    </row>
    <row r="282" spans="1:9" x14ac:dyDescent="0.25">
      <c r="E282"/>
      <c r="F282"/>
      <c r="I282" s="189"/>
    </row>
    <row r="283" spans="1:9" x14ac:dyDescent="0.25">
      <c r="I283" s="189"/>
    </row>
    <row r="284" spans="1:9" x14ac:dyDescent="0.25">
      <c r="I284" s="189"/>
    </row>
    <row r="285" spans="1:9" x14ac:dyDescent="0.25">
      <c r="I285" s="189"/>
    </row>
    <row r="286" spans="1:9" x14ac:dyDescent="0.25">
      <c r="I286" s="189"/>
    </row>
    <row r="287" spans="1:9" x14ac:dyDescent="0.25">
      <c r="I287" s="189"/>
    </row>
    <row r="288" spans="1:9" x14ac:dyDescent="0.25">
      <c r="I288" s="189"/>
    </row>
    <row r="289" spans="9:12" x14ac:dyDescent="0.25">
      <c r="I289" s="189"/>
    </row>
    <row r="290" spans="9:12" x14ac:dyDescent="0.25">
      <c r="I290"/>
    </row>
    <row r="291" spans="9:12" x14ac:dyDescent="0.25">
      <c r="I291"/>
      <c r="K291" s="373"/>
      <c r="L291" s="373"/>
    </row>
    <row r="292" spans="9:12" x14ac:dyDescent="0.25">
      <c r="I292"/>
      <c r="K292" s="373"/>
      <c r="L292" s="373"/>
    </row>
    <row r="293" spans="9:12" x14ac:dyDescent="0.25">
      <c r="I293"/>
      <c r="K293" s="373"/>
      <c r="L293" s="373"/>
    </row>
    <row r="294" spans="9:12" x14ac:dyDescent="0.25">
      <c r="I294"/>
      <c r="K294" s="373"/>
      <c r="L294" s="373"/>
    </row>
    <row r="295" spans="9:12" x14ac:dyDescent="0.25">
      <c r="I295"/>
      <c r="K295" s="373"/>
      <c r="L295" s="373"/>
    </row>
    <row r="296" spans="9:12" x14ac:dyDescent="0.25">
      <c r="I296"/>
      <c r="K296" s="373"/>
      <c r="L296" s="373"/>
    </row>
    <row r="297" spans="9:12" x14ac:dyDescent="0.25">
      <c r="I297" s="189"/>
      <c r="K297" s="373"/>
      <c r="L297" s="373"/>
    </row>
    <row r="298" spans="9:12" x14ac:dyDescent="0.25">
      <c r="I298" s="189"/>
      <c r="K298" s="373"/>
      <c r="L298" s="373"/>
    </row>
    <row r="299" spans="9:12" x14ac:dyDescent="0.25">
      <c r="I299" s="189"/>
      <c r="J299" s="373"/>
      <c r="K299" s="373"/>
      <c r="L299" s="373"/>
    </row>
    <row r="300" spans="9:12" x14ac:dyDescent="0.25">
      <c r="I300" s="189"/>
      <c r="J300" s="373"/>
      <c r="K300" s="373"/>
      <c r="L300" s="373"/>
    </row>
    <row r="301" spans="9:12" x14ac:dyDescent="0.25">
      <c r="I301" s="189"/>
      <c r="J301" s="373"/>
      <c r="K301" s="373"/>
      <c r="L301" s="373"/>
    </row>
    <row r="302" spans="9:12" x14ac:dyDescent="0.25">
      <c r="I302" s="189"/>
      <c r="J302" s="373"/>
      <c r="K302" s="373"/>
      <c r="L302" s="373"/>
    </row>
    <row r="303" spans="9:12" x14ac:dyDescent="0.25">
      <c r="I303" s="189"/>
      <c r="J303" s="373"/>
      <c r="K303" s="373"/>
      <c r="L303" s="373"/>
    </row>
    <row r="304" spans="9:12" x14ac:dyDescent="0.25">
      <c r="I304" s="189"/>
      <c r="J304" s="373"/>
      <c r="K304" s="373"/>
      <c r="L304" s="373"/>
    </row>
    <row r="305" spans="9:12" x14ac:dyDescent="0.25">
      <c r="I305" s="189"/>
      <c r="J305" s="373"/>
      <c r="K305" s="373"/>
      <c r="L305" s="373"/>
    </row>
    <row r="306" spans="9:12" x14ac:dyDescent="0.25">
      <c r="I306"/>
      <c r="J306" s="373"/>
      <c r="K306" s="373"/>
      <c r="L306" s="373"/>
    </row>
    <row r="307" spans="9:12" x14ac:dyDescent="0.25">
      <c r="I307"/>
      <c r="J307" s="373"/>
      <c r="K307" s="373"/>
      <c r="L307" s="373"/>
    </row>
    <row r="308" spans="9:12" x14ac:dyDescent="0.25">
      <c r="I308"/>
      <c r="J308" s="373"/>
      <c r="K308" s="373"/>
      <c r="L308" s="373"/>
    </row>
    <row r="309" spans="9:12" x14ac:dyDescent="0.25">
      <c r="I309"/>
      <c r="J309" s="373"/>
      <c r="K309" s="373"/>
      <c r="L309" s="373"/>
    </row>
    <row r="310" spans="9:12" x14ac:dyDescent="0.25">
      <c r="I310"/>
      <c r="J310" s="373"/>
      <c r="K310" s="373"/>
      <c r="L310" s="373"/>
    </row>
    <row r="311" spans="9:12" x14ac:dyDescent="0.25">
      <c r="I311"/>
      <c r="J311" s="373"/>
      <c r="K311" s="373"/>
      <c r="L311" s="373"/>
    </row>
    <row r="312" spans="9:12" x14ac:dyDescent="0.25">
      <c r="I312"/>
      <c r="J312" s="373"/>
      <c r="K312" s="373"/>
      <c r="L312" s="373"/>
    </row>
    <row r="313" spans="9:12" x14ac:dyDescent="0.25">
      <c r="I313"/>
      <c r="J313" s="373"/>
      <c r="K313" s="373"/>
      <c r="L313" s="373"/>
    </row>
    <row r="314" spans="9:12" x14ac:dyDescent="0.25">
      <c r="I314"/>
      <c r="J314" s="373"/>
      <c r="K314" s="373"/>
      <c r="L314" s="373"/>
    </row>
    <row r="315" spans="9:12" x14ac:dyDescent="0.25">
      <c r="I315"/>
      <c r="J315" s="373"/>
      <c r="K315" s="373"/>
      <c r="L315" s="373"/>
    </row>
    <row r="316" spans="9:12" x14ac:dyDescent="0.25">
      <c r="I316"/>
      <c r="J316" s="373"/>
      <c r="K316" s="373"/>
      <c r="L316" s="373"/>
    </row>
    <row r="317" spans="9:12" x14ac:dyDescent="0.25">
      <c r="I317"/>
      <c r="J317" s="373"/>
      <c r="K317" s="373"/>
      <c r="L317" s="373"/>
    </row>
    <row r="318" spans="9:12" x14ac:dyDescent="0.25">
      <c r="I318"/>
      <c r="J318" s="373"/>
      <c r="K318" s="373"/>
      <c r="L318" s="373"/>
    </row>
    <row r="319" spans="9:12" x14ac:dyDescent="0.25">
      <c r="I319"/>
      <c r="J319" s="373"/>
      <c r="K319" s="373"/>
      <c r="L319" s="373"/>
    </row>
    <row r="320" spans="9:12" x14ac:dyDescent="0.25">
      <c r="I320"/>
      <c r="J320" s="373"/>
      <c r="K320" s="373"/>
      <c r="L320" s="373"/>
    </row>
    <row r="321" spans="9:12" x14ac:dyDescent="0.25">
      <c r="I321"/>
      <c r="J321" s="373"/>
      <c r="K321" s="373"/>
      <c r="L321" s="373"/>
    </row>
    <row r="322" spans="9:12" x14ac:dyDescent="0.25">
      <c r="I322"/>
      <c r="J322" s="373"/>
      <c r="K322" s="373"/>
      <c r="L322" s="373"/>
    </row>
    <row r="323" spans="9:12" x14ac:dyDescent="0.25">
      <c r="I323"/>
      <c r="J323" s="373"/>
      <c r="K323" s="373"/>
      <c r="L323" s="373"/>
    </row>
    <row r="324" spans="9:12" x14ac:dyDescent="0.25">
      <c r="I324"/>
      <c r="J324" s="373"/>
      <c r="K324" s="373"/>
      <c r="L324" s="373"/>
    </row>
    <row r="325" spans="9:12" x14ac:dyDescent="0.25">
      <c r="I325"/>
      <c r="J325" s="373"/>
      <c r="K325" s="373"/>
      <c r="L325" s="373"/>
    </row>
    <row r="326" spans="9:12" x14ac:dyDescent="0.25">
      <c r="I326"/>
      <c r="J326" s="373"/>
      <c r="K326" s="373"/>
      <c r="L326" s="373"/>
    </row>
    <row r="327" spans="9:12" x14ac:dyDescent="0.25">
      <c r="I327"/>
      <c r="J327" s="373"/>
      <c r="K327" s="373"/>
      <c r="L327" s="373"/>
    </row>
    <row r="328" spans="9:12" x14ac:dyDescent="0.25">
      <c r="I328"/>
      <c r="J328" s="373"/>
      <c r="K328" s="373"/>
      <c r="L328" s="373"/>
    </row>
    <row r="329" spans="9:12" x14ac:dyDescent="0.25">
      <c r="I329"/>
      <c r="J329" s="373"/>
      <c r="K329" s="373"/>
      <c r="L329" s="373"/>
    </row>
    <row r="330" spans="9:12" x14ac:dyDescent="0.25">
      <c r="I330"/>
      <c r="J330" s="373"/>
      <c r="K330" s="373"/>
      <c r="L330" s="373"/>
    </row>
    <row r="331" spans="9:12" x14ac:dyDescent="0.25">
      <c r="I331"/>
      <c r="J331" s="373"/>
      <c r="K331" s="373"/>
      <c r="L331" s="373"/>
    </row>
    <row r="332" spans="9:12" x14ac:dyDescent="0.25">
      <c r="I332"/>
      <c r="J332" s="373"/>
      <c r="K332" s="373"/>
      <c r="L332" s="373"/>
    </row>
    <row r="333" spans="9:12" x14ac:dyDescent="0.25">
      <c r="I333"/>
      <c r="J333" s="373"/>
      <c r="K333" s="373"/>
      <c r="L333" s="373"/>
    </row>
    <row r="334" spans="9:12" x14ac:dyDescent="0.25">
      <c r="I334"/>
      <c r="J334" s="373"/>
      <c r="K334" s="373"/>
      <c r="L334" s="373"/>
    </row>
    <row r="335" spans="9:12" x14ac:dyDescent="0.25">
      <c r="I335"/>
      <c r="J335" s="373"/>
      <c r="K335" s="373"/>
      <c r="L335" s="373"/>
    </row>
    <row r="336" spans="9:12" x14ac:dyDescent="0.25">
      <c r="I336"/>
      <c r="J336" s="373"/>
      <c r="K336" s="373"/>
      <c r="L336" s="373"/>
    </row>
    <row r="337" spans="9:12" x14ac:dyDescent="0.25">
      <c r="I337"/>
      <c r="J337" s="373"/>
      <c r="K337" s="373"/>
      <c r="L337" s="373"/>
    </row>
    <row r="338" spans="9:12" x14ac:dyDescent="0.25">
      <c r="I338"/>
      <c r="J338" s="373"/>
      <c r="K338" s="373"/>
      <c r="L338" s="373"/>
    </row>
    <row r="339" spans="9:12" x14ac:dyDescent="0.25">
      <c r="I339"/>
      <c r="J339" s="373"/>
      <c r="K339" s="373"/>
      <c r="L339" s="373"/>
    </row>
    <row r="340" spans="9:12" x14ac:dyDescent="0.25">
      <c r="I340"/>
      <c r="J340" s="373"/>
      <c r="K340" s="373"/>
      <c r="L340" s="373"/>
    </row>
    <row r="341" spans="9:12" x14ac:dyDescent="0.25">
      <c r="I341"/>
      <c r="J341" s="373"/>
      <c r="K341" s="373"/>
      <c r="L341" s="373"/>
    </row>
    <row r="342" spans="9:12" x14ac:dyDescent="0.25">
      <c r="I342"/>
      <c r="J342" s="373"/>
      <c r="K342" s="373"/>
      <c r="L342" s="373"/>
    </row>
    <row r="343" spans="9:12" x14ac:dyDescent="0.25">
      <c r="I343"/>
      <c r="J343" s="373"/>
      <c r="K343" s="373"/>
      <c r="L343" s="373"/>
    </row>
    <row r="344" spans="9:12" x14ac:dyDescent="0.25">
      <c r="I344"/>
      <c r="J344" s="373"/>
      <c r="K344" s="373"/>
      <c r="L344" s="373"/>
    </row>
    <row r="345" spans="9:12" x14ac:dyDescent="0.25">
      <c r="I345"/>
      <c r="J345" s="373"/>
      <c r="K345" s="373"/>
      <c r="L345" s="373"/>
    </row>
    <row r="346" spans="9:12" x14ac:dyDescent="0.25">
      <c r="I346"/>
      <c r="J346" s="373"/>
      <c r="K346" s="373"/>
      <c r="L346" s="373"/>
    </row>
    <row r="347" spans="9:12" x14ac:dyDescent="0.25">
      <c r="I347"/>
      <c r="J347" s="373"/>
      <c r="K347" s="373"/>
      <c r="L347" s="373"/>
    </row>
    <row r="348" spans="9:12" x14ac:dyDescent="0.25">
      <c r="I348"/>
      <c r="J348" s="373"/>
      <c r="K348" s="373"/>
      <c r="L348" s="373"/>
    </row>
    <row r="349" spans="9:12" x14ac:dyDescent="0.25">
      <c r="I349"/>
      <c r="J349" s="373"/>
      <c r="K349" s="373"/>
      <c r="L349" s="373"/>
    </row>
    <row r="350" spans="9:12" x14ac:dyDescent="0.25">
      <c r="I350"/>
      <c r="J350" s="373"/>
      <c r="K350" s="373"/>
      <c r="L350" s="373"/>
    </row>
    <row r="351" spans="9:12" x14ac:dyDescent="0.25">
      <c r="I351"/>
      <c r="J351" s="373"/>
      <c r="K351" s="373"/>
      <c r="L351" s="373"/>
    </row>
    <row r="352" spans="9:12" x14ac:dyDescent="0.25">
      <c r="I352"/>
      <c r="J352" s="373"/>
      <c r="K352" s="373"/>
      <c r="L352" s="373"/>
    </row>
    <row r="353" spans="9:12" x14ac:dyDescent="0.25">
      <c r="I353"/>
      <c r="J353" s="373"/>
      <c r="K353" s="373"/>
      <c r="L353" s="373"/>
    </row>
    <row r="354" spans="9:12" x14ac:dyDescent="0.25">
      <c r="I354"/>
      <c r="J354" s="373"/>
      <c r="K354" s="373"/>
      <c r="L354" s="373"/>
    </row>
    <row r="355" spans="9:12" x14ac:dyDescent="0.25">
      <c r="I355"/>
      <c r="J355" s="373"/>
      <c r="K355" s="373"/>
      <c r="L355" s="373"/>
    </row>
    <row r="356" spans="9:12" x14ac:dyDescent="0.25">
      <c r="I356"/>
      <c r="J356" s="373"/>
      <c r="K356" s="373"/>
      <c r="L356" s="373"/>
    </row>
    <row r="357" spans="9:12" x14ac:dyDescent="0.25">
      <c r="I357"/>
      <c r="J357" s="373"/>
      <c r="K357" s="373"/>
      <c r="L357" s="373"/>
    </row>
    <row r="358" spans="9:12" x14ac:dyDescent="0.25">
      <c r="I358"/>
      <c r="J358" s="373"/>
      <c r="K358" s="373"/>
      <c r="L358" s="373"/>
    </row>
    <row r="359" spans="9:12" x14ac:dyDescent="0.25">
      <c r="I359"/>
      <c r="J359" s="373"/>
      <c r="K359" s="373"/>
      <c r="L359" s="373"/>
    </row>
    <row r="360" spans="9:12" x14ac:dyDescent="0.25">
      <c r="I360"/>
      <c r="J360" s="373"/>
    </row>
    <row r="361" spans="9:12" x14ac:dyDescent="0.25">
      <c r="I361"/>
      <c r="J361" s="373"/>
    </row>
    <row r="362" spans="9:12" x14ac:dyDescent="0.25">
      <c r="I362"/>
      <c r="J362" s="373"/>
    </row>
    <row r="363" spans="9:12" x14ac:dyDescent="0.25">
      <c r="I363"/>
      <c r="J363" s="373"/>
    </row>
    <row r="364" spans="9:12" x14ac:dyDescent="0.25">
      <c r="I364"/>
      <c r="J364" s="373"/>
    </row>
    <row r="365" spans="9:12" x14ac:dyDescent="0.25">
      <c r="I365"/>
      <c r="J365" s="373"/>
    </row>
    <row r="366" spans="9:12" x14ac:dyDescent="0.25">
      <c r="I366"/>
      <c r="J366" s="373"/>
    </row>
    <row r="367" spans="9:12" x14ac:dyDescent="0.25">
      <c r="I367"/>
      <c r="J367" s="373"/>
    </row>
    <row r="368" spans="9:12" x14ac:dyDescent="0.25">
      <c r="I368"/>
    </row>
    <row r="369" spans="9:9" x14ac:dyDescent="0.25">
      <c r="I369"/>
    </row>
    <row r="370" spans="9:9" x14ac:dyDescent="0.25">
      <c r="I370"/>
    </row>
    <row r="371" spans="9:9" x14ac:dyDescent="0.25">
      <c r="I371"/>
    </row>
    <row r="372" spans="9:9" x14ac:dyDescent="0.25">
      <c r="I372"/>
    </row>
    <row r="373" spans="9:9" x14ac:dyDescent="0.25">
      <c r="I373"/>
    </row>
    <row r="374" spans="9:9" x14ac:dyDescent="0.25">
      <c r="I374"/>
    </row>
    <row r="375" spans="9:9" x14ac:dyDescent="0.25">
      <c r="I375" s="189"/>
    </row>
    <row r="376" spans="9:9" x14ac:dyDescent="0.25">
      <c r="I376" s="189"/>
    </row>
    <row r="377" spans="9:9" x14ac:dyDescent="0.25">
      <c r="I377" s="189"/>
    </row>
    <row r="378" spans="9:9" x14ac:dyDescent="0.25">
      <c r="I378" s="189"/>
    </row>
    <row r="379" spans="9:9" x14ac:dyDescent="0.25">
      <c r="I379" s="189"/>
    </row>
    <row r="380" spans="9:9" x14ac:dyDescent="0.25">
      <c r="I380" s="189"/>
    </row>
    <row r="381" spans="9:9" x14ac:dyDescent="0.25">
      <c r="I381" s="189"/>
    </row>
    <row r="382" spans="9:9" x14ac:dyDescent="0.25">
      <c r="I382" s="189"/>
    </row>
    <row r="383" spans="9:9" x14ac:dyDescent="0.25">
      <c r="I383" s="189"/>
    </row>
    <row r="384" spans="9:9" x14ac:dyDescent="0.25">
      <c r="I384" s="189"/>
    </row>
  </sheetData>
  <sheetProtection algorithmName="SHA-512" hashValue="f795xbCpR5X2tZ9dvdGgpYcTtOcCipcOrpQ9dtQQ94+0yL+xJBqCeF/1FYezOaMUE4DyZWVyH6ESyTsdc3k9JA==" saltValue="nUGtxTQLtz4mlebz/CN8GQ==" spinCount="100000" sheet="1" formatCells="0" formatColumns="0" formatRows="0"/>
  <dataConsolidate link="1"/>
  <mergeCells count="17">
    <mergeCell ref="B263:C263"/>
    <mergeCell ref="B264:C264"/>
    <mergeCell ref="D263:E263"/>
    <mergeCell ref="D264:E264"/>
    <mergeCell ref="B262:C262"/>
    <mergeCell ref="D262:E262"/>
    <mergeCell ref="B260:C260"/>
    <mergeCell ref="B261:C261"/>
    <mergeCell ref="D260:E260"/>
    <mergeCell ref="D261:E261"/>
    <mergeCell ref="E2:G2"/>
    <mergeCell ref="B2:C2"/>
    <mergeCell ref="B118:D118"/>
    <mergeCell ref="B254:E254"/>
    <mergeCell ref="B255:E255"/>
    <mergeCell ref="D259:E259"/>
    <mergeCell ref="B244:G244"/>
  </mergeCells>
  <phoneticPr fontId="97" type="noConversion"/>
  <conditionalFormatting sqref="H145">
    <cfRule type="cellIs" dxfId="69" priority="104" stopIfTrue="1" operator="notEqual">
      <formula>0</formula>
    </cfRule>
  </conditionalFormatting>
  <conditionalFormatting sqref="H146">
    <cfRule type="cellIs" dxfId="68" priority="102" stopIfTrue="1" operator="notEqual">
      <formula>0</formula>
    </cfRule>
  </conditionalFormatting>
  <conditionalFormatting sqref="G232:G235 G239:G240">
    <cfRule type="cellIs" dxfId="67" priority="101" stopIfTrue="1" operator="notEqual">
      <formula>0</formula>
    </cfRule>
  </conditionalFormatting>
  <conditionalFormatting sqref="H23">
    <cfRule type="cellIs" dxfId="66" priority="100" stopIfTrue="1" operator="notEqual">
      <formula>0</formula>
    </cfRule>
  </conditionalFormatting>
  <conditionalFormatting sqref="H37:H38">
    <cfRule type="cellIs" dxfId="65" priority="99" stopIfTrue="1" operator="notEqual">
      <formula>0</formula>
    </cfRule>
  </conditionalFormatting>
  <conditionalFormatting sqref="H57">
    <cfRule type="cellIs" dxfId="64" priority="98" stopIfTrue="1" operator="notEqual">
      <formula>0</formula>
    </cfRule>
  </conditionalFormatting>
  <conditionalFormatting sqref="H70:H73">
    <cfRule type="cellIs" dxfId="63" priority="97" stopIfTrue="1" operator="notEqual">
      <formula>0</formula>
    </cfRule>
  </conditionalFormatting>
  <conditionalFormatting sqref="H97">
    <cfRule type="cellIs" dxfId="62" priority="96" stopIfTrue="1" operator="notEqual">
      <formula>0</formula>
    </cfRule>
  </conditionalFormatting>
  <conditionalFormatting sqref="H116">
    <cfRule type="cellIs" dxfId="61" priority="95" stopIfTrue="1" operator="notEqual">
      <formula>0</formula>
    </cfRule>
  </conditionalFormatting>
  <conditionalFormatting sqref="H129">
    <cfRule type="cellIs" dxfId="60" priority="94" stopIfTrue="1" operator="notEqual">
      <formula>0</formula>
    </cfRule>
  </conditionalFormatting>
  <conditionalFormatting sqref="H130">
    <cfRule type="cellIs" dxfId="59" priority="93" stopIfTrue="1" operator="notEqual">
      <formula>0</formula>
    </cfRule>
  </conditionalFormatting>
  <conditionalFormatting sqref="L204 G219">
    <cfRule type="cellIs" priority="65" stopIfTrue="1" operator="equal">
      <formula>";;;"</formula>
    </cfRule>
  </conditionalFormatting>
  <conditionalFormatting sqref="L204 G219">
    <cfRule type="cellIs" dxfId="58" priority="64" stopIfTrue="1" operator="equal">
      <formula>0</formula>
    </cfRule>
  </conditionalFormatting>
  <conditionalFormatting sqref="L204">
    <cfRule type="cellIs" dxfId="57" priority="63" stopIfTrue="1" operator="equal">
      <formula>0</formula>
    </cfRule>
  </conditionalFormatting>
  <conditionalFormatting sqref="G218">
    <cfRule type="cellIs" priority="62" stopIfTrue="1" operator="equal">
      <formula>";;;"</formula>
    </cfRule>
  </conditionalFormatting>
  <conditionalFormatting sqref="G218">
    <cfRule type="cellIs" dxfId="56" priority="61" stopIfTrue="1" operator="equal">
      <formula>0</formula>
    </cfRule>
  </conditionalFormatting>
  <conditionalFormatting sqref="G218">
    <cfRule type="cellIs" dxfId="55" priority="60" stopIfTrue="1" operator="equal">
      <formula>0</formula>
    </cfRule>
  </conditionalFormatting>
  <conditionalFormatting sqref="G216">
    <cfRule type="cellIs" priority="56" stopIfTrue="1" operator="equal">
      <formula>";;;"</formula>
    </cfRule>
  </conditionalFormatting>
  <conditionalFormatting sqref="G216">
    <cfRule type="cellIs" dxfId="54" priority="55" stopIfTrue="1" operator="equal">
      <formula>0</formula>
    </cfRule>
  </conditionalFormatting>
  <conditionalFormatting sqref="G216">
    <cfRule type="cellIs" dxfId="53" priority="54" stopIfTrue="1" operator="equal">
      <formula>0</formula>
    </cfRule>
  </conditionalFormatting>
  <conditionalFormatting sqref="G217">
    <cfRule type="cellIs" priority="50" stopIfTrue="1" operator="equal">
      <formula>";;;"</formula>
    </cfRule>
  </conditionalFormatting>
  <conditionalFormatting sqref="G217">
    <cfRule type="cellIs" dxfId="52" priority="49" stopIfTrue="1" operator="equal">
      <formula>0</formula>
    </cfRule>
  </conditionalFormatting>
  <conditionalFormatting sqref="G217">
    <cfRule type="cellIs" dxfId="51" priority="48" stopIfTrue="1" operator="equal">
      <formula>0</formula>
    </cfRule>
  </conditionalFormatting>
  <conditionalFormatting sqref="J210">
    <cfRule type="cellIs" priority="47" stopIfTrue="1" operator="equal">
      <formula>";;;"</formula>
    </cfRule>
  </conditionalFormatting>
  <conditionalFormatting sqref="J210">
    <cfRule type="cellIs" dxfId="50" priority="46" stopIfTrue="1" operator="equal">
      <formula>0</formula>
    </cfRule>
  </conditionalFormatting>
  <conditionalFormatting sqref="J210">
    <cfRule type="cellIs" dxfId="49" priority="45" stopIfTrue="1" operator="equal">
      <formula>0</formula>
    </cfRule>
  </conditionalFormatting>
  <conditionalFormatting sqref="G212">
    <cfRule type="cellIs" priority="17" stopIfTrue="1" operator="equal">
      <formula>";;;"</formula>
    </cfRule>
  </conditionalFormatting>
  <conditionalFormatting sqref="G212">
    <cfRule type="cellIs" dxfId="48" priority="16" stopIfTrue="1" operator="equal">
      <formula>0</formula>
    </cfRule>
  </conditionalFormatting>
  <conditionalFormatting sqref="G212">
    <cfRule type="cellIs" dxfId="47" priority="15" stopIfTrue="1" operator="equal">
      <formula>0</formula>
    </cfRule>
  </conditionalFormatting>
  <conditionalFormatting sqref="G210">
    <cfRule type="cellIs" priority="14" stopIfTrue="1" operator="equal">
      <formula>";;;"</formula>
    </cfRule>
  </conditionalFormatting>
  <conditionalFormatting sqref="G210">
    <cfRule type="cellIs" dxfId="46" priority="13" stopIfTrue="1" operator="equal">
      <formula>0</formula>
    </cfRule>
  </conditionalFormatting>
  <conditionalFormatting sqref="G210">
    <cfRule type="cellIs" dxfId="45" priority="12" stopIfTrue="1" operator="equal">
      <formula>0</formula>
    </cfRule>
  </conditionalFormatting>
  <conditionalFormatting sqref="G211">
    <cfRule type="cellIs" priority="11" stopIfTrue="1" operator="equal">
      <formula>";;;"</formula>
    </cfRule>
  </conditionalFormatting>
  <conditionalFormatting sqref="G211">
    <cfRule type="cellIs" dxfId="44" priority="10" stopIfTrue="1" operator="equal">
      <formula>0</formula>
    </cfRule>
  </conditionalFormatting>
  <conditionalFormatting sqref="G211">
    <cfRule type="cellIs" dxfId="43" priority="9" stopIfTrue="1" operator="equal">
      <formula>0</formula>
    </cfRule>
  </conditionalFormatting>
  <conditionalFormatting sqref="G214">
    <cfRule type="cellIs" priority="8" stopIfTrue="1" operator="equal">
      <formula>";;;"</formula>
    </cfRule>
  </conditionalFormatting>
  <conditionalFormatting sqref="G214">
    <cfRule type="cellIs" dxfId="42" priority="7" stopIfTrue="1" operator="equal">
      <formula>0</formula>
    </cfRule>
  </conditionalFormatting>
  <conditionalFormatting sqref="G214">
    <cfRule type="cellIs" dxfId="41" priority="6" stopIfTrue="1" operator="equal">
      <formula>0</formula>
    </cfRule>
  </conditionalFormatting>
  <dataValidations xWindow="854" yWindow="655" count="11">
    <dataValidation type="list" allowBlank="1" showInputMessage="1" showErrorMessage="1" prompt="Please select Yes or No from the drop down list" sqref="F205" xr:uid="{00000000-0002-0000-0100-000002000000}">
      <formula1>#REF!</formula1>
    </dataValidation>
    <dataValidation type="list" allowBlank="1" showInputMessage="1" showErrorMessage="1" prompt="Please select the appropriate number value from the drop-down box." sqref="F79" xr:uid="{00000000-0002-0000-0100-000005000000}">
      <formula1>$N$2:$N$4</formula1>
    </dataValidation>
    <dataValidation type="date" operator="lessThan" showInputMessage="1" showErrorMessage="1" sqref="F249" xr:uid="{D88F9905-DDAC-4ACA-8507-08F0F7852A99}">
      <formula1>44012</formula1>
    </dataValidation>
    <dataValidation type="list" allowBlank="1" showInputMessage="1" showErrorMessage="1" prompt="Select from drop down list" sqref="G71" xr:uid="{03FCCE46-B0EA-4672-8B51-281D65C01346}">
      <formula1>#REF!</formula1>
    </dataValidation>
    <dataValidation type="list" allowBlank="1" showInputMessage="1" showErrorMessage="1" prompt="Click on cell D2 and select the unit name from the drop down list" sqref="D2" xr:uid="{00000000-0002-0000-0100-000004000000}">
      <formula1>$L$6:$L$82</formula1>
    </dataValidation>
    <dataValidation type="list" allowBlank="1" showInputMessage="1" showErrorMessage="1" sqref="F71" xr:uid="{A85FF889-D99F-45B3-A284-6701B76512B6}">
      <formula1>$M$4:$M$5</formula1>
    </dataValidation>
    <dataValidation type="list" allowBlank="1" showInputMessage="1" showErrorMessage="1" sqref="F131:F132 F207 F248 F250:F252" xr:uid="{9CC5535C-800A-4D03-A86E-273A5BC3EBB6}">
      <formula1>$M$1:$M$2</formula1>
    </dataValidation>
    <dataValidation type="list" allowBlank="1" showInputMessage="1" showErrorMessage="1" sqref="F161" xr:uid="{FCE57F22-20D9-4CFA-AFE5-1751E216D3C1}">
      <formula1>$O$1:$O$2</formula1>
    </dataValidation>
    <dataValidation type="list" allowBlank="1" showInputMessage="1" showErrorMessage="1" sqref="F215" xr:uid="{2CD3BDAD-30EF-425F-BB01-D3FF43CDAA81}">
      <formula1>$O$1:$O$4</formula1>
    </dataValidation>
    <dataValidation type="list" allowBlank="1" showInputMessage="1" showErrorMessage="1" prompt="Please select from the drop down box the most appropriate answer" sqref="F241 F243" xr:uid="{7584867B-76E5-42C2-B404-3B1B6C94E6E2}">
      <formula1>$O$1:$O$2</formula1>
    </dataValidation>
    <dataValidation type="list" allowBlank="1" showInputMessage="1" showErrorMessage="1" sqref="F247" xr:uid="{DB0EB8F5-2DE0-4833-AFDF-F7BB7A8D56E1}">
      <formula1>$M$6:$M$8</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36:H23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668"/>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RowHeight="15" x14ac:dyDescent="0.25"/>
  <cols>
    <col min="1" max="1" width="8.85546875" style="1" customWidth="1"/>
    <col min="2" max="2" width="17.42578125" style="234" bestFit="1" customWidth="1"/>
    <col min="3" max="3" width="36.7109375" style="228" customWidth="1"/>
    <col min="4" max="4" width="20.7109375" style="1" bestFit="1" customWidth="1"/>
    <col min="5" max="5" width="17.5703125" style="1" customWidth="1"/>
    <col min="6" max="6" width="22.7109375" style="1" customWidth="1"/>
    <col min="7" max="7" width="17.28515625" style="283" bestFit="1" customWidth="1"/>
    <col min="8" max="8" width="9.5703125" style="1" bestFit="1" customWidth="1"/>
    <col min="9" max="9" width="1" style="56" customWidth="1"/>
    <col min="10" max="10" width="18.140625" style="229" customWidth="1"/>
    <col min="11" max="11" width="36.85546875" style="43" customWidth="1"/>
    <col min="12" max="12" width="15.28515625" style="267" bestFit="1" customWidth="1"/>
    <col min="13" max="13" width="1.42578125" style="1" customWidth="1"/>
    <col min="14" max="14" width="16.140625" style="1" customWidth="1"/>
    <col min="15" max="15" width="16.42578125" style="1" bestFit="1" customWidth="1"/>
    <col min="17" max="17" width="10.140625" style="328" bestFit="1" customWidth="1"/>
    <col min="18" max="18" width="7.140625" style="1" bestFit="1" customWidth="1"/>
    <col min="19" max="19" width="6" style="1" customWidth="1"/>
    <col min="20" max="20" width="6.7109375" style="1" customWidth="1"/>
    <col min="21" max="21" width="7.5703125" style="1" hidden="1" customWidth="1"/>
    <col min="22" max="22" width="3.42578125" style="1" customWidth="1"/>
    <col min="23" max="23" width="7.140625" style="1" bestFit="1" customWidth="1"/>
    <col min="24" max="24" width="10.5703125" style="1" customWidth="1"/>
    <col min="25" max="16384" width="9.140625" style="1"/>
  </cols>
  <sheetData>
    <row r="1" spans="1:27" ht="37.5" x14ac:dyDescent="0.25">
      <c r="C1" s="230" t="s">
        <v>963</v>
      </c>
      <c r="D1" s="52">
        <f>L51-(L38+L39-L43-L44-L180)-L47</f>
        <v>0</v>
      </c>
      <c r="I1" s="200"/>
      <c r="J1" s="223"/>
      <c r="K1" s="58" t="s">
        <v>54</v>
      </c>
      <c r="L1" s="260"/>
      <c r="M1" s="38"/>
      <c r="S1" s="1">
        <v>100</v>
      </c>
      <c r="T1" s="1">
        <v>1</v>
      </c>
    </row>
    <row r="2" spans="1:27" ht="21" x14ac:dyDescent="0.35">
      <c r="C2" s="291">
        <f>'Unit Data from Audit Worksheet'!D2</f>
        <v>0</v>
      </c>
      <c r="D2" s="664">
        <v>2020</v>
      </c>
      <c r="E2" s="46">
        <f>D2</f>
        <v>2020</v>
      </c>
      <c r="F2" s="46"/>
      <c r="G2" s="284"/>
      <c r="H2" s="46"/>
      <c r="I2" s="200"/>
      <c r="J2" s="206" t="s">
        <v>49</v>
      </c>
      <c r="K2" s="42" t="s">
        <v>48</v>
      </c>
      <c r="L2" s="266" t="s">
        <v>35</v>
      </c>
      <c r="S2" s="1">
        <v>200</v>
      </c>
      <c r="T2" s="1">
        <v>2</v>
      </c>
    </row>
    <row r="3" spans="1:27" ht="47.25" x14ac:dyDescent="0.25">
      <c r="A3" s="18" t="s">
        <v>49</v>
      </c>
      <c r="B3" s="235"/>
      <c r="C3" s="220" t="s">
        <v>1</v>
      </c>
      <c r="D3" s="59" t="s">
        <v>50</v>
      </c>
      <c r="E3" s="59" t="s">
        <v>51</v>
      </c>
      <c r="F3" s="60" t="s">
        <v>56</v>
      </c>
      <c r="G3" s="293" t="s">
        <v>651</v>
      </c>
      <c r="H3" s="60" t="s">
        <v>803</v>
      </c>
      <c r="I3" s="200"/>
      <c r="J3" s="631"/>
      <c r="K3" s="669"/>
      <c r="L3" s="670"/>
      <c r="O3" s="1" t="s">
        <v>363</v>
      </c>
      <c r="Q3" s="323" t="s">
        <v>652</v>
      </c>
      <c r="S3" s="1">
        <v>300</v>
      </c>
      <c r="T3" s="1">
        <v>3</v>
      </c>
    </row>
    <row r="4" spans="1:27" ht="18.75" x14ac:dyDescent="0.3">
      <c r="A4" s="34"/>
      <c r="B4" s="236"/>
      <c r="C4" s="231"/>
      <c r="D4" s="35"/>
      <c r="E4" s="35"/>
      <c r="F4" s="35"/>
      <c r="G4" s="285"/>
      <c r="H4" s="35"/>
      <c r="I4" s="200"/>
      <c r="J4" s="218">
        <v>999</v>
      </c>
      <c r="K4" s="45" t="str">
        <f>+K215</f>
        <v>CCH Unit Code</v>
      </c>
      <c r="L4" s="598" t="e">
        <f>'Unit Data from Audit Worksheet'!D3</f>
        <v>#N/A</v>
      </c>
      <c r="R4" s="632"/>
      <c r="S4" s="1">
        <v>400</v>
      </c>
      <c r="T4" s="320">
        <v>4</v>
      </c>
      <c r="W4" s="1" t="b">
        <f>EXACT(A4,J4)</f>
        <v>0</v>
      </c>
      <c r="X4" s="726" t="e">
        <f>E4-L4</f>
        <v>#N/A</v>
      </c>
      <c r="Y4" s="726" t="e">
        <f>D4-L4</f>
        <v>#N/A</v>
      </c>
    </row>
    <row r="5" spans="1:27" ht="57" customHeight="1" x14ac:dyDescent="0.25">
      <c r="A5" s="222">
        <f>'Unit Data from Audit Worksheet'!A7</f>
        <v>333</v>
      </c>
      <c r="B5" s="240" t="str">
        <f>'Unit Data from Audit Worksheet'!C7</f>
        <v>Net Position-Governmental Activities</v>
      </c>
      <c r="C5" s="217" t="str">
        <f>'Unit Data from Audit Worksheet'!D7</f>
        <v xml:space="preserve"> All unrestricted Cash and investments.  
Exclude: restricted cash 
                   cash held by a third party. </v>
      </c>
      <c r="D5" s="643"/>
      <c r="E5" s="695">
        <f>'Unit Data from Audit Worksheet'!F7</f>
        <v>0</v>
      </c>
      <c r="F5" s="216">
        <f>IF(L5&lt;0,"Error: Number is normally positive.",)</f>
        <v>0</v>
      </c>
      <c r="G5" s="286"/>
      <c r="H5" s="208">
        <f>'Unit Data from Audit Worksheet'!I7</f>
        <v>0</v>
      </c>
      <c r="I5" s="637"/>
      <c r="J5" s="205">
        <v>333</v>
      </c>
      <c r="K5" s="232" t="s">
        <v>251</v>
      </c>
      <c r="L5" s="699">
        <f>IF(D5="",E5,D5)</f>
        <v>0</v>
      </c>
      <c r="P5" s="409"/>
      <c r="R5" s="320"/>
      <c r="S5" s="1">
        <v>500</v>
      </c>
      <c r="T5" s="320">
        <v>5</v>
      </c>
      <c r="W5" s="632" t="b">
        <f t="shared" ref="W5:W68" si="0">EXACT(A5,J5)</f>
        <v>1</v>
      </c>
      <c r="X5" s="726">
        <f t="shared" ref="X5:X68" si="1">E5-L5</f>
        <v>0</v>
      </c>
      <c r="Y5" s="726">
        <f t="shared" ref="Y5:Y68" si="2">D5-L5</f>
        <v>0</v>
      </c>
    </row>
    <row r="6" spans="1:27" ht="39.75" customHeight="1" x14ac:dyDescent="0.25">
      <c r="A6" s="227">
        <f>'Unit Data from Audit Worksheet'!A8</f>
        <v>500</v>
      </c>
      <c r="B6" s="237" t="str">
        <f>'Unit Data from Audit Worksheet'!C8</f>
        <v>Net Position-Governmental Activities</v>
      </c>
      <c r="C6" s="225" t="str">
        <f>'Unit Data from Audit Worksheet'!D8</f>
        <v xml:space="preserve"> All restricted Cash and investments</v>
      </c>
      <c r="D6" s="643"/>
      <c r="E6" s="697">
        <f>'Unit Data from Audit Worksheet'!F8</f>
        <v>0</v>
      </c>
      <c r="F6" s="216">
        <f>IF(L6&lt;0,"Error: Number is normally positive.",)</f>
        <v>0</v>
      </c>
      <c r="G6" s="287"/>
      <c r="H6" s="208">
        <f>'Unit Data from Audit Worksheet'!I8</f>
        <v>0</v>
      </c>
      <c r="I6" s="637"/>
      <c r="J6" s="204">
        <v>500</v>
      </c>
      <c r="K6" s="197" t="s">
        <v>250</v>
      </c>
      <c r="L6" s="699">
        <f>IF(D6="",E6,D6)</f>
        <v>0</v>
      </c>
      <c r="P6" s="409"/>
      <c r="R6" s="632"/>
      <c r="T6" s="320">
        <v>6</v>
      </c>
      <c r="W6" s="632" t="b">
        <f t="shared" si="0"/>
        <v>1</v>
      </c>
      <c r="X6" s="726">
        <f t="shared" si="1"/>
        <v>0</v>
      </c>
      <c r="Y6" s="726">
        <f t="shared" si="2"/>
        <v>0</v>
      </c>
      <c r="AA6" s="411"/>
    </row>
    <row r="7" spans="1:27" ht="43.5" customHeight="1" x14ac:dyDescent="0.25">
      <c r="A7" s="227">
        <f>'Unit Data from Audit Worksheet'!A9</f>
        <v>385</v>
      </c>
      <c r="B7" s="237" t="str">
        <f>'Unit Data from Audit Worksheet'!C9</f>
        <v>Net Position-Governmental Activities</v>
      </c>
      <c r="C7" s="225" t="str">
        <f>'Unit Data from Audit Worksheet'!D9</f>
        <v>Total Assets and deferred outflows</v>
      </c>
      <c r="D7" s="643"/>
      <c r="E7" s="697">
        <f>'Unit Data from Audit Worksheet'!F9</f>
        <v>0</v>
      </c>
      <c r="F7" s="319">
        <f>IF((L5+L6)&gt;L7,"Error: Please review accts (333 + 500) &gt; 385",)</f>
        <v>0</v>
      </c>
      <c r="G7" s="305" t="str">
        <f>IF(Q7=1," Included in error count"," ")</f>
        <v xml:space="preserve"> </v>
      </c>
      <c r="H7" s="208">
        <f>'Unit Data from Audit Worksheet'!I9</f>
        <v>0</v>
      </c>
      <c r="I7" s="637"/>
      <c r="J7" s="294">
        <v>385</v>
      </c>
      <c r="K7" s="295" t="s">
        <v>122</v>
      </c>
      <c r="L7" s="708">
        <f>IF(D7="",E7,D7)+IF(D9="",E9,D9)</f>
        <v>0</v>
      </c>
      <c r="N7" s="296" t="s">
        <v>635</v>
      </c>
      <c r="P7" s="409"/>
      <c r="R7" s="632"/>
      <c r="T7" s="320">
        <v>7</v>
      </c>
      <c r="W7" s="632" t="b">
        <f t="shared" si="0"/>
        <v>1</v>
      </c>
      <c r="X7" s="726">
        <f t="shared" si="1"/>
        <v>0</v>
      </c>
      <c r="Y7" s="726">
        <f t="shared" si="2"/>
        <v>0</v>
      </c>
      <c r="AA7" s="411"/>
    </row>
    <row r="8" spans="1:27" s="226" customFormat="1" ht="90.75" customHeight="1" x14ac:dyDescent="0.25">
      <c r="A8" s="227">
        <f>'Unit Data from Audit Worksheet'!A10</f>
        <v>575</v>
      </c>
      <c r="B8" s="237" t="str">
        <f>'Unit Data from Audit Worksheet'!C10</f>
        <v>Net Position-Governmental Activities</v>
      </c>
      <c r="C8" s="245" t="str">
        <f>'Unit Data from Audit Worksheet'!D10</f>
        <v>Record any positive Internal balances on the net position statements that appear in the Asset Section of the Net Position Statement</v>
      </c>
      <c r="D8" s="643"/>
      <c r="E8" s="697">
        <f>'Unit Data from Audit Worksheet'!F10</f>
        <v>0</v>
      </c>
      <c r="F8" s="216">
        <f>IF(L8&lt;0,"Error: Number is normally positive.",)</f>
        <v>0</v>
      </c>
      <c r="G8" s="287"/>
      <c r="H8" s="208">
        <f>'Unit Data from Audit Worksheet'!I10</f>
        <v>0</v>
      </c>
      <c r="I8" s="637"/>
      <c r="J8" s="204">
        <v>575</v>
      </c>
      <c r="K8" s="311" t="s">
        <v>641</v>
      </c>
      <c r="L8" s="707">
        <f>IF(D8="",E8,D8)</f>
        <v>0</v>
      </c>
      <c r="N8" s="261"/>
      <c r="P8" s="409"/>
      <c r="Q8" s="328"/>
      <c r="R8" s="632"/>
      <c r="W8" s="632" t="b">
        <f t="shared" si="0"/>
        <v>1</v>
      </c>
      <c r="X8" s="726">
        <f t="shared" si="1"/>
        <v>0</v>
      </c>
      <c r="Y8" s="726">
        <f t="shared" si="2"/>
        <v>0</v>
      </c>
      <c r="AA8" s="411"/>
    </row>
    <row r="9" spans="1:27" s="226" customFormat="1" ht="103.5" customHeight="1" x14ac:dyDescent="0.25">
      <c r="A9" s="227">
        <f>'Unit Data from Audit Worksheet'!A11</f>
        <v>576</v>
      </c>
      <c r="B9" s="237" t="str">
        <f>'Unit Data from Audit Worksheet'!C11</f>
        <v>Net Position-Governmental Activities</v>
      </c>
      <c r="C9" s="446" t="str">
        <f>'Unit Data from Audit Worksheet'!D11</f>
        <v>Record any negative Internal balances on the net position statements that appear in the Asset Section of the Net Position Statement.
Enter as a positive</v>
      </c>
      <c r="D9" s="437"/>
      <c r="E9" s="704">
        <f>'Unit Data from Audit Worksheet'!F11</f>
        <v>0</v>
      </c>
      <c r="F9" s="70">
        <f>IF(E9&lt;0,"Error: Enter as positive.",)</f>
        <v>0</v>
      </c>
      <c r="G9" s="439"/>
      <c r="H9" s="440">
        <f>'Unit Data from Audit Worksheet'!I11</f>
        <v>0</v>
      </c>
      <c r="I9" s="637"/>
      <c r="J9" s="404">
        <v>576</v>
      </c>
      <c r="K9" s="311" t="s">
        <v>642</v>
      </c>
      <c r="L9" s="696">
        <f>IF(D9="",E9,D9)</f>
        <v>0</v>
      </c>
      <c r="N9" s="261"/>
      <c r="P9" s="409"/>
      <c r="Q9" s="328"/>
      <c r="R9" s="632"/>
      <c r="W9" s="632" t="b">
        <f t="shared" si="0"/>
        <v>1</v>
      </c>
      <c r="X9" s="726">
        <f t="shared" si="1"/>
        <v>0</v>
      </c>
      <c r="Y9" s="726">
        <f t="shared" si="2"/>
        <v>0</v>
      </c>
      <c r="AA9" s="411"/>
    </row>
    <row r="10" spans="1:27" s="633" customFormat="1" ht="100.5" customHeight="1" x14ac:dyDescent="0.25">
      <c r="A10" s="348">
        <f>'Unit Data from Audit Worksheet'!A12</f>
        <v>626</v>
      </c>
      <c r="B10" s="902" t="str">
        <f>'Unit Data from Audit Worksheet'!C12</f>
        <v>Net Position-Governmental Activities</v>
      </c>
      <c r="C10" s="903" t="str">
        <f>'Unit Data from Audit Worksheet'!D12</f>
        <v xml:space="preserve">Total Current liabilities (as reported on Statement of Net Position)
Include:   Current liabilities including current portion of long-term debt.  Deferred inflows should not be included in Current Liabilities  </v>
      </c>
      <c r="D10" s="619"/>
      <c r="E10" s="703">
        <f>'Unit Data from Audit Worksheet'!F12</f>
        <v>0</v>
      </c>
      <c r="F10" s="482">
        <f>IF(L10&lt;0,"Error: Enter as a positive.",)</f>
        <v>0</v>
      </c>
      <c r="G10" s="483"/>
      <c r="H10" s="482">
        <f>'Unit Data from Audit Worksheet'!I12</f>
        <v>0</v>
      </c>
      <c r="I10" s="637"/>
      <c r="J10" s="484">
        <v>626</v>
      </c>
      <c r="K10" s="485" t="s">
        <v>878</v>
      </c>
      <c r="L10" s="680">
        <f>IF(D10="",E10,D10)+IF(D9="",E9,D9)</f>
        <v>0</v>
      </c>
      <c r="M10" s="905"/>
      <c r="N10" s="932" t="s">
        <v>635</v>
      </c>
      <c r="O10" s="905"/>
      <c r="P10" s="906"/>
      <c r="Q10" s="907"/>
      <c r="W10" s="633" t="b">
        <f t="shared" si="0"/>
        <v>1</v>
      </c>
      <c r="X10" s="368">
        <f t="shared" si="1"/>
        <v>0</v>
      </c>
      <c r="Y10" s="368">
        <f t="shared" si="2"/>
        <v>0</v>
      </c>
    </row>
    <row r="11" spans="1:27" s="633" customFormat="1" ht="86.25" customHeight="1" x14ac:dyDescent="0.25">
      <c r="A11" s="348">
        <f>'Unit Data from Audit Worksheet'!A13</f>
        <v>627</v>
      </c>
      <c r="B11" s="902" t="str">
        <f>'Unit Data from Audit Worksheet'!C13</f>
        <v>Net Position-Governmental Activities</v>
      </c>
      <c r="C11" s="903" t="str">
        <f>'Unit Data from Audit Worksheet'!D13</f>
        <v>Please enter any bond anticipation notes that are classified as current liabilities and included in account 626 above (amounts entered should agree to the current amount included in the changes to long-term debt note)</v>
      </c>
      <c r="D11" s="619"/>
      <c r="E11" s="703">
        <f>'Unit Data from Audit Worksheet'!F13</f>
        <v>0</v>
      </c>
      <c r="F11" s="482"/>
      <c r="G11" s="483"/>
      <c r="H11" s="482"/>
      <c r="I11" s="637"/>
      <c r="J11" s="484">
        <v>627</v>
      </c>
      <c r="K11" s="485" t="s">
        <v>870</v>
      </c>
      <c r="L11" s="687">
        <f t="shared" ref="L11:L16" si="3">IF(D11="",E11,D11)</f>
        <v>0</v>
      </c>
      <c r="M11" s="905"/>
      <c r="N11" s="931"/>
      <c r="O11" s="905"/>
      <c r="P11" s="906"/>
      <c r="Q11" s="907"/>
      <c r="W11" s="633" t="b">
        <f t="shared" si="0"/>
        <v>1</v>
      </c>
      <c r="X11" s="368">
        <f t="shared" si="1"/>
        <v>0</v>
      </c>
      <c r="Y11" s="368">
        <f t="shared" si="2"/>
        <v>0</v>
      </c>
    </row>
    <row r="12" spans="1:27" s="633" customFormat="1" ht="86.25" customHeight="1" x14ac:dyDescent="0.25">
      <c r="A12" s="348">
        <f>'Unit Data from Audit Worksheet'!A14</f>
        <v>628</v>
      </c>
      <c r="B12" s="902" t="str">
        <f>'Unit Data from Audit Worksheet'!C14</f>
        <v>Net Position-Governmental Activities</v>
      </c>
      <c r="C12" s="903" t="str">
        <f>'Unit Data from Audit Worksheet'!D14</f>
        <v>Please enter any compensated absences that are classified as current liabilities and included in account 626 above (amounts entered should agree to the current amount included in the changes to long-term debt note)</v>
      </c>
      <c r="D12" s="619"/>
      <c r="E12" s="703">
        <f>'Unit Data from Audit Worksheet'!F14</f>
        <v>0</v>
      </c>
      <c r="F12" s="482"/>
      <c r="G12" s="483"/>
      <c r="H12" s="482"/>
      <c r="I12" s="637"/>
      <c r="J12" s="484">
        <v>628</v>
      </c>
      <c r="K12" s="485" t="s">
        <v>875</v>
      </c>
      <c r="L12" s="687">
        <f t="shared" si="3"/>
        <v>0</v>
      </c>
      <c r="M12" s="905"/>
      <c r="N12" s="931"/>
      <c r="O12" s="905"/>
      <c r="P12" s="906"/>
      <c r="Q12" s="907"/>
      <c r="W12" s="633" t="b">
        <f t="shared" si="0"/>
        <v>1</v>
      </c>
      <c r="X12" s="368">
        <f t="shared" si="1"/>
        <v>0</v>
      </c>
      <c r="Y12" s="368">
        <f t="shared" si="2"/>
        <v>0</v>
      </c>
    </row>
    <row r="13" spans="1:27" s="633" customFormat="1" ht="93" customHeight="1" x14ac:dyDescent="0.25">
      <c r="A13" s="348">
        <f>'Unit Data from Audit Worksheet'!A15</f>
        <v>629</v>
      </c>
      <c r="B13" s="902" t="str">
        <f>'Unit Data from Audit Worksheet'!C15</f>
        <v>Net Position-Governmental Activities</v>
      </c>
      <c r="C13" s="903" t="str">
        <f>'Unit Data from Audit Worksheet'!D15</f>
        <v>Please enter any pension liabilities that are classified as current liabilities and included in account 626 above (amounts entered should agree to the current amount included in the changes to long-term debt note)</v>
      </c>
      <c r="D13" s="619"/>
      <c r="E13" s="703">
        <f>'Unit Data from Audit Worksheet'!F15</f>
        <v>0</v>
      </c>
      <c r="F13" s="482"/>
      <c r="G13" s="483"/>
      <c r="H13" s="482"/>
      <c r="I13" s="637"/>
      <c r="J13" s="484">
        <v>629</v>
      </c>
      <c r="K13" s="485" t="s">
        <v>874</v>
      </c>
      <c r="L13" s="687">
        <f t="shared" si="3"/>
        <v>0</v>
      </c>
      <c r="M13" s="905"/>
      <c r="N13" s="931"/>
      <c r="O13" s="905"/>
      <c r="P13" s="906"/>
      <c r="Q13" s="907"/>
      <c r="W13" s="633" t="b">
        <f t="shared" si="0"/>
        <v>1</v>
      </c>
      <c r="X13" s="368">
        <f t="shared" si="1"/>
        <v>0</v>
      </c>
      <c r="Y13" s="368">
        <f t="shared" si="2"/>
        <v>0</v>
      </c>
    </row>
    <row r="14" spans="1:27" s="633" customFormat="1" ht="67.5" customHeight="1" x14ac:dyDescent="0.25">
      <c r="A14" s="348">
        <f>'Unit Data from Audit Worksheet'!A16</f>
        <v>630</v>
      </c>
      <c r="B14" s="902" t="str">
        <f>'Unit Data from Audit Worksheet'!C16</f>
        <v>Net Position-Governmental Activities</v>
      </c>
      <c r="C14" s="903" t="str">
        <f>'Unit Data from Audit Worksheet'!D16</f>
        <v>Please enter any current liabilities that are payable from restricted assets and included in account 626 above</v>
      </c>
      <c r="D14" s="619"/>
      <c r="E14" s="703">
        <f>'Unit Data from Audit Worksheet'!F16</f>
        <v>0</v>
      </c>
      <c r="F14" s="482"/>
      <c r="G14" s="483"/>
      <c r="H14" s="482"/>
      <c r="I14" s="637"/>
      <c r="J14" s="484">
        <v>630</v>
      </c>
      <c r="K14" s="485" t="s">
        <v>873</v>
      </c>
      <c r="L14" s="687">
        <f t="shared" si="3"/>
        <v>0</v>
      </c>
      <c r="M14" s="905"/>
      <c r="N14" s="931"/>
      <c r="O14" s="905"/>
      <c r="P14" s="906"/>
      <c r="Q14" s="907"/>
      <c r="W14" s="633" t="b">
        <f t="shared" si="0"/>
        <v>1</v>
      </c>
      <c r="X14" s="368">
        <f t="shared" si="1"/>
        <v>0</v>
      </c>
      <c r="Y14" s="368">
        <f t="shared" si="2"/>
        <v>0</v>
      </c>
    </row>
    <row r="15" spans="1:27" s="633" customFormat="1" ht="102.75" customHeight="1" x14ac:dyDescent="0.25">
      <c r="A15" s="348">
        <f>'Unit Data from Audit Worksheet'!A17</f>
        <v>631</v>
      </c>
      <c r="B15" s="349" t="str">
        <f>'Unit Data from Audit Worksheet'!C17</f>
        <v>Net Position-Governmental Activities</v>
      </c>
      <c r="C15" s="618" t="str">
        <f>'Unit Data from Audit Worksheet'!D17</f>
        <v>Please enter any OPEB liabilities that are classified as current liabilities and included in account 626 above (amounts entered should agree to the current amount included in the changes to long-term debt note)</v>
      </c>
      <c r="D15" s="619"/>
      <c r="E15" s="703">
        <f>'Unit Data from Audit Worksheet'!F17</f>
        <v>0</v>
      </c>
      <c r="F15" s="482"/>
      <c r="G15" s="483"/>
      <c r="H15" s="482"/>
      <c r="I15" s="637"/>
      <c r="J15" s="484">
        <v>631</v>
      </c>
      <c r="K15" s="485" t="s">
        <v>872</v>
      </c>
      <c r="L15" s="687">
        <f t="shared" si="3"/>
        <v>0</v>
      </c>
      <c r="M15" s="905"/>
      <c r="N15" s="931"/>
      <c r="O15" s="905"/>
      <c r="P15" s="906"/>
      <c r="Q15" s="907"/>
      <c r="W15" s="633" t="b">
        <f t="shared" si="0"/>
        <v>1</v>
      </c>
      <c r="X15" s="368">
        <f t="shared" si="1"/>
        <v>0</v>
      </c>
      <c r="Y15" s="368">
        <f t="shared" si="2"/>
        <v>0</v>
      </c>
    </row>
    <row r="16" spans="1:27" s="633" customFormat="1" ht="119.25" customHeight="1" x14ac:dyDescent="0.25">
      <c r="A16" s="348">
        <f>'Unit Data from Audit Worksheet'!A18</f>
        <v>632</v>
      </c>
      <c r="B16" s="349" t="str">
        <f>'Unit Data from Audit Worksheet'!C18</f>
        <v>Net Position-Governmental Activities</v>
      </c>
      <c r="C16" s="618"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619"/>
      <c r="E16" s="703">
        <f>'Unit Data from Audit Worksheet'!F18</f>
        <v>0</v>
      </c>
      <c r="F16" s="482"/>
      <c r="G16" s="483"/>
      <c r="H16" s="482"/>
      <c r="I16" s="637"/>
      <c r="J16" s="484">
        <v>632</v>
      </c>
      <c r="K16" s="485" t="s">
        <v>871</v>
      </c>
      <c r="L16" s="687">
        <f t="shared" si="3"/>
        <v>0</v>
      </c>
      <c r="M16" s="905"/>
      <c r="N16" s="931"/>
      <c r="O16" s="905"/>
      <c r="P16" s="906"/>
      <c r="Q16" s="907"/>
      <c r="W16" s="633" t="b">
        <f t="shared" si="0"/>
        <v>1</v>
      </c>
      <c r="X16" s="368">
        <f t="shared" si="1"/>
        <v>0</v>
      </c>
      <c r="Y16" s="368">
        <f t="shared" si="2"/>
        <v>0</v>
      </c>
    </row>
    <row r="17" spans="1:27" ht="45" x14ac:dyDescent="0.25">
      <c r="A17" s="227">
        <f>'Unit Data from Audit Worksheet'!A19</f>
        <v>338</v>
      </c>
      <c r="B17" s="237" t="str">
        <f>'Unit Data from Audit Worksheet'!C19</f>
        <v>Net Position-Governmental Activities</v>
      </c>
      <c r="C17" s="225" t="str">
        <f>'Unit Data from Audit Worksheet'!D19</f>
        <v>Total Liabilities and total deferred inflows</v>
      </c>
      <c r="D17" s="643"/>
      <c r="E17" s="695">
        <f>'Unit Data from Audit Worksheet'!F19</f>
        <v>0</v>
      </c>
      <c r="F17" s="604" t="str">
        <f>IF(L10&gt;L17,"Please review accounts 626 greater than 338","")</f>
        <v/>
      </c>
      <c r="G17" s="286"/>
      <c r="H17" s="208">
        <f>'Unit Data from Audit Worksheet'!I19</f>
        <v>0</v>
      </c>
      <c r="I17" s="637"/>
      <c r="J17" s="441">
        <v>338</v>
      </c>
      <c r="K17" s="442" t="s">
        <v>123</v>
      </c>
      <c r="L17" s="708">
        <f>IF(D17="",E17,D17)+IF(D9="",E9,D9)</f>
        <v>0</v>
      </c>
      <c r="N17" s="296" t="s">
        <v>635</v>
      </c>
      <c r="P17" s="409"/>
      <c r="R17" s="632"/>
      <c r="W17" s="632" t="b">
        <f t="shared" si="0"/>
        <v>1</v>
      </c>
      <c r="X17" s="726">
        <f t="shared" si="1"/>
        <v>0</v>
      </c>
      <c r="Y17" s="726">
        <f t="shared" si="2"/>
        <v>0</v>
      </c>
      <c r="AA17" s="411"/>
    </row>
    <row r="18" spans="1:27" ht="100.5" customHeight="1" x14ac:dyDescent="0.25">
      <c r="A18" s="227">
        <f>'Unit Data from Audit Worksheet'!A20</f>
        <v>335</v>
      </c>
      <c r="B18" s="237" t="str">
        <f>'Unit Data from Audit Worksheet'!C20</f>
        <v>Net Position-Governmental Activities</v>
      </c>
      <c r="C18" s="225" t="str">
        <f>'Unit Data from Audit Worksheet'!D20</f>
        <v>Unearned revenues that were included in current liabilities in your audit report or entered in acct # 626 above. 
Exclude - unearned revenues that are listed in deferred inflows.</v>
      </c>
      <c r="D18" s="643"/>
      <c r="E18" s="697">
        <f>'Unit Data from Audit Worksheet'!F20</f>
        <v>0</v>
      </c>
      <c r="F18" s="216">
        <f>IF(L18&lt;0,"Error: Enter as a positive.",)</f>
        <v>0</v>
      </c>
      <c r="G18" s="287"/>
      <c r="H18" s="208">
        <f>'Unit Data from Audit Worksheet'!I20</f>
        <v>0</v>
      </c>
      <c r="I18" s="637"/>
      <c r="J18" s="204">
        <v>335</v>
      </c>
      <c r="K18" s="197" t="s">
        <v>124</v>
      </c>
      <c r="L18" s="699">
        <f t="shared" ref="L18:L52" si="4">IF(D18="",E18,D18)</f>
        <v>0</v>
      </c>
      <c r="P18" s="409"/>
      <c r="R18" s="632"/>
      <c r="W18" s="632" t="b">
        <f t="shared" si="0"/>
        <v>1</v>
      </c>
      <c r="X18" s="726">
        <f t="shared" si="1"/>
        <v>0</v>
      </c>
      <c r="Y18" s="726">
        <f t="shared" si="2"/>
        <v>0</v>
      </c>
      <c r="AA18" s="411"/>
    </row>
    <row r="19" spans="1:27" ht="33.75" x14ac:dyDescent="0.25">
      <c r="A19" s="227">
        <f>'Unit Data from Audit Worksheet'!A21</f>
        <v>252</v>
      </c>
      <c r="B19" s="237" t="str">
        <f>'Unit Data from Audit Worksheet'!C21</f>
        <v>Net Position-Governmental Activities</v>
      </c>
      <c r="C19" s="225" t="str">
        <f>'Unit Data from Audit Worksheet'!D21</f>
        <v xml:space="preserve"> Total Net investment in capital assets</v>
      </c>
      <c r="D19" s="643"/>
      <c r="E19" s="697">
        <f>'Unit Data from Audit Worksheet'!F21</f>
        <v>0</v>
      </c>
      <c r="F19" s="216"/>
      <c r="G19" s="287"/>
      <c r="H19" s="208">
        <f>'Unit Data from Audit Worksheet'!I21</f>
        <v>0</v>
      </c>
      <c r="I19" s="637"/>
      <c r="J19" s="204">
        <v>252</v>
      </c>
      <c r="K19" s="197" t="s">
        <v>110</v>
      </c>
      <c r="L19" s="699">
        <f t="shared" si="4"/>
        <v>0</v>
      </c>
      <c r="O19" s="188" t="e">
        <f>'Unit Data from Audit Worksheet'!E21</f>
        <v>#N/A</v>
      </c>
      <c r="P19" s="409"/>
      <c r="R19" s="632"/>
      <c r="W19" s="632" t="b">
        <f t="shared" si="0"/>
        <v>1</v>
      </c>
      <c r="X19" s="726">
        <f t="shared" si="1"/>
        <v>0</v>
      </c>
      <c r="Y19" s="726">
        <f t="shared" si="2"/>
        <v>0</v>
      </c>
      <c r="AA19" s="411"/>
    </row>
    <row r="20" spans="1:27" ht="33.75" x14ac:dyDescent="0.25">
      <c r="A20" s="227">
        <f>'Unit Data from Audit Worksheet'!A22</f>
        <v>253</v>
      </c>
      <c r="B20" s="237" t="str">
        <f>'Unit Data from Audit Worksheet'!C22</f>
        <v>Net Position-Governmental Activities</v>
      </c>
      <c r="C20" s="225" t="str">
        <f>'Unit Data from Audit Worksheet'!D22</f>
        <v xml:space="preserve"> Total Net Position, Restricted</v>
      </c>
      <c r="D20" s="643"/>
      <c r="E20" s="697">
        <f>'Unit Data from Audit Worksheet'!F22</f>
        <v>0</v>
      </c>
      <c r="F20" s="216"/>
      <c r="G20" s="287"/>
      <c r="H20" s="208">
        <f>'Unit Data from Audit Worksheet'!I22</f>
        <v>0</v>
      </c>
      <c r="I20" s="637"/>
      <c r="J20" s="204">
        <v>253</v>
      </c>
      <c r="K20" s="197" t="s">
        <v>111</v>
      </c>
      <c r="L20" s="699">
        <f t="shared" si="4"/>
        <v>0</v>
      </c>
      <c r="O20" s="188" t="e">
        <f>'Unit Data from Audit Worksheet'!E22</f>
        <v>#N/A</v>
      </c>
      <c r="P20" s="409"/>
      <c r="R20" s="632"/>
      <c r="W20" s="632" t="b">
        <f t="shared" si="0"/>
        <v>1</v>
      </c>
      <c r="X20" s="726">
        <f t="shared" si="1"/>
        <v>0</v>
      </c>
      <c r="Y20" s="726">
        <f t="shared" si="2"/>
        <v>0</v>
      </c>
      <c r="AA20" s="411"/>
    </row>
    <row r="21" spans="1:27" ht="73.5" customHeight="1" x14ac:dyDescent="0.25">
      <c r="A21" s="227">
        <f>'Unit Data from Audit Worksheet'!A23</f>
        <v>254</v>
      </c>
      <c r="B21" s="237" t="str">
        <f>'Unit Data from Audit Worksheet'!C23</f>
        <v>Net Position-Governmental Activities</v>
      </c>
      <c r="C21" s="225" t="str">
        <f>'Unit Data from Audit Worksheet'!D23</f>
        <v>Total Net Position, Unrestricted - enter negative unrestricted net position as a negative)</v>
      </c>
      <c r="D21" s="643"/>
      <c r="E21" s="697">
        <f>'Unit Data from Audit Worksheet'!F23</f>
        <v>0</v>
      </c>
      <c r="F21" s="216">
        <f>IF((L7-L17-L19-L20-L21)=0,,"Error: Total assets and deferred outflows less total liabilities and deferred inflows do not equal total net position accts 385-338-252-253-254")</f>
        <v>0</v>
      </c>
      <c r="G21" s="343">
        <f>+L7-L17-L19-L20-L21</f>
        <v>0</v>
      </c>
      <c r="H21" s="208">
        <f>'Unit Data from Audit Worksheet'!I23</f>
        <v>0</v>
      </c>
      <c r="I21" s="637"/>
      <c r="J21" s="204">
        <v>254</v>
      </c>
      <c r="K21" s="197" t="s">
        <v>112</v>
      </c>
      <c r="L21" s="699">
        <f t="shared" si="4"/>
        <v>0</v>
      </c>
      <c r="O21" s="188" t="e">
        <f>'Unit Data from Audit Worksheet'!E23</f>
        <v>#N/A</v>
      </c>
      <c r="P21" s="409"/>
      <c r="Q21" s="328">
        <f>IF(G21&lt;&gt;0,1,0)</f>
        <v>0</v>
      </c>
      <c r="R21" s="632"/>
      <c r="W21" s="632" t="b">
        <f t="shared" si="0"/>
        <v>1</v>
      </c>
      <c r="X21" s="726">
        <f t="shared" si="1"/>
        <v>0</v>
      </c>
      <c r="Y21" s="726">
        <f t="shared" si="2"/>
        <v>0</v>
      </c>
      <c r="AA21" s="411"/>
    </row>
    <row r="22" spans="1:27" ht="51.75" customHeight="1" x14ac:dyDescent="0.25">
      <c r="A22" s="227">
        <f>'Unit Data from Audit Worksheet'!A25</f>
        <v>502</v>
      </c>
      <c r="B22" s="237" t="str">
        <f>'Unit Data from Audit Worksheet'!C25</f>
        <v>Net Position-Business Activities</v>
      </c>
      <c r="C22" s="225" t="str">
        <f>'Unit Data from Audit Worksheet'!D25</f>
        <v xml:space="preserve">All unrestricted Cash and investments. 
Exclude restricted cash and cash held by a third party. </v>
      </c>
      <c r="D22" s="643"/>
      <c r="E22" s="697">
        <f>'Unit Data from Audit Worksheet'!F25</f>
        <v>0</v>
      </c>
      <c r="F22" s="216">
        <f>IF(L22&lt;0,"Error: Number is normally positive.",)</f>
        <v>0</v>
      </c>
      <c r="G22" s="287"/>
      <c r="H22" s="208">
        <f>'Unit Data from Audit Worksheet'!I25</f>
        <v>0</v>
      </c>
      <c r="I22" s="637"/>
      <c r="J22" s="204">
        <v>502</v>
      </c>
      <c r="K22" s="197" t="s">
        <v>253</v>
      </c>
      <c r="L22" s="681">
        <f t="shared" si="4"/>
        <v>0</v>
      </c>
      <c r="P22" s="409"/>
      <c r="R22" s="632"/>
      <c r="W22" s="632" t="b">
        <f t="shared" si="0"/>
        <v>1</v>
      </c>
      <c r="X22" s="726">
        <f t="shared" si="1"/>
        <v>0</v>
      </c>
      <c r="Y22" s="726">
        <f t="shared" si="2"/>
        <v>0</v>
      </c>
      <c r="AA22" s="411"/>
    </row>
    <row r="23" spans="1:27" ht="40.5" customHeight="1" x14ac:dyDescent="0.25">
      <c r="A23" s="227">
        <f>'Unit Data from Audit Worksheet'!A26</f>
        <v>503</v>
      </c>
      <c r="B23" s="237" t="str">
        <f>'Unit Data from Audit Worksheet'!C26</f>
        <v>Net Position-Business Activities</v>
      </c>
      <c r="C23" s="225" t="str">
        <f>'Unit Data from Audit Worksheet'!D26</f>
        <v>All restricted Cash and investments</v>
      </c>
      <c r="D23" s="643"/>
      <c r="E23" s="697">
        <f>'Unit Data from Audit Worksheet'!F26</f>
        <v>0</v>
      </c>
      <c r="F23" s="216">
        <f>IF(L23&lt;0,"Error: Number is normally positive.",)</f>
        <v>0</v>
      </c>
      <c r="G23" s="287"/>
      <c r="H23" s="208">
        <f>'Unit Data from Audit Worksheet'!I26</f>
        <v>0</v>
      </c>
      <c r="I23" s="637"/>
      <c r="J23" s="204">
        <v>503</v>
      </c>
      <c r="K23" s="197" t="s">
        <v>254</v>
      </c>
      <c r="L23" s="681">
        <f t="shared" si="4"/>
        <v>0</v>
      </c>
      <c r="P23" s="409"/>
      <c r="R23" s="632"/>
      <c r="W23" s="632" t="b">
        <f t="shared" si="0"/>
        <v>1</v>
      </c>
      <c r="X23" s="726">
        <f t="shared" si="1"/>
        <v>0</v>
      </c>
      <c r="Y23" s="726">
        <f t="shared" si="2"/>
        <v>0</v>
      </c>
      <c r="AA23" s="411"/>
    </row>
    <row r="24" spans="1:27" ht="39" customHeight="1" x14ac:dyDescent="0.25">
      <c r="A24" s="227">
        <f>'Unit Data from Audit Worksheet'!A28</f>
        <v>344</v>
      </c>
      <c r="B24" s="237" t="str">
        <f>'Unit Data from Audit Worksheet'!C28</f>
        <v>Statement of Activities - Governmental</v>
      </c>
      <c r="C24" s="225" t="str">
        <f>'Unit Data from Audit Worksheet'!D28</f>
        <v xml:space="preserve">Total Interest expense on Long-Term Debt </v>
      </c>
      <c r="D24" s="643"/>
      <c r="E24" s="697">
        <f>'Unit Data from Audit Worksheet'!F28</f>
        <v>0</v>
      </c>
      <c r="F24" s="216">
        <f>IF(L24&lt;0,"Error: Enter as a positive.",)</f>
        <v>0</v>
      </c>
      <c r="G24" s="287"/>
      <c r="H24" s="208">
        <f>'Unit Data from Audit Worksheet'!I28</f>
        <v>0</v>
      </c>
      <c r="I24" s="637"/>
      <c r="J24" s="204">
        <v>344</v>
      </c>
      <c r="K24" s="197" t="s">
        <v>255</v>
      </c>
      <c r="L24" s="681">
        <f t="shared" si="4"/>
        <v>0</v>
      </c>
      <c r="P24" s="409"/>
      <c r="R24" s="632"/>
      <c r="W24" s="632" t="b">
        <f t="shared" si="0"/>
        <v>1</v>
      </c>
      <c r="X24" s="726">
        <f t="shared" si="1"/>
        <v>0</v>
      </c>
      <c r="Y24" s="726">
        <f t="shared" si="2"/>
        <v>0</v>
      </c>
      <c r="AA24" s="411"/>
    </row>
    <row r="25" spans="1:27" ht="39" customHeight="1" x14ac:dyDescent="0.25">
      <c r="A25" s="227">
        <f>'Unit Data from Audit Worksheet'!A29</f>
        <v>388</v>
      </c>
      <c r="B25" s="237" t="str">
        <f>'Unit Data from Audit Worksheet'!C29</f>
        <v>Statement of Activities - Governmental</v>
      </c>
      <c r="C25" s="225" t="str">
        <f>'Unit Data from Audit Worksheet'!D29</f>
        <v>Total Expenses</v>
      </c>
      <c r="D25" s="643"/>
      <c r="E25" s="697">
        <f>'Unit Data from Audit Worksheet'!F29</f>
        <v>0</v>
      </c>
      <c r="F25" s="216">
        <f t="shared" ref="F25:F30" si="5">IF(L25&lt;0,"Error: Number is normally positive.",)</f>
        <v>0</v>
      </c>
      <c r="G25" s="287"/>
      <c r="H25" s="208">
        <f>'Unit Data from Audit Worksheet'!I29</f>
        <v>0</v>
      </c>
      <c r="I25" s="637"/>
      <c r="J25" s="204">
        <v>388</v>
      </c>
      <c r="K25" s="197" t="s">
        <v>256</v>
      </c>
      <c r="L25" s="681">
        <f t="shared" si="4"/>
        <v>0</v>
      </c>
      <c r="P25" s="409"/>
      <c r="R25" s="632"/>
      <c r="W25" s="632" t="b">
        <f t="shared" si="0"/>
        <v>1</v>
      </c>
      <c r="X25" s="726">
        <f t="shared" si="1"/>
        <v>0</v>
      </c>
      <c r="Y25" s="726">
        <f t="shared" si="2"/>
        <v>0</v>
      </c>
      <c r="AA25" s="411"/>
    </row>
    <row r="26" spans="1:27" ht="39" customHeight="1" x14ac:dyDescent="0.25">
      <c r="A26" s="227">
        <f>'Unit Data from Audit Worksheet'!A30</f>
        <v>339</v>
      </c>
      <c r="B26" s="237" t="str">
        <f>'Unit Data from Audit Worksheet'!C30</f>
        <v>Statement of Activities - Governmental</v>
      </c>
      <c r="C26" s="225" t="str">
        <f>'Unit Data from Audit Worksheet'!D30</f>
        <v xml:space="preserve">Charges for services </v>
      </c>
      <c r="D26" s="643"/>
      <c r="E26" s="697">
        <f>'Unit Data from Audit Worksheet'!F30</f>
        <v>0</v>
      </c>
      <c r="F26" s="216">
        <f t="shared" si="5"/>
        <v>0</v>
      </c>
      <c r="G26" s="287"/>
      <c r="H26" s="208">
        <f>'Unit Data from Audit Worksheet'!I30</f>
        <v>0</v>
      </c>
      <c r="I26" s="637"/>
      <c r="J26" s="204">
        <v>339</v>
      </c>
      <c r="K26" s="197" t="s">
        <v>257</v>
      </c>
      <c r="L26" s="681">
        <f t="shared" si="4"/>
        <v>0</v>
      </c>
      <c r="P26" s="409"/>
      <c r="R26" s="632"/>
      <c r="W26" s="632" t="b">
        <f t="shared" si="0"/>
        <v>1</v>
      </c>
      <c r="X26" s="726">
        <f t="shared" si="1"/>
        <v>0</v>
      </c>
      <c r="Y26" s="726">
        <f t="shared" si="2"/>
        <v>0</v>
      </c>
      <c r="AA26" s="411"/>
    </row>
    <row r="27" spans="1:27" ht="39" customHeight="1" x14ac:dyDescent="0.25">
      <c r="A27" s="227">
        <f>'Unit Data from Audit Worksheet'!A31</f>
        <v>504</v>
      </c>
      <c r="B27" s="237" t="str">
        <f>'Unit Data from Audit Worksheet'!C31</f>
        <v>Statement of Activities - Governmental</v>
      </c>
      <c r="C27" s="225" t="str">
        <f>'Unit Data from Audit Worksheet'!D31</f>
        <v>Operating grants and contributions</v>
      </c>
      <c r="D27" s="643"/>
      <c r="E27" s="697">
        <f>'Unit Data from Audit Worksheet'!F31</f>
        <v>0</v>
      </c>
      <c r="F27" s="216">
        <f t="shared" si="5"/>
        <v>0</v>
      </c>
      <c r="G27" s="287"/>
      <c r="H27" s="208">
        <f>'Unit Data from Audit Worksheet'!I31</f>
        <v>0</v>
      </c>
      <c r="I27" s="637"/>
      <c r="J27" s="204">
        <v>504</v>
      </c>
      <c r="K27" s="197" t="s">
        <v>258</v>
      </c>
      <c r="L27" s="681">
        <f t="shared" si="4"/>
        <v>0</v>
      </c>
      <c r="P27" s="409"/>
      <c r="R27" s="632"/>
      <c r="W27" s="632" t="b">
        <f t="shared" si="0"/>
        <v>1</v>
      </c>
      <c r="X27" s="726">
        <f t="shared" si="1"/>
        <v>0</v>
      </c>
      <c r="Y27" s="726">
        <f t="shared" si="2"/>
        <v>0</v>
      </c>
      <c r="AA27" s="411"/>
    </row>
    <row r="28" spans="1:27" ht="39" customHeight="1" x14ac:dyDescent="0.25">
      <c r="A28" s="227">
        <f>'Unit Data from Audit Worksheet'!A32</f>
        <v>505</v>
      </c>
      <c r="B28" s="237" t="str">
        <f>'Unit Data from Audit Worksheet'!C32</f>
        <v>Statement of Activities - Governmental</v>
      </c>
      <c r="C28" s="225" t="str">
        <f>'Unit Data from Audit Worksheet'!D32</f>
        <v>Capital grants and contributions</v>
      </c>
      <c r="D28" s="643"/>
      <c r="E28" s="697">
        <f>'Unit Data from Audit Worksheet'!F32</f>
        <v>0</v>
      </c>
      <c r="F28" s="216">
        <f t="shared" si="5"/>
        <v>0</v>
      </c>
      <c r="G28" s="287"/>
      <c r="H28" s="208">
        <f>'Unit Data from Audit Worksheet'!I32</f>
        <v>0</v>
      </c>
      <c r="I28" s="637"/>
      <c r="J28" s="204">
        <v>505</v>
      </c>
      <c r="K28" s="197" t="s">
        <v>259</v>
      </c>
      <c r="L28" s="681">
        <f t="shared" si="4"/>
        <v>0</v>
      </c>
      <c r="P28" s="409"/>
      <c r="R28" s="632"/>
      <c r="W28" s="632" t="b">
        <f t="shared" si="0"/>
        <v>1</v>
      </c>
      <c r="X28" s="726">
        <f t="shared" si="1"/>
        <v>0</v>
      </c>
      <c r="Y28" s="726">
        <f t="shared" si="2"/>
        <v>0</v>
      </c>
      <c r="AA28" s="411"/>
    </row>
    <row r="29" spans="1:27" ht="82.5" customHeight="1" x14ac:dyDescent="0.25">
      <c r="A29" s="227">
        <f>'Unit Data from Audit Worksheet'!A33</f>
        <v>341</v>
      </c>
      <c r="B29" s="237" t="str">
        <f>'Unit Data from Audit Worksheet'!C33</f>
        <v>Statement of Activities - Governmental</v>
      </c>
      <c r="C29" s="225" t="str">
        <f>'Unit Data from Audit Worksheet'!D33</f>
        <v>Total General revenues
Exclude: transfers-in or out,
                 special items,
                 extraordinary amounts</v>
      </c>
      <c r="D29" s="643"/>
      <c r="E29" s="697">
        <f>'Unit Data from Audit Worksheet'!F33</f>
        <v>0</v>
      </c>
      <c r="F29" s="216">
        <f t="shared" si="5"/>
        <v>0</v>
      </c>
      <c r="G29" s="287"/>
      <c r="H29" s="208">
        <f>'Unit Data from Audit Worksheet'!I33</f>
        <v>0</v>
      </c>
      <c r="I29" s="637"/>
      <c r="J29" s="204">
        <v>341</v>
      </c>
      <c r="K29" s="197" t="s">
        <v>260</v>
      </c>
      <c r="L29" s="681">
        <f t="shared" si="4"/>
        <v>0</v>
      </c>
      <c r="P29" s="409"/>
      <c r="R29" s="632"/>
      <c r="W29" s="632" t="b">
        <f t="shared" si="0"/>
        <v>1</v>
      </c>
      <c r="X29" s="726">
        <f t="shared" si="1"/>
        <v>0</v>
      </c>
      <c r="Y29" s="726">
        <f t="shared" si="2"/>
        <v>0</v>
      </c>
      <c r="AA29" s="411"/>
    </row>
    <row r="30" spans="1:27" ht="82.5" customHeight="1" x14ac:dyDescent="0.25">
      <c r="A30" s="227">
        <f>'Unit Data from Audit Worksheet'!A34</f>
        <v>386</v>
      </c>
      <c r="B30" s="237" t="str">
        <f>'Unit Data from Audit Worksheet'!C34</f>
        <v>Statement of Activities - Governmental</v>
      </c>
      <c r="C30" s="225" t="str">
        <f>'Unit Data from Audit Worksheet'!D34</f>
        <v>Total Transfers in    (Preference is that transfers-in  are not netted against transfers-out)</v>
      </c>
      <c r="D30" s="643"/>
      <c r="E30" s="697">
        <f>'Unit Data from Audit Worksheet'!F34</f>
        <v>0</v>
      </c>
      <c r="F30" s="216">
        <f t="shared" si="5"/>
        <v>0</v>
      </c>
      <c r="G30" s="287"/>
      <c r="H30" s="208">
        <f>'Unit Data from Audit Worksheet'!I34</f>
        <v>0</v>
      </c>
      <c r="I30" s="637"/>
      <c r="J30" s="204">
        <v>386</v>
      </c>
      <c r="K30" s="197" t="s">
        <v>261</v>
      </c>
      <c r="L30" s="681">
        <f t="shared" si="4"/>
        <v>0</v>
      </c>
      <c r="P30" s="409"/>
      <c r="R30" s="632"/>
      <c r="W30" s="632" t="b">
        <f t="shared" si="0"/>
        <v>1</v>
      </c>
      <c r="X30" s="726">
        <f t="shared" si="1"/>
        <v>0</v>
      </c>
      <c r="Y30" s="726">
        <f t="shared" si="2"/>
        <v>0</v>
      </c>
      <c r="AA30" s="411"/>
    </row>
    <row r="31" spans="1:27" ht="82.5" customHeight="1" x14ac:dyDescent="0.25">
      <c r="A31" s="227">
        <f>'Unit Data from Audit Worksheet'!A35</f>
        <v>387</v>
      </c>
      <c r="B31" s="237" t="str">
        <f>'Unit Data from Audit Worksheet'!C35</f>
        <v>Statement of Activities - Governmental</v>
      </c>
      <c r="C31" s="225" t="str">
        <f>'Unit Data from Audit Worksheet'!D35</f>
        <v>Total Transfers out    (Preference is that transfers-in  are not netted against transfers-out)</v>
      </c>
      <c r="D31" s="643"/>
      <c r="E31" s="697">
        <f>'Unit Data from Audit Worksheet'!F35</f>
        <v>0</v>
      </c>
      <c r="F31" s="216">
        <f>IF(L31&lt;0,"Error: Enter as a positive.",)</f>
        <v>0</v>
      </c>
      <c r="G31" s="287"/>
      <c r="H31" s="208">
        <f>'Unit Data from Audit Worksheet'!I35</f>
        <v>0</v>
      </c>
      <c r="I31" s="637"/>
      <c r="J31" s="204">
        <v>387</v>
      </c>
      <c r="K31" s="197" t="s">
        <v>262</v>
      </c>
      <c r="L31" s="681">
        <f t="shared" si="4"/>
        <v>0</v>
      </c>
      <c r="P31" s="409"/>
      <c r="R31" s="632"/>
      <c r="W31" s="632" t="b">
        <f t="shared" si="0"/>
        <v>1</v>
      </c>
      <c r="X31" s="726">
        <f t="shared" si="1"/>
        <v>0</v>
      </c>
      <c r="Y31" s="726">
        <f t="shared" si="2"/>
        <v>0</v>
      </c>
      <c r="AA31" s="411"/>
    </row>
    <row r="32" spans="1:27" ht="82.5" customHeight="1" x14ac:dyDescent="0.25">
      <c r="A32" s="227">
        <f>'Unit Data from Audit Worksheet'!A36</f>
        <v>389</v>
      </c>
      <c r="B32" s="237" t="str">
        <f>'Unit Data from Audit Worksheet'!C36</f>
        <v>Statement of Activities - Governmental</v>
      </c>
      <c r="C32" s="225" t="str">
        <f>'Unit Data from Audit Worksheet'!D36</f>
        <v>Total Special and Extraordinary items.    (Amounts that increase net position are recorded as positive and amounts that decrease net position are recorded as negative)</v>
      </c>
      <c r="D32" s="643"/>
      <c r="E32" s="697">
        <f>'Unit Data from Audit Worksheet'!F36</f>
        <v>0</v>
      </c>
      <c r="F32" s="216"/>
      <c r="G32" s="305"/>
      <c r="H32" s="208">
        <f>'Unit Data from Audit Worksheet'!I36</f>
        <v>0</v>
      </c>
      <c r="I32" s="637"/>
      <c r="J32" s="204">
        <v>389</v>
      </c>
      <c r="K32" s="197" t="s">
        <v>263</v>
      </c>
      <c r="L32" s="681">
        <f t="shared" si="4"/>
        <v>0</v>
      </c>
      <c r="N32" s="433"/>
      <c r="P32" s="409"/>
      <c r="R32" s="632"/>
      <c r="W32" s="632" t="b">
        <f t="shared" si="0"/>
        <v>1</v>
      </c>
      <c r="X32" s="726">
        <f t="shared" si="1"/>
        <v>0</v>
      </c>
      <c r="Y32" s="726">
        <f t="shared" si="2"/>
        <v>0</v>
      </c>
      <c r="AA32" s="411"/>
    </row>
    <row r="33" spans="1:27" ht="79.5" customHeight="1" x14ac:dyDescent="0.25">
      <c r="A33" s="227">
        <f>'Unit Data from Audit Worksheet'!A37</f>
        <v>255</v>
      </c>
      <c r="B33" s="237" t="str">
        <f>'Unit Data from Audit Worksheet'!C37</f>
        <v>Statement of Activities - Governmental</v>
      </c>
      <c r="C33" s="225" t="str">
        <f>'Unit Data from Audit Worksheet'!D37</f>
        <v>Total Change in net position - (Increase in net position is recorded as a positive and a decrease in net position is recorded as a negative)</v>
      </c>
      <c r="D33" s="643"/>
      <c r="E33" s="697">
        <f>'Unit Data from Audit Worksheet'!F37</f>
        <v>0</v>
      </c>
      <c r="F33" s="216">
        <f>IF((L26+L27+L28+L29+L30-L31+L32-L25-L33)=0,,"Total revenues less total expenses do not equal total change in net position. Acct 339+504+505+341+386-387+389-388-255=0")</f>
        <v>0</v>
      </c>
      <c r="G33" s="344">
        <f>L26+L27+L28+L29+L30-L31+L32-L25-L33</f>
        <v>0</v>
      </c>
      <c r="H33" s="208">
        <f>'Unit Data from Audit Worksheet'!I37</f>
        <v>0</v>
      </c>
      <c r="I33" s="637"/>
      <c r="J33" s="204">
        <v>255</v>
      </c>
      <c r="K33" s="197" t="s">
        <v>264</v>
      </c>
      <c r="L33" s="681">
        <f t="shared" si="4"/>
        <v>0</v>
      </c>
      <c r="O33" s="188" t="e">
        <f>'Unit Data from Audit Worksheet'!E37</f>
        <v>#N/A</v>
      </c>
      <c r="P33" s="409"/>
      <c r="Q33" s="328">
        <f>IF(G33&lt;&gt;0,1,0)</f>
        <v>0</v>
      </c>
      <c r="R33" s="632"/>
      <c r="W33" s="632" t="b">
        <f t="shared" si="0"/>
        <v>1</v>
      </c>
      <c r="X33" s="726">
        <f t="shared" si="1"/>
        <v>0</v>
      </c>
      <c r="Y33" s="726">
        <f t="shared" si="2"/>
        <v>0</v>
      </c>
      <c r="AA33" s="411"/>
    </row>
    <row r="34" spans="1:27" ht="89.25" customHeight="1" x14ac:dyDescent="0.25">
      <c r="A34" s="227">
        <f>'Unit Data from Audit Worksheet'!A38</f>
        <v>376</v>
      </c>
      <c r="B34" s="237" t="str">
        <f>'Unit Data from Audit Worksheet'!C38</f>
        <v>Statement of Activities - Governmental</v>
      </c>
      <c r="C34" s="225" t="str">
        <f>'Unit Data from Audit Worksheet'!D38</f>
        <v>Any adjustment to beginning net position including rounding, prior period adjustments and restatements.   (Increases to net position are positive; decreases to net position are negative)</v>
      </c>
      <c r="D34" s="643"/>
      <c r="E34" s="697">
        <f>'Unit Data from Audit Worksheet'!F38</f>
        <v>0</v>
      </c>
      <c r="F34" s="215" t="e">
        <f>IF(L19+L20+L21-L33-L34=O19+O20+O21,,"Beginning Balance does not agree with our records acct (252+253+254-255-376=PY252+PY253+PY254)")</f>
        <v>#N/A</v>
      </c>
      <c r="G34" s="345" t="e">
        <f>L19+L20+L21-L33-L34-(O19+O20+O21)</f>
        <v>#N/A</v>
      </c>
      <c r="H34" s="208">
        <f>'Unit Data from Audit Worksheet'!I38</f>
        <v>0</v>
      </c>
      <c r="I34" s="637"/>
      <c r="J34" s="204">
        <v>376</v>
      </c>
      <c r="K34" s="197" t="s">
        <v>115</v>
      </c>
      <c r="L34" s="681">
        <f t="shared" si="4"/>
        <v>0</v>
      </c>
      <c r="O34" s="188" t="e">
        <f>'Unit Data from Audit Worksheet'!E38</f>
        <v>#N/A</v>
      </c>
      <c r="P34" s="409"/>
      <c r="Q34" s="328" t="e">
        <f>IF(G34&lt;&gt;0,1,0)</f>
        <v>#N/A</v>
      </c>
      <c r="R34" s="632"/>
      <c r="W34" s="632" t="b">
        <f t="shared" si="0"/>
        <v>1</v>
      </c>
      <c r="X34" s="726">
        <f t="shared" si="1"/>
        <v>0</v>
      </c>
      <c r="Y34" s="726">
        <f t="shared" si="2"/>
        <v>0</v>
      </c>
      <c r="AA34" s="411"/>
    </row>
    <row r="35" spans="1:27" s="226" customFormat="1" ht="157.5" customHeight="1" x14ac:dyDescent="0.25">
      <c r="A35" s="335">
        <f>'Unit Data from Audit Worksheet'!A39</f>
        <v>597</v>
      </c>
      <c r="B35" s="336" t="str">
        <f>'Unit Data from Audit Worksheet'!C39</f>
        <v>Statement of Activities                               (all governmental and business funds)</v>
      </c>
      <c r="C35" s="334"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643"/>
      <c r="E35" s="697">
        <f>'Unit Data from Audit Worksheet'!F39</f>
        <v>0</v>
      </c>
      <c r="F35" s="216">
        <f>IF(L35&lt;0,"Error: Number is normally positive.",)</f>
        <v>0</v>
      </c>
      <c r="G35" s="287"/>
      <c r="H35" s="208">
        <f>'Unit Data from Audit Worksheet'!I39</f>
        <v>0</v>
      </c>
      <c r="I35" s="637"/>
      <c r="J35" s="333">
        <v>597</v>
      </c>
      <c r="K35" s="332" t="s">
        <v>778</v>
      </c>
      <c r="L35" s="681">
        <f t="shared" si="4"/>
        <v>0</v>
      </c>
      <c r="O35" s="188"/>
      <c r="P35" s="409"/>
      <c r="Q35" s="328"/>
      <c r="R35" s="632"/>
      <c r="W35" s="632" t="b">
        <f t="shared" si="0"/>
        <v>1</v>
      </c>
      <c r="X35" s="726">
        <f t="shared" si="1"/>
        <v>0</v>
      </c>
      <c r="Y35" s="726">
        <f t="shared" si="2"/>
        <v>0</v>
      </c>
      <c r="AA35" s="411"/>
    </row>
    <row r="36" spans="1:27" s="226" customFormat="1" ht="90" customHeight="1" x14ac:dyDescent="0.25">
      <c r="A36" s="335">
        <f>'Unit Data from Audit Worksheet'!A41</f>
        <v>592</v>
      </c>
      <c r="B36" s="336" t="str">
        <f>'Unit Data from Audit Worksheet'!C41</f>
        <v>Statement of Activities - Business Activities</v>
      </c>
      <c r="C36" s="334" t="str">
        <f>'Unit Data from Audit Worksheet'!D41</f>
        <v>Total Change in net position Business Type 
(Increase in net position is recorded as a positive and a decrease in net position is recorded as a negative)</v>
      </c>
      <c r="D36" s="643"/>
      <c r="E36" s="697">
        <f>'Unit Data from Audit Worksheet'!F41</f>
        <v>0</v>
      </c>
      <c r="F36" s="297"/>
      <c r="G36" s="305"/>
      <c r="H36" s="208">
        <f>'Unit Data from Audit Worksheet'!I41</f>
        <v>0</v>
      </c>
      <c r="I36" s="637"/>
      <c r="J36" s="333">
        <v>592</v>
      </c>
      <c r="K36" s="332" t="s">
        <v>710</v>
      </c>
      <c r="L36" s="681">
        <f t="shared" si="4"/>
        <v>0</v>
      </c>
      <c r="O36" s="188"/>
      <c r="P36" s="409"/>
      <c r="Q36" s="328"/>
      <c r="R36" s="632"/>
      <c r="W36" s="632" t="b">
        <f t="shared" si="0"/>
        <v>1</v>
      </c>
      <c r="X36" s="726">
        <f t="shared" si="1"/>
        <v>0</v>
      </c>
      <c r="Y36" s="726">
        <f t="shared" si="2"/>
        <v>0</v>
      </c>
      <c r="AA36" s="411"/>
    </row>
    <row r="37" spans="1:27" s="226" customFormat="1" ht="66" customHeight="1" x14ac:dyDescent="0.25">
      <c r="A37" s="335">
        <f>'Unit Data from Audit Worksheet'!A42</f>
        <v>591</v>
      </c>
      <c r="B37" s="336" t="str">
        <f>'Unit Data from Audit Worksheet'!C42</f>
        <v>Statement of Activities - Business Activities</v>
      </c>
      <c r="C37" s="334" t="str">
        <f>'Unit Data from Audit Worksheet'!D42</f>
        <v>Total Expenses - Exclude Transfers</v>
      </c>
      <c r="D37" s="643"/>
      <c r="E37" s="697">
        <f>'Unit Data from Audit Worksheet'!F42</f>
        <v>0</v>
      </c>
      <c r="F37" s="331">
        <f>IF(L37&lt;0,"Error: Enter as a positive.",)</f>
        <v>0</v>
      </c>
      <c r="G37" s="305"/>
      <c r="H37" s="208">
        <f>'Unit Data from Audit Worksheet'!I42</f>
        <v>0</v>
      </c>
      <c r="I37" s="637"/>
      <c r="J37" s="333">
        <v>591</v>
      </c>
      <c r="K37" s="332" t="s">
        <v>709</v>
      </c>
      <c r="L37" s="681">
        <f t="shared" si="4"/>
        <v>0</v>
      </c>
      <c r="O37" s="188"/>
      <c r="P37" s="409"/>
      <c r="Q37" s="328"/>
      <c r="R37" s="632"/>
      <c r="W37" s="632" t="b">
        <f t="shared" si="0"/>
        <v>1</v>
      </c>
      <c r="X37" s="726">
        <f t="shared" si="1"/>
        <v>0</v>
      </c>
      <c r="Y37" s="726">
        <f t="shared" si="2"/>
        <v>0</v>
      </c>
      <c r="AA37" s="411"/>
    </row>
    <row r="38" spans="1:27" ht="54" customHeight="1" x14ac:dyDescent="0.25">
      <c r="A38" s="227">
        <f>'Unit Data from Audit Worksheet'!A44</f>
        <v>506</v>
      </c>
      <c r="B38" s="238" t="str">
        <f>'Unit Data from Audit Worksheet'!C44</f>
        <v>General Fund-Balance Sheet</v>
      </c>
      <c r="C38" s="219" t="str">
        <f>'Unit Data from Audit Worksheet'!D44</f>
        <v xml:space="preserve">All unrestricted cash and investments.  
Exclude restricted cash and cash held by a third party. </v>
      </c>
      <c r="D38" s="643"/>
      <c r="E38" s="702">
        <f>'Unit Data from Audit Worksheet'!F44</f>
        <v>0</v>
      </c>
      <c r="F38" s="198">
        <f>IF(L38&lt;0,"Error: Number is normally positive.",)</f>
        <v>0</v>
      </c>
      <c r="G38" s="288"/>
      <c r="H38" s="208">
        <f>'Unit Data from Audit Worksheet'!I44</f>
        <v>0</v>
      </c>
      <c r="I38" s="637"/>
      <c r="J38" s="203">
        <v>506</v>
      </c>
      <c r="K38" s="197" t="s">
        <v>265</v>
      </c>
      <c r="L38" s="682">
        <f t="shared" si="4"/>
        <v>0</v>
      </c>
      <c r="P38" s="409"/>
      <c r="R38" s="632"/>
      <c r="W38" s="632" t="b">
        <f t="shared" si="0"/>
        <v>1</v>
      </c>
      <c r="X38" s="726">
        <f t="shared" si="1"/>
        <v>0</v>
      </c>
      <c r="Y38" s="726">
        <f t="shared" si="2"/>
        <v>0</v>
      </c>
      <c r="AA38" s="411"/>
    </row>
    <row r="39" spans="1:27" ht="45.75" customHeight="1" x14ac:dyDescent="0.25">
      <c r="A39" s="227">
        <f>'Unit Data from Audit Worksheet'!A45</f>
        <v>536</v>
      </c>
      <c r="B39" s="238" t="str">
        <f>'Unit Data from Audit Worksheet'!C45</f>
        <v>General Fund-Balance Sheet</v>
      </c>
      <c r="C39" s="219" t="str">
        <f>'Unit Data from Audit Worksheet'!D45</f>
        <v>All restricted cash and investments</v>
      </c>
      <c r="D39" s="643"/>
      <c r="E39" s="702">
        <f>'Unit Data from Audit Worksheet'!F45</f>
        <v>0</v>
      </c>
      <c r="F39" s="198">
        <f>IF(L39&lt;0,"Error: Number is normally positive.",)</f>
        <v>0</v>
      </c>
      <c r="G39" s="288"/>
      <c r="H39" s="208">
        <f>'Unit Data from Audit Worksheet'!I45</f>
        <v>0</v>
      </c>
      <c r="I39" s="637"/>
      <c r="J39" s="203">
        <v>536</v>
      </c>
      <c r="K39" s="197" t="s">
        <v>266</v>
      </c>
      <c r="L39" s="682">
        <f t="shared" si="4"/>
        <v>0</v>
      </c>
      <c r="P39" s="409"/>
      <c r="R39" s="632"/>
      <c r="W39" s="632" t="b">
        <f t="shared" si="0"/>
        <v>1</v>
      </c>
      <c r="X39" s="726">
        <f t="shared" si="1"/>
        <v>0</v>
      </c>
      <c r="Y39" s="726">
        <f t="shared" si="2"/>
        <v>0</v>
      </c>
      <c r="AA39" s="411"/>
    </row>
    <row r="40" spans="1:27" s="226" customFormat="1" ht="56.25" customHeight="1" x14ac:dyDescent="0.25">
      <c r="A40" s="227">
        <f>'Unit Data from Audit Worksheet'!A46</f>
        <v>586</v>
      </c>
      <c r="B40" s="237" t="str">
        <f>'Unit Data from Audit Worksheet'!C46</f>
        <v>General Fund-Balance Sheet</v>
      </c>
      <c r="C40" s="245" t="str">
        <f>'Unit Data from Audit Worksheet'!D46</f>
        <v>Advance To: Interfund loan receivable-portion of repayment plan longer than 12 months</v>
      </c>
      <c r="D40" s="643"/>
      <c r="E40" s="697">
        <f>'Unit Data from Audit Worksheet'!F46</f>
        <v>0</v>
      </c>
      <c r="F40" s="216"/>
      <c r="G40" s="287"/>
      <c r="H40" s="208"/>
      <c r="I40" s="637"/>
      <c r="J40" s="204">
        <v>586</v>
      </c>
      <c r="K40" s="245" t="s">
        <v>660</v>
      </c>
      <c r="L40" s="698">
        <f t="shared" si="4"/>
        <v>0</v>
      </c>
      <c r="P40" s="409"/>
      <c r="Q40" s="328"/>
      <c r="R40" s="632"/>
      <c r="W40" s="632" t="b">
        <f t="shared" si="0"/>
        <v>1</v>
      </c>
      <c r="X40" s="726">
        <f t="shared" si="1"/>
        <v>0</v>
      </c>
      <c r="Y40" s="726">
        <f t="shared" si="2"/>
        <v>0</v>
      </c>
      <c r="AA40" s="411"/>
    </row>
    <row r="41" spans="1:27" ht="30" x14ac:dyDescent="0.25">
      <c r="A41" s="227">
        <f>'Unit Data from Audit Worksheet'!A47</f>
        <v>379</v>
      </c>
      <c r="B41" s="237" t="str">
        <f>'Unit Data from Audit Worksheet'!C47</f>
        <v>General Fund-Balance Sheet</v>
      </c>
      <c r="C41" s="225" t="str">
        <f>'Unit Data from Audit Worksheet'!D47</f>
        <v>Total Assets and deferred outflows</v>
      </c>
      <c r="D41" s="643"/>
      <c r="E41" s="697">
        <f>'Unit Data from Audit Worksheet'!F47</f>
        <v>0</v>
      </c>
      <c r="F41" s="317">
        <f>IF((L38+L39)&gt;L41,"Error: Please review accts (506+536)&gt;379",)</f>
        <v>0</v>
      </c>
      <c r="G41" s="305" t="str">
        <f>IF(Q41=1," Included in error count"," ")</f>
        <v xml:space="preserve"> </v>
      </c>
      <c r="H41" s="208">
        <f>'Unit Data from Audit Worksheet'!I47</f>
        <v>0</v>
      </c>
      <c r="I41" s="637"/>
      <c r="J41" s="204">
        <v>379</v>
      </c>
      <c r="K41" s="197" t="s">
        <v>125</v>
      </c>
      <c r="L41" s="681">
        <f t="shared" si="4"/>
        <v>0</v>
      </c>
      <c r="P41" s="409"/>
      <c r="Q41" s="328">
        <f>IF(L38+L39&gt;L41,1,0)</f>
        <v>0</v>
      </c>
      <c r="R41" s="632"/>
      <c r="W41" s="632" t="b">
        <f t="shared" si="0"/>
        <v>1</v>
      </c>
      <c r="X41" s="726">
        <f t="shared" si="1"/>
        <v>0</v>
      </c>
      <c r="Y41" s="726">
        <f t="shared" si="2"/>
        <v>0</v>
      </c>
      <c r="AA41" s="411"/>
    </row>
    <row r="42" spans="1:27" ht="106.5" customHeight="1" x14ac:dyDescent="0.25">
      <c r="A42" s="227">
        <f>'Unit Data from Audit Worksheet'!A48</f>
        <v>368</v>
      </c>
      <c r="B42" s="237" t="str">
        <f>'Unit Data from Audit Worksheet'!C48</f>
        <v>General Fund-Balance Sheet</v>
      </c>
      <c r="C42" s="225" t="str">
        <f>'Unit Data from Audit Worksheet'!D48</f>
        <v>Total Liabilities payable from restricted assets (only complete if this is listed in your financial statements for the general fund and the auditor has listed the cash to be used to pay the liabilities as restricted)</v>
      </c>
      <c r="D42" s="643"/>
      <c r="E42" s="697">
        <f>'Unit Data from Audit Worksheet'!F48</f>
        <v>0</v>
      </c>
      <c r="F42" s="216">
        <f>IF(L42&lt;0,"Error: Enter as a positive.",)</f>
        <v>0</v>
      </c>
      <c r="G42" s="287"/>
      <c r="H42" s="208">
        <f>'Unit Data from Audit Worksheet'!I48</f>
        <v>0</v>
      </c>
      <c r="I42" s="637"/>
      <c r="J42" s="204">
        <v>368</v>
      </c>
      <c r="K42" s="197" t="s">
        <v>267</v>
      </c>
      <c r="L42" s="681">
        <f t="shared" si="4"/>
        <v>0</v>
      </c>
      <c r="P42" s="409"/>
      <c r="R42" s="632"/>
      <c r="W42" s="632" t="b">
        <f t="shared" si="0"/>
        <v>1</v>
      </c>
      <c r="X42" s="726">
        <f t="shared" si="1"/>
        <v>0</v>
      </c>
      <c r="Y42" s="726">
        <f t="shared" si="2"/>
        <v>0</v>
      </c>
      <c r="AA42" s="411"/>
    </row>
    <row r="43" spans="1:27" ht="90.75" customHeight="1" x14ac:dyDescent="0.25">
      <c r="A43" s="227">
        <f>'Unit Data from Audit Worksheet'!A49</f>
        <v>4</v>
      </c>
      <c r="B43" s="238" t="str">
        <f>'Unit Data from Audit Worksheet'!C49</f>
        <v>General Fund-Balance Sheet</v>
      </c>
      <c r="C43" s="454" t="str">
        <f>'Unit Data from Audit Worksheet'!D49</f>
        <v>Current Liabilities (as reported on the Balance Sheet)
Exclude all deferred inflows. 
Include advance from(long-term portion of interfund loans)</v>
      </c>
      <c r="D43" s="643"/>
      <c r="E43" s="702">
        <f>'Unit Data from Audit Worksheet'!F49</f>
        <v>0</v>
      </c>
      <c r="F43" s="198">
        <f t="shared" ref="F43:F52" si="6">IF(L43&lt;0,"Error: Enter as a positive.",)</f>
        <v>0</v>
      </c>
      <c r="G43" s="288"/>
      <c r="H43" s="208">
        <f>'Unit Data from Audit Worksheet'!I49</f>
        <v>0</v>
      </c>
      <c r="I43" s="637"/>
      <c r="J43" s="203">
        <v>4</v>
      </c>
      <c r="K43" s="197" t="s">
        <v>126</v>
      </c>
      <c r="L43" s="682">
        <f t="shared" si="4"/>
        <v>0</v>
      </c>
      <c r="P43" s="409"/>
      <c r="R43" s="632"/>
      <c r="W43" s="632" t="b">
        <f t="shared" si="0"/>
        <v>1</v>
      </c>
      <c r="X43" s="726">
        <f t="shared" si="1"/>
        <v>0</v>
      </c>
      <c r="Y43" s="726">
        <f t="shared" si="2"/>
        <v>0</v>
      </c>
      <c r="AA43" s="411"/>
    </row>
    <row r="44" spans="1:27" ht="131.25" customHeight="1" x14ac:dyDescent="0.25">
      <c r="A44" s="227">
        <f>'Unit Data from Audit Worksheet'!A50</f>
        <v>5</v>
      </c>
      <c r="B44" s="238" t="str">
        <f>'Unit Data from Audit Worksheet'!C50</f>
        <v>General Fund-Balance Sheet</v>
      </c>
      <c r="C44" s="219"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643"/>
      <c r="E44" s="702">
        <f>'Unit Data from Audit Worksheet'!F50</f>
        <v>0</v>
      </c>
      <c r="F44" s="198">
        <f t="shared" si="6"/>
        <v>0</v>
      </c>
      <c r="G44" s="288"/>
      <c r="H44" s="208">
        <f>'Unit Data from Audit Worksheet'!I50</f>
        <v>0</v>
      </c>
      <c r="I44" s="637"/>
      <c r="J44" s="203">
        <v>5</v>
      </c>
      <c r="K44" s="197" t="s">
        <v>127</v>
      </c>
      <c r="L44" s="682">
        <f t="shared" si="4"/>
        <v>0</v>
      </c>
      <c r="P44" s="409"/>
      <c r="R44" s="632"/>
      <c r="W44" s="632" t="b">
        <f t="shared" si="0"/>
        <v>1</v>
      </c>
      <c r="X44" s="726">
        <f t="shared" si="1"/>
        <v>0</v>
      </c>
      <c r="Y44" s="726">
        <f t="shared" si="2"/>
        <v>0</v>
      </c>
      <c r="AA44" s="411"/>
    </row>
    <row r="45" spans="1:27" ht="104.25" customHeight="1" x14ac:dyDescent="0.25">
      <c r="A45" s="227">
        <f>'Unit Data from Audit Worksheet'!A51</f>
        <v>380</v>
      </c>
      <c r="B45" s="237" t="str">
        <f>'Unit Data from Audit Worksheet'!C51</f>
        <v>General Fund-Balance Sheet</v>
      </c>
      <c r="C45" s="225" t="str">
        <f>'Unit Data from Audit Worksheet'!D51</f>
        <v>Total Deferred inflows not derived from cash receipts.  Deferred inflows on the face of the statements can include cash and non-cash.  You may have to refer to the note disclosure where the cash and non-cash is broken out.</v>
      </c>
      <c r="D45" s="643"/>
      <c r="E45" s="697">
        <f>'Unit Data from Audit Worksheet'!F51</f>
        <v>0</v>
      </c>
      <c r="F45" s="216">
        <f t="shared" si="6"/>
        <v>0</v>
      </c>
      <c r="G45" s="287"/>
      <c r="H45" s="208">
        <f>'Unit Data from Audit Worksheet'!I51</f>
        <v>0</v>
      </c>
      <c r="I45" s="637"/>
      <c r="J45" s="204">
        <v>380</v>
      </c>
      <c r="K45" s="197" t="s">
        <v>128</v>
      </c>
      <c r="L45" s="681">
        <f t="shared" si="4"/>
        <v>0</v>
      </c>
      <c r="P45" s="409"/>
      <c r="R45" s="632"/>
      <c r="W45" s="632" t="b">
        <f t="shared" si="0"/>
        <v>1</v>
      </c>
      <c r="X45" s="726">
        <f t="shared" si="1"/>
        <v>0</v>
      </c>
      <c r="Y45" s="726">
        <f t="shared" si="2"/>
        <v>0</v>
      </c>
      <c r="AA45" s="411"/>
    </row>
    <row r="46" spans="1:27" ht="41.25" customHeight="1" x14ac:dyDescent="0.25">
      <c r="A46" s="227">
        <f>'Unit Data from Audit Worksheet'!A52</f>
        <v>391</v>
      </c>
      <c r="B46" s="237" t="str">
        <f>'Unit Data from Audit Worksheet'!C52</f>
        <v>General Fund-Balance Sheet</v>
      </c>
      <c r="C46" s="225" t="str">
        <f>'Unit Data from Audit Worksheet'!D52</f>
        <v xml:space="preserve">Fund balance, Restricted for Stabilization by State Statute </v>
      </c>
      <c r="D46" s="643"/>
      <c r="E46" s="697">
        <f>'Unit Data from Audit Worksheet'!F52</f>
        <v>0</v>
      </c>
      <c r="F46" s="216">
        <f t="shared" si="6"/>
        <v>0</v>
      </c>
      <c r="G46" s="287"/>
      <c r="H46" s="208">
        <f>'Unit Data from Audit Worksheet'!I52</f>
        <v>0</v>
      </c>
      <c r="I46" s="637"/>
      <c r="J46" s="204">
        <v>391</v>
      </c>
      <c r="K46" s="197" t="s">
        <v>268</v>
      </c>
      <c r="L46" s="681">
        <f t="shared" si="4"/>
        <v>0</v>
      </c>
      <c r="P46" s="409"/>
      <c r="R46" s="632"/>
      <c r="W46" s="632" t="b">
        <f t="shared" si="0"/>
        <v>1</v>
      </c>
      <c r="X46" s="726">
        <f t="shared" si="1"/>
        <v>0</v>
      </c>
      <c r="Y46" s="726">
        <f t="shared" si="2"/>
        <v>0</v>
      </c>
      <c r="AA46" s="411"/>
    </row>
    <row r="47" spans="1:27" ht="30" x14ac:dyDescent="0.25">
      <c r="A47" s="227">
        <f>'Unit Data from Audit Worksheet'!A53</f>
        <v>7</v>
      </c>
      <c r="B47" s="238" t="str">
        <f>'Unit Data from Audit Worksheet'!C53</f>
        <v>General Fund-Balance Sheet</v>
      </c>
      <c r="C47" s="219" t="str">
        <f>'Unit Data from Audit Worksheet'!D53</f>
        <v>Fund balance, Nonspendable-  inventory/prepaids/etc.</v>
      </c>
      <c r="D47" s="643"/>
      <c r="E47" s="702">
        <f>'Unit Data from Audit Worksheet'!F53</f>
        <v>0</v>
      </c>
      <c r="F47" s="198">
        <f t="shared" si="6"/>
        <v>0</v>
      </c>
      <c r="G47" s="288"/>
      <c r="H47" s="208">
        <f>'Unit Data from Audit Worksheet'!I53</f>
        <v>0</v>
      </c>
      <c r="I47" s="637"/>
      <c r="J47" s="203">
        <v>7</v>
      </c>
      <c r="K47" s="197" t="s">
        <v>269</v>
      </c>
      <c r="L47" s="682">
        <f t="shared" si="4"/>
        <v>0</v>
      </c>
      <c r="P47" s="409"/>
      <c r="R47" s="632"/>
      <c r="W47" s="632" t="b">
        <f t="shared" si="0"/>
        <v>1</v>
      </c>
      <c r="X47" s="726">
        <f t="shared" si="1"/>
        <v>0</v>
      </c>
      <c r="Y47" s="726">
        <f t="shared" si="2"/>
        <v>0</v>
      </c>
      <c r="AA47" s="411"/>
    </row>
    <row r="48" spans="1:27" ht="89.25" customHeight="1" x14ac:dyDescent="0.25">
      <c r="A48" s="444">
        <f>'Unit Data from Audit Worksheet'!A54</f>
        <v>11</v>
      </c>
      <c r="B48" s="445" t="str">
        <f>'Unit Data from Audit Worksheet'!C54</f>
        <v>General Fund-Balance Sheet</v>
      </c>
      <c r="C48" s="446" t="str">
        <f>'Unit Data from Audit Worksheet'!D54</f>
        <v>Fund balance, Restricted for Streets (unspent Powell Bill balance).  You may have to refer to the note disclosure where restricted fund balance is described.</v>
      </c>
      <c r="D48" s="437"/>
      <c r="E48" s="704">
        <f>'Unit Data from Audit Worksheet'!F54</f>
        <v>0</v>
      </c>
      <c r="F48" s="438">
        <f t="shared" si="6"/>
        <v>0</v>
      </c>
      <c r="G48" s="439"/>
      <c r="H48" s="440">
        <f>'Unit Data from Audit Worksheet'!I54</f>
        <v>0</v>
      </c>
      <c r="I48" s="637"/>
      <c r="J48" s="404">
        <v>11</v>
      </c>
      <c r="K48" s="209" t="s">
        <v>270</v>
      </c>
      <c r="L48" s="689">
        <f t="shared" si="4"/>
        <v>0</v>
      </c>
      <c r="P48" s="409"/>
      <c r="R48" s="632"/>
      <c r="W48" s="632" t="b">
        <f t="shared" si="0"/>
        <v>1</v>
      </c>
      <c r="X48" s="726">
        <f t="shared" si="1"/>
        <v>0</v>
      </c>
      <c r="Y48" s="726">
        <f t="shared" si="2"/>
        <v>0</v>
      </c>
      <c r="AA48" s="411"/>
    </row>
    <row r="49" spans="1:27" s="633" customFormat="1" ht="48.75" customHeight="1" x14ac:dyDescent="0.25">
      <c r="A49" s="480">
        <f>'Unit Data from Audit Worksheet'!A55</f>
        <v>645</v>
      </c>
      <c r="B49" s="481" t="str">
        <f>'Unit Data from Audit Worksheet'!C55</f>
        <v>General Fund-Balance Sheet</v>
      </c>
      <c r="C49" s="480" t="str">
        <f>'Unit Data from Audit Worksheet'!D55</f>
        <v>Fund balance, Assigned (total of all assigned components)</v>
      </c>
      <c r="D49" s="443"/>
      <c r="E49" s="703">
        <f>'Unit Data from Audit Worksheet'!F55</f>
        <v>0</v>
      </c>
      <c r="F49" s="482">
        <f>IF(L49&lt;0,"Error: Enter as a positive.",)</f>
        <v>0</v>
      </c>
      <c r="G49" s="483"/>
      <c r="H49" s="482">
        <f>'Unit Data from Audit Worksheet'!I55</f>
        <v>0</v>
      </c>
      <c r="I49" s="663"/>
      <c r="J49" s="484">
        <v>645</v>
      </c>
      <c r="K49" s="480" t="s">
        <v>889</v>
      </c>
      <c r="L49" s="904">
        <f t="shared" si="4"/>
        <v>0</v>
      </c>
      <c r="M49" s="905"/>
      <c r="N49" s="905"/>
      <c r="O49" s="905"/>
      <c r="P49" s="906"/>
      <c r="Q49" s="907"/>
      <c r="S49" s="905"/>
      <c r="T49" s="905"/>
      <c r="U49" s="905"/>
      <c r="V49" s="905"/>
      <c r="W49" s="633" t="b">
        <f t="shared" si="0"/>
        <v>1</v>
      </c>
      <c r="X49" s="368">
        <f t="shared" si="1"/>
        <v>0</v>
      </c>
      <c r="Y49" s="368">
        <f t="shared" si="2"/>
        <v>0</v>
      </c>
    </row>
    <row r="50" spans="1:27" s="633" customFormat="1" ht="45.75" customHeight="1" x14ac:dyDescent="0.25">
      <c r="A50" s="480">
        <f>'Unit Data from Audit Worksheet'!A56</f>
        <v>646</v>
      </c>
      <c r="B50" s="481" t="str">
        <f>'Unit Data from Audit Worksheet'!C56</f>
        <v>General Fund-Balance Sheet</v>
      </c>
      <c r="C50" s="480" t="str">
        <f>'Unit Data from Audit Worksheet'!D56</f>
        <v>Fund Balance, Unassigned</v>
      </c>
      <c r="D50" s="443"/>
      <c r="E50" s="703">
        <f>'Unit Data from Audit Worksheet'!F56</f>
        <v>0</v>
      </c>
      <c r="F50" s="482">
        <f>IF(L50&lt;0,"Error: Enter as a positive.",)</f>
        <v>0</v>
      </c>
      <c r="G50" s="483"/>
      <c r="H50" s="482">
        <f>'Unit Data from Audit Worksheet'!I56</f>
        <v>0</v>
      </c>
      <c r="I50" s="663"/>
      <c r="J50" s="484">
        <v>646</v>
      </c>
      <c r="K50" s="480" t="s">
        <v>890</v>
      </c>
      <c r="L50" s="904">
        <f t="shared" si="4"/>
        <v>0</v>
      </c>
      <c r="M50" s="905"/>
      <c r="N50" s="905"/>
      <c r="O50" s="905"/>
      <c r="P50" s="906"/>
      <c r="Q50" s="907"/>
      <c r="S50" s="905"/>
      <c r="T50" s="905"/>
      <c r="U50" s="905"/>
      <c r="V50" s="905"/>
      <c r="W50" s="633" t="b">
        <f t="shared" si="0"/>
        <v>1</v>
      </c>
      <c r="X50" s="368">
        <f t="shared" si="1"/>
        <v>0</v>
      </c>
      <c r="Y50" s="368">
        <f t="shared" si="2"/>
        <v>0</v>
      </c>
    </row>
    <row r="51" spans="1:27" ht="55.5" customHeight="1" x14ac:dyDescent="0.25">
      <c r="A51" s="222">
        <f>'Unit Data from Audit Worksheet'!A57</f>
        <v>9</v>
      </c>
      <c r="B51" s="447" t="str">
        <f>'Unit Data from Audit Worksheet'!C57</f>
        <v>General Fund-Balance Sheet</v>
      </c>
      <c r="C51" s="448" t="str">
        <f>'Unit Data from Audit Worksheet'!D57</f>
        <v>Total Fund balance (enter fund deficits as negative)</v>
      </c>
      <c r="D51" s="643"/>
      <c r="E51" s="701">
        <f>'Unit Data from Audit Worksheet'!F57</f>
        <v>0</v>
      </c>
      <c r="F51" s="449">
        <f>IF(L41-L43-L44-L45-L51=0,,"Error: Total assets less total liabilities do not equal Acct +379-4-5-380-9=0")</f>
        <v>0</v>
      </c>
      <c r="G51" s="450">
        <f>L41-L43-L44-L45-L51</f>
        <v>0</v>
      </c>
      <c r="H51" s="208">
        <f>'Unit Data from Audit Worksheet'!I57</f>
        <v>0</v>
      </c>
      <c r="I51" s="637"/>
      <c r="J51" s="451">
        <v>9</v>
      </c>
      <c r="K51" s="232" t="s">
        <v>271</v>
      </c>
      <c r="L51" s="688">
        <f t="shared" si="4"/>
        <v>0</v>
      </c>
      <c r="O51" s="188" t="e">
        <f>'Unit Data from Audit Worksheet'!E57</f>
        <v>#N/A</v>
      </c>
      <c r="P51" s="409"/>
      <c r="Q51" s="328">
        <f>IF(G51&lt;&gt;0,1,0)</f>
        <v>0</v>
      </c>
      <c r="R51" s="632"/>
      <c r="W51" s="632" t="b">
        <f t="shared" si="0"/>
        <v>1</v>
      </c>
      <c r="X51" s="726">
        <f t="shared" si="1"/>
        <v>0</v>
      </c>
      <c r="Y51" s="726">
        <f t="shared" si="2"/>
        <v>0</v>
      </c>
      <c r="AA51" s="411"/>
    </row>
    <row r="52" spans="1:27" s="4" customFormat="1" ht="73.5" customHeight="1" x14ac:dyDescent="0.25">
      <c r="A52" s="227">
        <f>'Unit Data from Audit Worksheet'!A58</f>
        <v>540</v>
      </c>
      <c r="B52" s="237" t="str">
        <f>'Unit Data from Audit Worksheet'!C58</f>
        <v>General Fund - Budget Actual Statement</v>
      </c>
      <c r="C52" s="245" t="str">
        <f>'Unit Data from Audit Worksheet'!D58</f>
        <v>Amount of the General Fund Balance appropriated in next year's budget. As reported on the General Fund Balance Sheet.</v>
      </c>
      <c r="D52" s="643"/>
      <c r="E52" s="697">
        <f>'Unit Data from Audit Worksheet'!F58</f>
        <v>0</v>
      </c>
      <c r="F52" s="216">
        <f t="shared" si="6"/>
        <v>0</v>
      </c>
      <c r="G52" s="287"/>
      <c r="H52" s="208">
        <f>'Unit Data from Audit Worksheet'!I58</f>
        <v>0</v>
      </c>
      <c r="I52" s="637"/>
      <c r="J52" s="204">
        <v>540</v>
      </c>
      <c r="K52" s="197" t="s">
        <v>334</v>
      </c>
      <c r="L52" s="698">
        <f t="shared" si="4"/>
        <v>0</v>
      </c>
      <c r="P52" s="409"/>
      <c r="Q52" s="328"/>
      <c r="R52" s="632"/>
      <c r="W52" s="632" t="b">
        <f t="shared" si="0"/>
        <v>1</v>
      </c>
      <c r="X52" s="726">
        <f t="shared" si="1"/>
        <v>0</v>
      </c>
      <c r="Y52" s="726">
        <f t="shared" si="2"/>
        <v>0</v>
      </c>
      <c r="AA52" s="411"/>
    </row>
    <row r="53" spans="1:27" ht="73.5" customHeight="1" x14ac:dyDescent="0.25">
      <c r="A53" s="227">
        <f>'Unit Data from Audit Worksheet'!A60</f>
        <v>369</v>
      </c>
      <c r="B53" s="237" t="str">
        <f>'Unit Data from Audit Worksheet'!C60</f>
        <v>General Fund-Rev, Exp. Change in Fund Balance</v>
      </c>
      <c r="C53" s="225" t="str">
        <f>'Unit Data from Audit Worksheet'!D60</f>
        <v>Total Intergovernmental revenue 
Include restricted and unrestricted revenues</v>
      </c>
      <c r="D53" s="643"/>
      <c r="E53" s="697">
        <f>'Unit Data from Audit Worksheet'!F60</f>
        <v>0</v>
      </c>
      <c r="F53" s="297"/>
      <c r="G53" s="287"/>
      <c r="H53" s="208">
        <f>'Unit Data from Audit Worksheet'!I60</f>
        <v>0</v>
      </c>
      <c r="I53" s="637"/>
      <c r="J53" s="204">
        <v>369</v>
      </c>
      <c r="K53" s="197" t="s">
        <v>272</v>
      </c>
      <c r="L53" s="698">
        <f t="shared" ref="L53:L115" si="7">IF(D53="",E53,D53)</f>
        <v>0</v>
      </c>
      <c r="P53" s="409"/>
      <c r="R53" s="632"/>
      <c r="W53" s="632" t="b">
        <f t="shared" si="0"/>
        <v>1</v>
      </c>
      <c r="X53" s="726">
        <f t="shared" si="1"/>
        <v>0</v>
      </c>
      <c r="Y53" s="726">
        <f t="shared" si="2"/>
        <v>0</v>
      </c>
      <c r="AA53" s="411"/>
    </row>
    <row r="54" spans="1:27" ht="73.5" customHeight="1" x14ac:dyDescent="0.25">
      <c r="A54" s="227">
        <f>'Unit Data from Audit Worksheet'!A61</f>
        <v>16</v>
      </c>
      <c r="B54" s="237" t="str">
        <f>'Unit Data from Audit Worksheet'!C61</f>
        <v>General Fund-Rev, Exp. Change in Fund Balance</v>
      </c>
      <c r="C54" s="225" t="str">
        <f>'Unit Data from Audit Worksheet'!D61</f>
        <v>Total revenues</v>
      </c>
      <c r="D54" s="643"/>
      <c r="E54" s="697">
        <f>'Unit Data from Audit Worksheet'!F61</f>
        <v>0</v>
      </c>
      <c r="F54" s="297"/>
      <c r="G54" s="287"/>
      <c r="H54" s="208">
        <f>'Unit Data from Audit Worksheet'!I61</f>
        <v>0</v>
      </c>
      <c r="I54" s="637"/>
      <c r="J54" s="204">
        <v>16</v>
      </c>
      <c r="K54" s="197" t="s">
        <v>273</v>
      </c>
      <c r="L54" s="698">
        <f t="shared" si="7"/>
        <v>0</v>
      </c>
      <c r="P54" s="409"/>
      <c r="R54" s="632"/>
      <c r="W54" s="632" t="b">
        <f t="shared" si="0"/>
        <v>1</v>
      </c>
      <c r="X54" s="726">
        <f t="shared" si="1"/>
        <v>0</v>
      </c>
      <c r="Y54" s="726">
        <f t="shared" si="2"/>
        <v>0</v>
      </c>
      <c r="AA54" s="411"/>
    </row>
    <row r="55" spans="1:27" ht="73.5" customHeight="1" x14ac:dyDescent="0.25">
      <c r="A55" s="227">
        <f>'Unit Data from Audit Worksheet'!A62</f>
        <v>370</v>
      </c>
      <c r="B55" s="237" t="str">
        <f>'Unit Data from Audit Worksheet'!C62</f>
        <v>General Fund-Rev, Exp. Change in Fund Balance</v>
      </c>
      <c r="C55" s="225" t="str">
        <f>'Unit Data from Audit Worksheet'!D62</f>
        <v>Debt service expenditures. 
Include principal, interest paid, and bond/debt issuance costs on long-term debt</v>
      </c>
      <c r="D55" s="643"/>
      <c r="E55" s="697">
        <f>'Unit Data from Audit Worksheet'!F62</f>
        <v>0</v>
      </c>
      <c r="F55" s="216">
        <f t="shared" ref="F55:F61" si="8">IF(L55&lt;0,"Error: Enter as a positive.",)</f>
        <v>0</v>
      </c>
      <c r="G55" s="287"/>
      <c r="H55" s="208">
        <f>'Unit Data from Audit Worksheet'!I62</f>
        <v>0</v>
      </c>
      <c r="I55" s="637"/>
      <c r="J55" s="204">
        <v>370</v>
      </c>
      <c r="K55" s="197" t="s">
        <v>274</v>
      </c>
      <c r="L55" s="698">
        <f t="shared" si="7"/>
        <v>0</v>
      </c>
      <c r="P55" s="409"/>
      <c r="R55" s="632"/>
      <c r="W55" s="632" t="b">
        <f t="shared" si="0"/>
        <v>1</v>
      </c>
      <c r="X55" s="726">
        <f t="shared" si="1"/>
        <v>0</v>
      </c>
      <c r="Y55" s="726">
        <f t="shared" si="2"/>
        <v>0</v>
      </c>
      <c r="AA55" s="411"/>
    </row>
    <row r="56" spans="1:27" ht="73.5" customHeight="1" x14ac:dyDescent="0.25">
      <c r="A56" s="227">
        <f>'Unit Data from Audit Worksheet'!A63</f>
        <v>532</v>
      </c>
      <c r="B56" s="237" t="str">
        <f>'Unit Data from Audit Worksheet'!C63</f>
        <v>General Fund-Rev, Exp. Change in Fund Balance</v>
      </c>
      <c r="C56" s="225" t="str">
        <f>'Unit Data from Audit Worksheet'!D63</f>
        <v xml:space="preserve">Total expenditures  
Exclude expenditures in the "other financing sources (uses)" section.
</v>
      </c>
      <c r="D56" s="643"/>
      <c r="E56" s="697">
        <f>'Unit Data from Audit Worksheet'!F63</f>
        <v>0</v>
      </c>
      <c r="F56" s="216">
        <f t="shared" si="8"/>
        <v>0</v>
      </c>
      <c r="G56" s="287"/>
      <c r="H56" s="208">
        <f>'Unit Data from Audit Worksheet'!I63</f>
        <v>0</v>
      </c>
      <c r="I56" s="637"/>
      <c r="J56" s="204">
        <v>532</v>
      </c>
      <c r="K56" s="214" t="s">
        <v>275</v>
      </c>
      <c r="L56" s="698">
        <f t="shared" si="7"/>
        <v>0</v>
      </c>
      <c r="P56" s="409"/>
      <c r="R56" s="632"/>
      <c r="W56" s="632" t="b">
        <f t="shared" si="0"/>
        <v>1</v>
      </c>
      <c r="X56" s="726">
        <f t="shared" si="1"/>
        <v>0</v>
      </c>
      <c r="Y56" s="726">
        <f t="shared" si="2"/>
        <v>0</v>
      </c>
      <c r="AA56" s="411"/>
    </row>
    <row r="57" spans="1:27" ht="73.5" customHeight="1" x14ac:dyDescent="0.25">
      <c r="A57" s="227">
        <f>'Unit Data from Audit Worksheet'!A64</f>
        <v>17</v>
      </c>
      <c r="B57" s="237" t="str">
        <f>'Unit Data from Audit Worksheet'!C64</f>
        <v>General Fund-Rev, Exp. Change in Fund Balance</v>
      </c>
      <c r="C57" s="225" t="str">
        <f>'Unit Data from Audit Worksheet'!D64</f>
        <v>Total Transfers in    (Preference is that transfers-in  are not netted against transfers-out)</v>
      </c>
      <c r="D57" s="643"/>
      <c r="E57" s="697">
        <f>'Unit Data from Audit Worksheet'!F64</f>
        <v>0</v>
      </c>
      <c r="F57" s="216">
        <f t="shared" si="8"/>
        <v>0</v>
      </c>
      <c r="G57" s="287"/>
      <c r="H57" s="208">
        <f>'Unit Data from Audit Worksheet'!I64</f>
        <v>0</v>
      </c>
      <c r="I57" s="637"/>
      <c r="J57" s="204">
        <v>17</v>
      </c>
      <c r="K57" s="197" t="s">
        <v>276</v>
      </c>
      <c r="L57" s="698">
        <f t="shared" si="7"/>
        <v>0</v>
      </c>
      <c r="P57" s="409"/>
      <c r="R57" s="632"/>
      <c r="W57" s="632" t="b">
        <f t="shared" si="0"/>
        <v>1</v>
      </c>
      <c r="X57" s="726">
        <f t="shared" si="1"/>
        <v>0</v>
      </c>
      <c r="Y57" s="726">
        <f t="shared" si="2"/>
        <v>0</v>
      </c>
      <c r="AA57" s="411"/>
    </row>
    <row r="58" spans="1:27" ht="54.75" customHeight="1" x14ac:dyDescent="0.25">
      <c r="A58" s="227">
        <f>'Unit Data from Audit Worksheet'!A65</f>
        <v>20</v>
      </c>
      <c r="B58" s="237" t="str">
        <f>'Unit Data from Audit Worksheet'!C65</f>
        <v>General Fund-Rev, Exp. Change in Fund Balance</v>
      </c>
      <c r="C58" s="225" t="str">
        <f>'Unit Data from Audit Worksheet'!D65</f>
        <v>Total Transfers out    (Preference is that transfers-in  are not netted against transfers-out)</v>
      </c>
      <c r="D58" s="643"/>
      <c r="E58" s="697">
        <f>'Unit Data from Audit Worksheet'!F65</f>
        <v>0</v>
      </c>
      <c r="F58" s="216">
        <f t="shared" si="8"/>
        <v>0</v>
      </c>
      <c r="G58" s="287"/>
      <c r="H58" s="208">
        <f>'Unit Data from Audit Worksheet'!I65</f>
        <v>0</v>
      </c>
      <c r="I58" s="637"/>
      <c r="J58" s="204">
        <v>20</v>
      </c>
      <c r="K58" s="197" t="s">
        <v>277</v>
      </c>
      <c r="L58" s="698">
        <f t="shared" si="7"/>
        <v>0</v>
      </c>
      <c r="P58" s="409"/>
      <c r="R58" s="632"/>
      <c r="W58" s="632" t="b">
        <f t="shared" si="0"/>
        <v>1</v>
      </c>
      <c r="X58" s="726">
        <f t="shared" si="1"/>
        <v>0</v>
      </c>
      <c r="Y58" s="726">
        <f t="shared" si="2"/>
        <v>0</v>
      </c>
      <c r="AA58" s="411"/>
    </row>
    <row r="59" spans="1:27" ht="54.75" customHeight="1" x14ac:dyDescent="0.25">
      <c r="A59" s="227">
        <f>'Unit Data from Audit Worksheet'!A66</f>
        <v>533</v>
      </c>
      <c r="B59" s="237" t="str">
        <f>'Unit Data from Audit Worksheet'!C66</f>
        <v>General Fund-Rev, Exp. Change in Fund Balance</v>
      </c>
      <c r="C59" s="225" t="str">
        <f>'Unit Data from Audit Worksheet'!D66</f>
        <v>Total Proceeds from all long-term debt issuances 
Exclude proceeds from refundings</v>
      </c>
      <c r="D59" s="643"/>
      <c r="E59" s="697">
        <f>'Unit Data from Audit Worksheet'!F66</f>
        <v>0</v>
      </c>
      <c r="F59" s="216">
        <f t="shared" si="8"/>
        <v>0</v>
      </c>
      <c r="G59" s="287"/>
      <c r="H59" s="208">
        <f>'Unit Data from Audit Worksheet'!I66</f>
        <v>0</v>
      </c>
      <c r="I59" s="637"/>
      <c r="J59" s="204">
        <v>533</v>
      </c>
      <c r="K59" s="214" t="s">
        <v>278</v>
      </c>
      <c r="L59" s="698">
        <f t="shared" si="7"/>
        <v>0</v>
      </c>
      <c r="P59" s="409"/>
      <c r="R59" s="632"/>
      <c r="W59" s="632" t="b">
        <f t="shared" si="0"/>
        <v>1</v>
      </c>
      <c r="X59" s="726">
        <f t="shared" si="1"/>
        <v>0</v>
      </c>
      <c r="Y59" s="726">
        <f t="shared" si="2"/>
        <v>0</v>
      </c>
      <c r="AA59" s="411"/>
    </row>
    <row r="60" spans="1:27" ht="54.75" customHeight="1" x14ac:dyDescent="0.25">
      <c r="A60" s="227">
        <f>'Unit Data from Audit Worksheet'!A67</f>
        <v>508</v>
      </c>
      <c r="B60" s="237" t="str">
        <f>'Unit Data from Audit Worksheet'!C67</f>
        <v>General Fund-Rev, Exp. Change in Fund Balance</v>
      </c>
      <c r="C60" s="225" t="str">
        <f>'Unit Data from Audit Worksheet'!D67</f>
        <v>Debt Refunding - Net refunding proceeds against debt payoff and if positive place results on this line.</v>
      </c>
      <c r="D60" s="643"/>
      <c r="E60" s="697">
        <f>'Unit Data from Audit Worksheet'!F67</f>
        <v>0</v>
      </c>
      <c r="F60" s="216">
        <f t="shared" si="8"/>
        <v>0</v>
      </c>
      <c r="G60" s="287"/>
      <c r="H60" s="208">
        <f>'Unit Data from Audit Worksheet'!I67</f>
        <v>0</v>
      </c>
      <c r="I60" s="637"/>
      <c r="J60" s="204">
        <v>508</v>
      </c>
      <c r="K60" s="197" t="s">
        <v>280</v>
      </c>
      <c r="L60" s="698">
        <f t="shared" si="7"/>
        <v>0</v>
      </c>
      <c r="P60" s="409"/>
      <c r="R60" s="632"/>
      <c r="W60" s="632" t="b">
        <f t="shared" si="0"/>
        <v>1</v>
      </c>
      <c r="X60" s="726">
        <f t="shared" si="1"/>
        <v>0</v>
      </c>
      <c r="Y60" s="726">
        <f t="shared" si="2"/>
        <v>0</v>
      </c>
      <c r="AA60" s="411"/>
    </row>
    <row r="61" spans="1:27" ht="54.75" customHeight="1" x14ac:dyDescent="0.25">
      <c r="A61" s="227">
        <f>'Unit Data from Audit Worksheet'!A68</f>
        <v>509</v>
      </c>
      <c r="B61" s="237" t="str">
        <f>'Unit Data from Audit Worksheet'!C68</f>
        <v>General Fund-Rev, Exp. Change in Fund Balance</v>
      </c>
      <c r="C61" s="225" t="str">
        <f>'Unit Data from Audit Worksheet'!D68</f>
        <v>Debt Refunding - Net refunding proceeds against debt payoff and if negative place results on this line.</v>
      </c>
      <c r="D61" s="643"/>
      <c r="E61" s="697">
        <f>'Unit Data from Audit Worksheet'!F68</f>
        <v>0</v>
      </c>
      <c r="F61" s="216">
        <f t="shared" si="8"/>
        <v>0</v>
      </c>
      <c r="G61" s="287"/>
      <c r="H61" s="208">
        <f>'Unit Data from Audit Worksheet'!I68</f>
        <v>0</v>
      </c>
      <c r="I61" s="637"/>
      <c r="J61" s="204">
        <v>509</v>
      </c>
      <c r="K61" s="197" t="s">
        <v>281</v>
      </c>
      <c r="L61" s="698">
        <f t="shared" si="7"/>
        <v>0</v>
      </c>
      <c r="P61" s="409"/>
      <c r="R61" s="632"/>
      <c r="W61" s="632" t="b">
        <f t="shared" si="0"/>
        <v>1</v>
      </c>
      <c r="X61" s="726">
        <f t="shared" si="1"/>
        <v>0</v>
      </c>
      <c r="Y61" s="726">
        <f t="shared" si="2"/>
        <v>0</v>
      </c>
      <c r="AA61" s="411"/>
    </row>
    <row r="62" spans="1:27" ht="84.75" customHeight="1" x14ac:dyDescent="0.25">
      <c r="A62" s="227">
        <f>'Unit Data from Audit Worksheet'!A69</f>
        <v>22</v>
      </c>
      <c r="B62" s="237" t="str">
        <f>'Unit Data from Audit Worksheet'!C69</f>
        <v>General Fund-Rev, Exp. Change in Fund Balance</v>
      </c>
      <c r="C62" s="225" t="str">
        <f>'Unit Data from Audit Worksheet'!D69</f>
        <v xml:space="preserve">All other items on this statement that were not included in total revenues, total expenditures, transfers in or out, or proceeds from long-term debt above.  </v>
      </c>
      <c r="D62" s="643"/>
      <c r="E62" s="697">
        <f>'Unit Data from Audit Worksheet'!F69</f>
        <v>0</v>
      </c>
      <c r="F62" s="216"/>
      <c r="G62" s="287"/>
      <c r="H62" s="208">
        <f>'Unit Data from Audit Worksheet'!I69</f>
        <v>0</v>
      </c>
      <c r="I62" s="637"/>
      <c r="J62" s="204">
        <v>22</v>
      </c>
      <c r="K62" s="197" t="s">
        <v>279</v>
      </c>
      <c r="L62" s="698">
        <f t="shared" si="7"/>
        <v>0</v>
      </c>
      <c r="P62" s="409"/>
      <c r="R62" s="632"/>
      <c r="W62" s="632" t="b">
        <f t="shared" si="0"/>
        <v>1</v>
      </c>
      <c r="X62" s="726">
        <f t="shared" si="1"/>
        <v>0</v>
      </c>
      <c r="Y62" s="726">
        <f t="shared" si="2"/>
        <v>0</v>
      </c>
      <c r="AA62" s="411"/>
    </row>
    <row r="63" spans="1:27" ht="74.25" customHeight="1" x14ac:dyDescent="0.25">
      <c r="A63" s="227">
        <f>'Unit Data from Audit Worksheet'!A70</f>
        <v>23</v>
      </c>
      <c r="B63" s="237" t="str">
        <f>'Unit Data from Audit Worksheet'!C70</f>
        <v>General Fund-Rev, Exp. Change in Fund Balance</v>
      </c>
      <c r="C63" s="225" t="str">
        <f>'Unit Data from Audit Worksheet'!D70</f>
        <v>Change in fund balance - (Increase in Fund balance is recorded as a positive and a decrease in fund balance is recorded as a negative)</v>
      </c>
      <c r="D63" s="643"/>
      <c r="E63" s="697">
        <f>'Unit Data from Audit Worksheet'!F70</f>
        <v>0</v>
      </c>
      <c r="F63" s="216">
        <f>IF(+L54-L56+L57-L58+L59+L60-L61+L62-L63=0,,"Error:Total revenues less toal Expenditures do not equal change in fund balance")</f>
        <v>0</v>
      </c>
      <c r="G63" s="344">
        <f>+L54-L56+L57-L58+L59+L62+L60-L61-L63</f>
        <v>0</v>
      </c>
      <c r="H63" s="208">
        <f>'Unit Data from Audit Worksheet'!I70</f>
        <v>0</v>
      </c>
      <c r="I63" s="637"/>
      <c r="J63" s="204">
        <v>23</v>
      </c>
      <c r="K63" s="197" t="s">
        <v>282</v>
      </c>
      <c r="L63" s="698">
        <f t="shared" si="7"/>
        <v>0</v>
      </c>
      <c r="P63" s="409"/>
      <c r="Q63" s="328">
        <f>IF(G63&lt;&gt;0,1,0)</f>
        <v>0</v>
      </c>
      <c r="R63" s="632"/>
      <c r="W63" s="632" t="b">
        <f t="shared" si="0"/>
        <v>1</v>
      </c>
      <c r="X63" s="726">
        <f t="shared" si="1"/>
        <v>0</v>
      </c>
      <c r="Y63" s="726">
        <f t="shared" si="2"/>
        <v>0</v>
      </c>
      <c r="AA63" s="411"/>
    </row>
    <row r="64" spans="1:27" ht="123" customHeight="1" x14ac:dyDescent="0.25">
      <c r="A64" s="444">
        <f>'Unit Data from Audit Worksheet'!A72</f>
        <v>507</v>
      </c>
      <c r="B64" s="445" t="str">
        <f>'Unit Data from Audit Worksheet'!C72</f>
        <v>General Fund-Rev, Exp. Change in Fund Balance</v>
      </c>
      <c r="C64" s="446" t="str">
        <f>'Unit Data from Audit Worksheet'!D72</f>
        <v>Any adjustment to beginning fund balance including rounding, prior period adjustments and restatements.   (Amounts that increase fund balance are recorded as positive and amounts that decrease fund balance are recorded as negative)</v>
      </c>
      <c r="D64" s="437"/>
      <c r="E64" s="704">
        <f>'Unit Data from Audit Worksheet'!F72</f>
        <v>0</v>
      </c>
      <c r="F64" s="438" t="e">
        <f>IF(+L51-L63-L64=O51,,"Error: Beginning Fund Bal does not equal our records Accts 9-23-507= PY9")</f>
        <v>#N/A</v>
      </c>
      <c r="G64" s="452" t="e">
        <f>L51-L63-L64-O51</f>
        <v>#N/A</v>
      </c>
      <c r="H64" s="440">
        <f>'Unit Data from Audit Worksheet'!I72</f>
        <v>0</v>
      </c>
      <c r="I64" s="637"/>
      <c r="J64" s="404">
        <v>507</v>
      </c>
      <c r="K64" s="209" t="s">
        <v>283</v>
      </c>
      <c r="L64" s="684">
        <f t="shared" si="7"/>
        <v>0</v>
      </c>
      <c r="N64" s="433"/>
      <c r="O64" s="188"/>
      <c r="P64" s="409"/>
      <c r="Q64" s="328" t="e">
        <f>IF(G64&lt;&gt;0,1,0)</f>
        <v>#N/A</v>
      </c>
      <c r="R64" s="632"/>
      <c r="W64" s="632" t="b">
        <f t="shared" si="0"/>
        <v>1</v>
      </c>
      <c r="X64" s="726">
        <f t="shared" si="1"/>
        <v>0</v>
      </c>
      <c r="Y64" s="726">
        <f t="shared" si="2"/>
        <v>0</v>
      </c>
      <c r="AA64" s="411"/>
    </row>
    <row r="65" spans="1:27" s="633" customFormat="1" ht="40.5" customHeight="1" x14ac:dyDescent="0.25">
      <c r="A65" s="480">
        <f>'Unit Data from Audit Worksheet'!A73</f>
        <v>647</v>
      </c>
      <c r="B65" s="481" t="str">
        <f>'Unit Data from Audit Worksheet'!C73</f>
        <v>Debt Service Fund</v>
      </c>
      <c r="C65" s="480" t="str">
        <f>'Unit Data from Audit Worksheet'!D73</f>
        <v>Please enter the Total Fund Balance for any Debt Service Funds</v>
      </c>
      <c r="D65" s="443"/>
      <c r="E65" s="703">
        <f>'Unit Data from Audit Worksheet'!F73</f>
        <v>0</v>
      </c>
      <c r="F65" s="482"/>
      <c r="G65" s="908"/>
      <c r="H65" s="482">
        <f>'Unit Data from Audit Worksheet'!I73</f>
        <v>0</v>
      </c>
      <c r="I65" s="663"/>
      <c r="J65" s="484">
        <v>647</v>
      </c>
      <c r="K65" s="485" t="s">
        <v>891</v>
      </c>
      <c r="L65" s="680">
        <f t="shared" si="7"/>
        <v>0</v>
      </c>
      <c r="M65" s="905"/>
      <c r="N65" s="905"/>
      <c r="O65" s="909"/>
      <c r="P65" s="906"/>
      <c r="Q65" s="907"/>
      <c r="S65" s="905"/>
      <c r="T65" s="905"/>
      <c r="U65" s="905"/>
      <c r="V65" s="905"/>
      <c r="W65" s="633" t="b">
        <f t="shared" si="0"/>
        <v>1</v>
      </c>
      <c r="X65" s="368">
        <f t="shared" si="1"/>
        <v>0</v>
      </c>
      <c r="Y65" s="368">
        <f t="shared" si="2"/>
        <v>0</v>
      </c>
    </row>
    <row r="66" spans="1:27" ht="60" customHeight="1" x14ac:dyDescent="0.25">
      <c r="A66" s="222">
        <f>'Unit Data from Audit Worksheet'!A75</f>
        <v>171</v>
      </c>
      <c r="B66" s="240" t="str">
        <f>'Unit Data from Audit Worksheet'!C75</f>
        <v>Fund Statements - all Governmental Funds</v>
      </c>
      <c r="C66" s="217" t="str">
        <f>'Unit Data from Audit Worksheet'!D75</f>
        <v>Debt service expenditures from all governmental funds.  Include principal, interest paid, and debt issuance costs on long-term debt.</v>
      </c>
      <c r="D66" s="643"/>
      <c r="E66" s="695">
        <f>'Unit Data from Audit Worksheet'!F75</f>
        <v>0</v>
      </c>
      <c r="F66" s="221">
        <f>IF(L66&lt;0,"Error: Enter as a positive.",)</f>
        <v>0</v>
      </c>
      <c r="G66" s="286"/>
      <c r="H66" s="208">
        <f>'Unit Data from Audit Worksheet'!I75</f>
        <v>0</v>
      </c>
      <c r="I66" s="637"/>
      <c r="J66" s="205">
        <v>171</v>
      </c>
      <c r="K66" s="232" t="s">
        <v>284</v>
      </c>
      <c r="L66" s="707">
        <f t="shared" si="7"/>
        <v>0</v>
      </c>
      <c r="P66" s="409"/>
      <c r="R66" s="632"/>
      <c r="W66" s="632" t="b">
        <f t="shared" si="0"/>
        <v>1</v>
      </c>
      <c r="X66" s="726">
        <f t="shared" si="1"/>
        <v>0</v>
      </c>
      <c r="Y66" s="726">
        <f t="shared" si="2"/>
        <v>0</v>
      </c>
      <c r="AA66" s="411"/>
    </row>
    <row r="67" spans="1:27" s="226" customFormat="1" ht="60" customHeight="1" x14ac:dyDescent="0.25">
      <c r="A67" s="227">
        <f>'Unit Data from Audit Worksheet'!A79</f>
        <v>596</v>
      </c>
      <c r="B67" s="237"/>
      <c r="C67" s="245" t="str">
        <f>'Unit Data from Audit Worksheet'!D79</f>
        <v>Indicate if your water/sewer system:
50 - Became Operational
51 - Ceased Operations
52 - No Change</v>
      </c>
      <c r="D67" s="643"/>
      <c r="E67" s="697">
        <f>'Unit Data from Audit Worksheet'!F79</f>
        <v>0</v>
      </c>
      <c r="F67" s="297"/>
      <c r="G67" s="297"/>
      <c r="H67" s="208">
        <f>'Unit Data from Audit Worksheet'!I79</f>
        <v>0</v>
      </c>
      <c r="I67" s="637"/>
      <c r="J67" s="204">
        <v>596</v>
      </c>
      <c r="K67" s="197" t="s">
        <v>716</v>
      </c>
      <c r="L67" s="698">
        <f t="shared" si="7"/>
        <v>0</v>
      </c>
      <c r="P67" s="409"/>
      <c r="Q67" s="328"/>
      <c r="R67" s="632"/>
      <c r="W67" s="632" t="b">
        <f t="shared" si="0"/>
        <v>1</v>
      </c>
      <c r="X67" s="726">
        <f t="shared" si="1"/>
        <v>0</v>
      </c>
      <c r="Y67" s="726">
        <f t="shared" si="2"/>
        <v>0</v>
      </c>
      <c r="AA67" s="411"/>
    </row>
    <row r="68" spans="1:27" ht="45" x14ac:dyDescent="0.25">
      <c r="A68" s="227">
        <f>'Unit Data from Audit Worksheet'!A80</f>
        <v>80</v>
      </c>
      <c r="B68" s="237" t="str">
        <f>'Unit Data from Audit Worksheet'!C80</f>
        <v>Water Sewer Net Position Statement</v>
      </c>
      <c r="C68" s="225" t="str">
        <f>'Unit Data from Audit Worksheet'!D80</f>
        <v>Unrestricted Cash and investments 
Exclude restricted cash and/or restricted investments.</v>
      </c>
      <c r="D68" s="643"/>
      <c r="E68" s="697">
        <f>'Unit Data from Audit Worksheet'!F80</f>
        <v>0</v>
      </c>
      <c r="F68" s="216">
        <f>IF(L68&lt;0,"Error: Number is normally positive.",)</f>
        <v>0</v>
      </c>
      <c r="G68" s="216" t="e">
        <f>'Unit Data from Audit Worksheet'!G80</f>
        <v>#N/A</v>
      </c>
      <c r="H68" s="208">
        <f>'Unit Data from Audit Worksheet'!I80</f>
        <v>0</v>
      </c>
      <c r="I68" s="637"/>
      <c r="J68" s="204">
        <v>80</v>
      </c>
      <c r="K68" s="197" t="s">
        <v>285</v>
      </c>
      <c r="L68" s="698">
        <f t="shared" si="7"/>
        <v>0</v>
      </c>
      <c r="P68" s="409"/>
      <c r="R68" s="632"/>
      <c r="W68" s="632" t="b">
        <f t="shared" si="0"/>
        <v>1</v>
      </c>
      <c r="X68" s="726">
        <f t="shared" si="1"/>
        <v>0</v>
      </c>
      <c r="Y68" s="726">
        <f t="shared" si="2"/>
        <v>0</v>
      </c>
      <c r="AA68" s="411"/>
    </row>
    <row r="69" spans="1:27" ht="60" x14ac:dyDescent="0.25">
      <c r="A69" s="227">
        <f>'Unit Data from Audit Worksheet'!A81</f>
        <v>81</v>
      </c>
      <c r="B69" s="237" t="str">
        <f>'Unit Data from Audit Worksheet'!C81</f>
        <v>Water Sewer Net Position Statement</v>
      </c>
      <c r="C69" s="225" t="str">
        <f>'Unit Data from Audit Worksheet'!D81</f>
        <v>Customer accounts receivable (net of allowance accounts). 
Include both billed and unbilled amounts.</v>
      </c>
      <c r="D69" s="643"/>
      <c r="E69" s="697">
        <f>'Unit Data from Audit Worksheet'!F81</f>
        <v>0</v>
      </c>
      <c r="F69" s="216">
        <f>IF(L69&lt;0,"Error: Number is normally positive.",)</f>
        <v>0</v>
      </c>
      <c r="G69" s="287"/>
      <c r="H69" s="208">
        <f>'Unit Data from Audit Worksheet'!I81</f>
        <v>0</v>
      </c>
      <c r="I69" s="637"/>
      <c r="J69" s="204">
        <v>81</v>
      </c>
      <c r="K69" s="197" t="s">
        <v>286</v>
      </c>
      <c r="L69" s="698">
        <f t="shared" si="7"/>
        <v>0</v>
      </c>
      <c r="P69" s="409"/>
      <c r="R69" s="632"/>
      <c r="W69" s="632" t="b">
        <f t="shared" ref="W69:W132" si="9">EXACT(A69,J69)</f>
        <v>1</v>
      </c>
      <c r="X69" s="726">
        <f t="shared" ref="X69:X132" si="10">E69-L69</f>
        <v>0</v>
      </c>
      <c r="Y69" s="726">
        <f t="shared" ref="Y69:Y132" si="11">D69-L69</f>
        <v>0</v>
      </c>
      <c r="AA69" s="411"/>
    </row>
    <row r="70" spans="1:27" s="226" customFormat="1" ht="68.25" customHeight="1" x14ac:dyDescent="0.25">
      <c r="A70" s="335">
        <f>'Unit Data from Audit Worksheet'!A82</f>
        <v>579</v>
      </c>
      <c r="B70" s="336" t="str">
        <f>'Unit Data from Audit Worksheet'!C82</f>
        <v>Water Sewer Net Position Statement</v>
      </c>
      <c r="C70" s="334" t="str">
        <f>'Unit Data from Audit Worksheet'!D82</f>
        <v>Water Sewer - Advance To:
Interfund loan receivable-portion of repayment plan longer than 12 months</v>
      </c>
      <c r="D70" s="643"/>
      <c r="E70" s="697">
        <f>'Unit Data from Audit Worksheet'!F82</f>
        <v>0</v>
      </c>
      <c r="F70" s="216"/>
      <c r="G70" s="287"/>
      <c r="H70" s="208"/>
      <c r="I70" s="637"/>
      <c r="J70" s="333">
        <v>579</v>
      </c>
      <c r="K70" s="332" t="s">
        <v>661</v>
      </c>
      <c r="L70" s="698">
        <f t="shared" si="7"/>
        <v>0</v>
      </c>
      <c r="N70" s="3" t="s">
        <v>775</v>
      </c>
      <c r="P70" s="409"/>
      <c r="Q70" s="328"/>
      <c r="R70" s="632"/>
      <c r="W70" s="632" t="b">
        <f t="shared" si="9"/>
        <v>1</v>
      </c>
      <c r="X70" s="726">
        <f t="shared" si="10"/>
        <v>0</v>
      </c>
      <c r="Y70" s="726">
        <f t="shared" si="11"/>
        <v>0</v>
      </c>
      <c r="AA70" s="411"/>
    </row>
    <row r="71" spans="1:27" ht="47.25" customHeight="1" x14ac:dyDescent="0.25">
      <c r="A71" s="227">
        <f>'Unit Data from Audit Worksheet'!A83</f>
        <v>510</v>
      </c>
      <c r="B71" s="237" t="str">
        <f>'Unit Data from Audit Worksheet'!C83</f>
        <v>Water Sewer Net Position Statement</v>
      </c>
      <c r="C71" s="225" t="str">
        <f>'Unit Data from Audit Worksheet'!D83</f>
        <v>Amount of Inventories and Prepaid expenses in current assets</v>
      </c>
      <c r="D71" s="643"/>
      <c r="E71" s="697">
        <f>'Unit Data from Audit Worksheet'!F83</f>
        <v>0</v>
      </c>
      <c r="F71" s="216"/>
      <c r="G71" s="287"/>
      <c r="H71" s="208">
        <f>'Unit Data from Audit Worksheet'!I83</f>
        <v>0</v>
      </c>
      <c r="I71" s="637"/>
      <c r="J71" s="204">
        <v>510</v>
      </c>
      <c r="K71" s="197" t="s">
        <v>287</v>
      </c>
      <c r="L71" s="698">
        <f t="shared" si="7"/>
        <v>0</v>
      </c>
      <c r="P71" s="409"/>
      <c r="R71" s="632"/>
      <c r="W71" s="632" t="b">
        <f t="shared" si="9"/>
        <v>1</v>
      </c>
      <c r="X71" s="726">
        <f t="shared" si="10"/>
        <v>0</v>
      </c>
      <c r="Y71" s="726">
        <f t="shared" si="11"/>
        <v>0</v>
      </c>
      <c r="AA71" s="411"/>
    </row>
    <row r="72" spans="1:27" ht="45" x14ac:dyDescent="0.25">
      <c r="A72" s="227">
        <f>'Unit Data from Audit Worksheet'!A84</f>
        <v>654</v>
      </c>
      <c r="B72" s="237" t="str">
        <f>'Unit Data from Audit Worksheet'!C84</f>
        <v>Water Sewer Net Position Statement</v>
      </c>
      <c r="C72" s="225" t="str">
        <f>'Unit Data from Audit Worksheet'!D84</f>
        <v xml:space="preserve">Total Current assets as listed on the WS Net Position Statement.  
</v>
      </c>
      <c r="D72" s="643"/>
      <c r="E72" s="697">
        <f>'Unit Data from Audit Worksheet'!F84</f>
        <v>0</v>
      </c>
      <c r="F72" s="216">
        <f>IF((+L68+L69+L71)&gt;L72,"Please review components of current assets above Acct. (80+81+510&gt;654",)</f>
        <v>0</v>
      </c>
      <c r="G72" s="327" t="str">
        <f>IF(Q72=1," Included in error count"," ")</f>
        <v xml:space="preserve"> </v>
      </c>
      <c r="H72" s="208">
        <f>'Unit Data from Audit Worksheet'!I84</f>
        <v>0</v>
      </c>
      <c r="I72" s="637"/>
      <c r="J72" s="204">
        <v>654</v>
      </c>
      <c r="K72" s="649" t="s">
        <v>968</v>
      </c>
      <c r="L72" s="698">
        <f t="shared" si="7"/>
        <v>0</v>
      </c>
      <c r="P72" s="409"/>
      <c r="Q72" s="328">
        <f>IF((+L68+L69+L71)&gt;L72,1,0)</f>
        <v>0</v>
      </c>
      <c r="R72" s="632"/>
      <c r="W72" s="632" t="b">
        <f t="shared" si="9"/>
        <v>1</v>
      </c>
      <c r="X72" s="726">
        <f t="shared" si="10"/>
        <v>0</v>
      </c>
      <c r="Y72" s="726">
        <f t="shared" si="11"/>
        <v>0</v>
      </c>
      <c r="AA72" s="411"/>
    </row>
    <row r="73" spans="1:27" s="632" customFormat="1" ht="45" x14ac:dyDescent="0.25">
      <c r="A73" s="642">
        <f>'Unit Data from Audit Worksheet'!A85</f>
        <v>655</v>
      </c>
      <c r="B73" s="644" t="str">
        <f>'Unit Data from Audit Worksheet'!C85</f>
        <v>Water Sewer Net Position Statement</v>
      </c>
      <c r="C73" s="641" t="str">
        <f>'Unit Data from Audit Worksheet'!D85</f>
        <v>WS-Any current assets that are restricted (Cash, Accounts Rec., etc..) and included in account 654 above</v>
      </c>
      <c r="D73" s="643"/>
      <c r="E73" s="697">
        <f>'Unit Data from Audit Worksheet'!F85</f>
        <v>0</v>
      </c>
      <c r="F73" s="640"/>
      <c r="G73" s="645"/>
      <c r="H73" s="639"/>
      <c r="I73" s="637"/>
      <c r="J73" s="638">
        <v>655</v>
      </c>
      <c r="K73" s="649" t="s">
        <v>1208</v>
      </c>
      <c r="L73" s="698">
        <f t="shared" si="7"/>
        <v>0</v>
      </c>
      <c r="P73" s="409"/>
      <c r="Q73" s="646"/>
      <c r="W73" s="632" t="b">
        <f t="shared" si="9"/>
        <v>1</v>
      </c>
      <c r="X73" s="726">
        <f t="shared" si="10"/>
        <v>0</v>
      </c>
      <c r="Y73" s="726">
        <f t="shared" si="11"/>
        <v>0</v>
      </c>
    </row>
    <row r="74" spans="1:27" ht="42.75" customHeight="1" x14ac:dyDescent="0.25">
      <c r="A74" s="227">
        <f>'Unit Data from Audit Worksheet'!A86</f>
        <v>381</v>
      </c>
      <c r="B74" s="237" t="str">
        <f>'Unit Data from Audit Worksheet'!C86</f>
        <v>Water Sewer Net Position Statement</v>
      </c>
      <c r="C74" s="225" t="str">
        <f>'Unit Data from Audit Worksheet'!D86</f>
        <v>Total Assets and deferred outflows</v>
      </c>
      <c r="D74" s="643"/>
      <c r="E74" s="697">
        <f>'Unit Data from Audit Worksheet'!F86</f>
        <v>0</v>
      </c>
      <c r="F74" s="216" t="str">
        <f>IF(L74&lt;L72,"Please review components of current assets above acct. 381&lt;654"," ")</f>
        <v xml:space="preserve"> </v>
      </c>
      <c r="G74" s="327" t="str">
        <f>IF(Q74=1," Included in error count"," ")</f>
        <v xml:space="preserve"> </v>
      </c>
      <c r="H74" s="208">
        <f>'Unit Data from Audit Worksheet'!I86</f>
        <v>0</v>
      </c>
      <c r="I74" s="637"/>
      <c r="J74" s="204">
        <v>381</v>
      </c>
      <c r="K74" s="197" t="s">
        <v>120</v>
      </c>
      <c r="L74" s="698">
        <f t="shared" si="7"/>
        <v>0</v>
      </c>
      <c r="P74" s="409"/>
      <c r="Q74" s="328">
        <f>IF(L74&lt;L72,1,0)</f>
        <v>0</v>
      </c>
      <c r="R74" s="632"/>
      <c r="W74" s="632" t="b">
        <f t="shared" si="9"/>
        <v>1</v>
      </c>
      <c r="X74" s="726">
        <f t="shared" si="10"/>
        <v>0</v>
      </c>
      <c r="Y74" s="726">
        <f t="shared" si="11"/>
        <v>0</v>
      </c>
      <c r="AA74" s="411"/>
    </row>
    <row r="75" spans="1:27" s="226" customFormat="1" ht="60.75" customHeight="1" x14ac:dyDescent="0.25">
      <c r="A75" s="444">
        <f>'Unit Data from Audit Worksheet'!A87</f>
        <v>578</v>
      </c>
      <c r="B75" s="445" t="str">
        <f>'Unit Data from Audit Worksheet'!C87</f>
        <v>Water Sewer Net Position Statement</v>
      </c>
      <c r="C75" s="446" t="str">
        <f>'Unit Data from Audit Worksheet'!D87</f>
        <v>Water Sewer - Advance From: 
Interfund loan Payable-portion of repayment plan longer than 12 months</v>
      </c>
      <c r="D75" s="437"/>
      <c r="E75" s="704">
        <f>'Unit Data from Audit Worksheet'!F87</f>
        <v>0</v>
      </c>
      <c r="F75" s="438"/>
      <c r="G75" s="439"/>
      <c r="H75" s="440"/>
      <c r="I75" s="637"/>
      <c r="J75" s="404">
        <v>578</v>
      </c>
      <c r="K75" s="209" t="s">
        <v>662</v>
      </c>
      <c r="L75" s="684">
        <f t="shared" si="7"/>
        <v>0</v>
      </c>
      <c r="P75" s="409"/>
      <c r="Q75" s="329"/>
      <c r="R75" s="632"/>
      <c r="W75" s="632" t="b">
        <f t="shared" si="9"/>
        <v>1</v>
      </c>
      <c r="X75" s="726">
        <f t="shared" si="10"/>
        <v>0</v>
      </c>
      <c r="Y75" s="726">
        <f t="shared" si="11"/>
        <v>0</v>
      </c>
      <c r="AA75" s="411"/>
    </row>
    <row r="76" spans="1:27" s="633" customFormat="1" ht="104.25" customHeight="1" x14ac:dyDescent="0.25">
      <c r="A76" s="480">
        <v>633</v>
      </c>
      <c r="B76" s="481" t="str">
        <f>'Unit Data from Audit Worksheet'!C88</f>
        <v>Water Sewer Net Position Statement</v>
      </c>
      <c r="C76" s="480" t="str">
        <f>'Unit Data from Audit Worksheet'!D88</f>
        <v xml:space="preserve">Current liabilities (as reported on the Statement of Fund Net Position)
Include:   Current liabilities including current portion of long-term debt.  Deferred inflows should not be included in Current Liabilities  </v>
      </c>
      <c r="D76" s="437"/>
      <c r="E76" s="703">
        <f>'Unit Data from Audit Worksheet'!F88</f>
        <v>0</v>
      </c>
      <c r="F76" s="482"/>
      <c r="G76" s="483"/>
      <c r="H76" s="482"/>
      <c r="I76" s="663"/>
      <c r="J76" s="484">
        <v>633</v>
      </c>
      <c r="K76" s="485" t="s">
        <v>879</v>
      </c>
      <c r="L76" s="680">
        <f t="shared" si="7"/>
        <v>0</v>
      </c>
      <c r="M76" s="905"/>
      <c r="N76" s="905"/>
      <c r="O76" s="905"/>
      <c r="P76" s="906"/>
      <c r="Q76" s="907"/>
      <c r="S76" s="905"/>
      <c r="T76" s="905"/>
      <c r="U76" s="905"/>
      <c r="V76" s="905"/>
      <c r="W76" s="633" t="b">
        <f t="shared" si="9"/>
        <v>1</v>
      </c>
      <c r="X76" s="368">
        <f t="shared" si="10"/>
        <v>0</v>
      </c>
      <c r="Y76" s="368">
        <f t="shared" si="11"/>
        <v>0</v>
      </c>
    </row>
    <row r="77" spans="1:27" s="633" customFormat="1" ht="105.75" customHeight="1" x14ac:dyDescent="0.25">
      <c r="A77" s="480">
        <v>634</v>
      </c>
      <c r="B77" s="481" t="str">
        <f>'Unit Data from Audit Worksheet'!C89</f>
        <v>Water Sewer Net Position Statement</v>
      </c>
      <c r="C77" s="480" t="str">
        <f>'Unit Data from Audit Worksheet'!D89</f>
        <v>Please enter any bond anticipation notes that are classified as current liabilities and included in account 633 above (amounts entered should agree to the current amount included in the changes to long-term debt note)</v>
      </c>
      <c r="D77" s="437"/>
      <c r="E77" s="703">
        <f>'Unit Data from Audit Worksheet'!F89</f>
        <v>0</v>
      </c>
      <c r="F77" s="482"/>
      <c r="G77" s="483"/>
      <c r="H77" s="482"/>
      <c r="I77" s="663"/>
      <c r="J77" s="484">
        <v>634</v>
      </c>
      <c r="K77" s="485" t="s">
        <v>880</v>
      </c>
      <c r="L77" s="680">
        <f t="shared" si="7"/>
        <v>0</v>
      </c>
      <c r="M77" s="905"/>
      <c r="N77" s="905"/>
      <c r="O77" s="905"/>
      <c r="P77" s="906"/>
      <c r="Q77" s="907"/>
      <c r="S77" s="905"/>
      <c r="T77" s="905"/>
      <c r="U77" s="905"/>
      <c r="V77" s="905"/>
      <c r="W77" s="633" t="b">
        <f t="shared" si="9"/>
        <v>1</v>
      </c>
      <c r="X77" s="368">
        <f t="shared" si="10"/>
        <v>0</v>
      </c>
      <c r="Y77" s="368">
        <f t="shared" si="11"/>
        <v>0</v>
      </c>
    </row>
    <row r="78" spans="1:27" s="633" customFormat="1" ht="105.75" customHeight="1" x14ac:dyDescent="0.25">
      <c r="A78" s="480">
        <v>635</v>
      </c>
      <c r="B78" s="481" t="str">
        <f>'Unit Data from Audit Worksheet'!C90</f>
        <v>Water Sewer Net Position Statement</v>
      </c>
      <c r="C78" s="480" t="str">
        <f>'Unit Data from Audit Worksheet'!D90</f>
        <v>Please enter any compensated absences that are classified as current liabilities and included in account 633 above (amounts entered should agree to the current amount included in the changes to long-term debt note)</v>
      </c>
      <c r="D78" s="437"/>
      <c r="E78" s="703">
        <f>'Unit Data from Audit Worksheet'!F90</f>
        <v>0</v>
      </c>
      <c r="F78" s="482"/>
      <c r="G78" s="483"/>
      <c r="H78" s="482"/>
      <c r="I78" s="663"/>
      <c r="J78" s="484">
        <v>635</v>
      </c>
      <c r="K78" s="485" t="s">
        <v>881</v>
      </c>
      <c r="L78" s="680">
        <f t="shared" si="7"/>
        <v>0</v>
      </c>
      <c r="M78" s="905"/>
      <c r="N78" s="905"/>
      <c r="O78" s="905"/>
      <c r="P78" s="906"/>
      <c r="Q78" s="907"/>
      <c r="S78" s="905"/>
      <c r="T78" s="905"/>
      <c r="U78" s="905"/>
      <c r="V78" s="905"/>
      <c r="W78" s="633" t="b">
        <f t="shared" si="9"/>
        <v>1</v>
      </c>
      <c r="X78" s="368">
        <f t="shared" si="10"/>
        <v>0</v>
      </c>
      <c r="Y78" s="368">
        <f t="shared" si="11"/>
        <v>0</v>
      </c>
    </row>
    <row r="79" spans="1:27" s="633" customFormat="1" ht="105.75" customHeight="1" x14ac:dyDescent="0.25">
      <c r="A79" s="480">
        <v>636</v>
      </c>
      <c r="B79" s="481" t="str">
        <f>'Unit Data from Audit Worksheet'!C91</f>
        <v>Water Sewer Net Position Statement</v>
      </c>
      <c r="C79" s="480" t="str">
        <f>'Unit Data from Audit Worksheet'!D91</f>
        <v>Please enter any pension liabilities that are classified as current liabilities and included in account 633 above (amounts entered should agree to the current amount included in the changes to long-term debt note)</v>
      </c>
      <c r="D79" s="437"/>
      <c r="E79" s="703">
        <f>'Unit Data from Audit Worksheet'!F91</f>
        <v>0</v>
      </c>
      <c r="F79" s="482"/>
      <c r="G79" s="483"/>
      <c r="H79" s="482"/>
      <c r="I79" s="663"/>
      <c r="J79" s="484">
        <v>636</v>
      </c>
      <c r="K79" s="485" t="s">
        <v>876</v>
      </c>
      <c r="L79" s="680">
        <f t="shared" si="7"/>
        <v>0</v>
      </c>
      <c r="M79" s="905"/>
      <c r="N79" s="905"/>
      <c r="O79" s="905"/>
      <c r="P79" s="906"/>
      <c r="Q79" s="907"/>
      <c r="S79" s="905"/>
      <c r="T79" s="905"/>
      <c r="U79" s="905"/>
      <c r="V79" s="905"/>
      <c r="W79" s="633" t="b">
        <f t="shared" si="9"/>
        <v>1</v>
      </c>
      <c r="X79" s="368">
        <f t="shared" si="10"/>
        <v>0</v>
      </c>
      <c r="Y79" s="368">
        <f t="shared" si="11"/>
        <v>0</v>
      </c>
    </row>
    <row r="80" spans="1:27" s="633" customFormat="1" ht="59.25" customHeight="1" x14ac:dyDescent="0.25">
      <c r="A80" s="480">
        <v>637</v>
      </c>
      <c r="B80" s="481" t="str">
        <f>'Unit Data from Audit Worksheet'!C92</f>
        <v>Water Sewer Net Position Statement</v>
      </c>
      <c r="C80" s="480" t="str">
        <f>'Unit Data from Audit Worksheet'!D92</f>
        <v>Please enter any current liabilities that are payable from restricted assets and included in account 633 above.</v>
      </c>
      <c r="D80" s="437"/>
      <c r="E80" s="703">
        <f>'Unit Data from Audit Worksheet'!F92</f>
        <v>0</v>
      </c>
      <c r="F80" s="482"/>
      <c r="G80" s="483"/>
      <c r="H80" s="482"/>
      <c r="I80" s="663"/>
      <c r="J80" s="484">
        <v>637</v>
      </c>
      <c r="K80" s="485" t="s">
        <v>877</v>
      </c>
      <c r="L80" s="680">
        <f t="shared" si="7"/>
        <v>0</v>
      </c>
      <c r="M80" s="905"/>
      <c r="N80" s="905"/>
      <c r="O80" s="905"/>
      <c r="P80" s="906"/>
      <c r="Q80" s="907"/>
      <c r="S80" s="905"/>
      <c r="T80" s="905"/>
      <c r="U80" s="905"/>
      <c r="V80" s="905"/>
      <c r="W80" s="633" t="b">
        <f t="shared" si="9"/>
        <v>1</v>
      </c>
      <c r="X80" s="368">
        <f t="shared" si="10"/>
        <v>0</v>
      </c>
      <c r="Y80" s="368">
        <f t="shared" si="11"/>
        <v>0</v>
      </c>
    </row>
    <row r="81" spans="1:27" s="633" customFormat="1" ht="103.5" customHeight="1" x14ac:dyDescent="0.25">
      <c r="A81" s="480">
        <v>638</v>
      </c>
      <c r="B81" s="481" t="str">
        <f>'Unit Data from Audit Worksheet'!C93</f>
        <v>Water Sewer Net Position Statement</v>
      </c>
      <c r="C81" s="480" t="str">
        <f>'Unit Data from Audit Worksheet'!D93</f>
        <v>Please enter any OPEB liabilities that are classified as current liabilities and included in account 633 above (amounts entered should agree to the current amount included in the changes to long-term debt note)</v>
      </c>
      <c r="D81" s="437"/>
      <c r="E81" s="703">
        <f>'Unit Data from Audit Worksheet'!F93</f>
        <v>0</v>
      </c>
      <c r="F81" s="482"/>
      <c r="G81" s="483"/>
      <c r="H81" s="482"/>
      <c r="I81" s="663"/>
      <c r="J81" s="484">
        <v>638</v>
      </c>
      <c r="K81" s="485" t="s">
        <v>882</v>
      </c>
      <c r="L81" s="680">
        <f t="shared" si="7"/>
        <v>0</v>
      </c>
      <c r="M81" s="905"/>
      <c r="N81" s="905"/>
      <c r="O81" s="905"/>
      <c r="P81" s="906"/>
      <c r="Q81" s="907"/>
      <c r="S81" s="905"/>
      <c r="T81" s="905"/>
      <c r="U81" s="905"/>
      <c r="V81" s="905"/>
      <c r="W81" s="633" t="b">
        <f t="shared" si="9"/>
        <v>1</v>
      </c>
      <c r="X81" s="368">
        <f t="shared" si="10"/>
        <v>0</v>
      </c>
      <c r="Y81" s="368">
        <f t="shared" si="11"/>
        <v>0</v>
      </c>
    </row>
    <row r="82" spans="1:27" ht="76.5" customHeight="1" x14ac:dyDescent="0.25">
      <c r="A82" s="222">
        <f>'Unit Data from Audit Worksheet'!A94</f>
        <v>383</v>
      </c>
      <c r="B82" s="240" t="str">
        <f>'Unit Data from Audit Worksheet'!C94</f>
        <v>Water Sewer Net Position Statement</v>
      </c>
      <c r="C82" s="217" t="str">
        <f>'Unit Data from Audit Worksheet'!D94</f>
        <v>Unearned revenue (arising from cash receipts) that were included in Current Liabilities in the question in account 633 above.</v>
      </c>
      <c r="D82" s="643"/>
      <c r="E82" s="695">
        <f>'Unit Data from Audit Worksheet'!F94</f>
        <v>0</v>
      </c>
      <c r="F82" s="221">
        <f>IF(L82&lt;0,"Error: Enter as a positive.",)</f>
        <v>0</v>
      </c>
      <c r="G82" s="286"/>
      <c r="H82" s="208">
        <f>'Unit Data from Audit Worksheet'!I94</f>
        <v>0</v>
      </c>
      <c r="I82" s="637"/>
      <c r="J82" s="205">
        <v>383</v>
      </c>
      <c r="K82" s="232" t="s">
        <v>288</v>
      </c>
      <c r="L82" s="707">
        <f t="shared" si="7"/>
        <v>0</v>
      </c>
      <c r="P82" s="409"/>
      <c r="R82" s="632"/>
      <c r="W82" s="632" t="b">
        <f t="shared" si="9"/>
        <v>1</v>
      </c>
      <c r="X82" s="726">
        <f t="shared" si="10"/>
        <v>0</v>
      </c>
      <c r="Y82" s="726">
        <f t="shared" si="11"/>
        <v>0</v>
      </c>
      <c r="AA82" s="411"/>
    </row>
    <row r="83" spans="1:27" ht="54" customHeight="1" x14ac:dyDescent="0.25">
      <c r="A83" s="227">
        <f>'Unit Data from Audit Worksheet'!A95</f>
        <v>349</v>
      </c>
      <c r="B83" s="237" t="str">
        <f>'Unit Data from Audit Worksheet'!C95</f>
        <v>Water Sewer Net Position Statement</v>
      </c>
      <c r="C83" s="225" t="str">
        <f>'Unit Data from Audit Worksheet'!D95</f>
        <v>Total Liabilities and deferred inflows</v>
      </c>
      <c r="D83" s="643"/>
      <c r="E83" s="697">
        <f>'Unit Data from Audit Worksheet'!F95</f>
        <v>0</v>
      </c>
      <c r="F83" s="325">
        <f>IF(L76&gt;L83,"Error: Please review accts 633&gt;349",)</f>
        <v>0</v>
      </c>
      <c r="G83" s="327" t="str">
        <f>IF(Q83=1," Included in error count"," ")</f>
        <v xml:space="preserve"> </v>
      </c>
      <c r="H83" s="208">
        <f>'Unit Data from Audit Worksheet'!I95</f>
        <v>0</v>
      </c>
      <c r="I83" s="637"/>
      <c r="J83" s="204">
        <v>349</v>
      </c>
      <c r="K83" s="197" t="s">
        <v>129</v>
      </c>
      <c r="L83" s="698">
        <f t="shared" si="7"/>
        <v>0</v>
      </c>
      <c r="P83" s="409"/>
      <c r="Q83" s="328">
        <f>IF(L76&gt;L83,1,0)</f>
        <v>0</v>
      </c>
      <c r="R83" s="632"/>
      <c r="W83" s="632" t="b">
        <f t="shared" si="9"/>
        <v>1</v>
      </c>
      <c r="X83" s="726">
        <f t="shared" si="10"/>
        <v>0</v>
      </c>
      <c r="Y83" s="726">
        <f t="shared" si="11"/>
        <v>0</v>
      </c>
      <c r="AA83" s="411"/>
    </row>
    <row r="84" spans="1:27" ht="56.25" customHeight="1" x14ac:dyDescent="0.25">
      <c r="A84" s="227">
        <f>'Unit Data from Audit Worksheet'!A96</f>
        <v>375</v>
      </c>
      <c r="B84" s="237" t="str">
        <f>'Unit Data from Audit Worksheet'!C96</f>
        <v>Water Sewer Net Position Statement</v>
      </c>
      <c r="C84" s="225" t="str">
        <f>'Unit Data from Audit Worksheet'!D96</f>
        <v>Total Net position, Unrestricted - enter negative unrestricted net position as a negative</v>
      </c>
      <c r="D84" s="643"/>
      <c r="E84" s="697">
        <f>'Unit Data from Audit Worksheet'!F96</f>
        <v>0</v>
      </c>
      <c r="F84" s="216"/>
      <c r="G84" s="287"/>
      <c r="H84" s="208">
        <f>'Unit Data from Audit Worksheet'!I96</f>
        <v>0</v>
      </c>
      <c r="I84" s="637"/>
      <c r="J84" s="204">
        <v>375</v>
      </c>
      <c r="K84" s="197" t="s">
        <v>289</v>
      </c>
      <c r="L84" s="698">
        <f t="shared" si="7"/>
        <v>0</v>
      </c>
      <c r="P84" s="409"/>
      <c r="R84" s="632"/>
      <c r="W84" s="632" t="b">
        <f t="shared" si="9"/>
        <v>1</v>
      </c>
      <c r="X84" s="726">
        <f t="shared" si="10"/>
        <v>0</v>
      </c>
      <c r="Y84" s="726">
        <f t="shared" si="11"/>
        <v>0</v>
      </c>
      <c r="AA84" s="411"/>
    </row>
    <row r="85" spans="1:27" ht="56.25" customHeight="1" x14ac:dyDescent="0.25">
      <c r="A85" s="227">
        <f>'Unit Data from Audit Worksheet'!A97</f>
        <v>83</v>
      </c>
      <c r="B85" s="237" t="str">
        <f>'Unit Data from Audit Worksheet'!C97</f>
        <v>Water Sewer Net Position Statement</v>
      </c>
      <c r="C85" s="225" t="str">
        <f>'Unit Data from Audit Worksheet'!D97</f>
        <v>Total Net position</v>
      </c>
      <c r="D85" s="643"/>
      <c r="E85" s="697">
        <f>'Unit Data from Audit Worksheet'!F97</f>
        <v>0</v>
      </c>
      <c r="F85" s="216">
        <f>IF(+L74-L83-L85=0,,"Error: Total assets less total liabilities do not equal net position acct 381-349-83=0")</f>
        <v>0</v>
      </c>
      <c r="G85" s="344">
        <f>L74-L83-L85</f>
        <v>0</v>
      </c>
      <c r="H85" s="208">
        <f>'Unit Data from Audit Worksheet'!I97</f>
        <v>0</v>
      </c>
      <c r="I85" s="637"/>
      <c r="J85" s="204">
        <v>83</v>
      </c>
      <c r="K85" s="197" t="s">
        <v>109</v>
      </c>
      <c r="L85" s="698">
        <f t="shared" si="7"/>
        <v>0</v>
      </c>
      <c r="O85" s="188" t="e">
        <f>'Unit Data from Audit Worksheet'!E97</f>
        <v>#N/A</v>
      </c>
      <c r="P85" s="409"/>
      <c r="Q85" s="328">
        <f>IF(G85&lt;&gt;0,1,0)</f>
        <v>0</v>
      </c>
      <c r="R85" s="632"/>
      <c r="W85" s="632" t="b">
        <f t="shared" si="9"/>
        <v>1</v>
      </c>
      <c r="X85" s="726">
        <f t="shared" si="10"/>
        <v>0</v>
      </c>
      <c r="Y85" s="726">
        <f t="shared" si="11"/>
        <v>0</v>
      </c>
      <c r="AA85" s="411"/>
    </row>
    <row r="86" spans="1:27" ht="56.25" customHeight="1" x14ac:dyDescent="0.25">
      <c r="A86" s="227">
        <f>'Unit Data from Audit Worksheet'!A99</f>
        <v>90</v>
      </c>
      <c r="B86" s="237" t="str">
        <f>'Unit Data from Audit Worksheet'!C99</f>
        <v>Electric Fund Net Position Statement</v>
      </c>
      <c r="C86" s="225" t="str">
        <f>'Unit Data from Audit Worksheet'!D99</f>
        <v>All Unrestricted Cash and Investments.  
Exclude any restricted cash and investments.</v>
      </c>
      <c r="D86" s="643"/>
      <c r="E86" s="697">
        <f>'Unit Data from Audit Worksheet'!F99</f>
        <v>0</v>
      </c>
      <c r="F86" s="216">
        <f>IF(L86&lt;0,"Error: Number is normally positive.",)</f>
        <v>0</v>
      </c>
      <c r="G86" s="287"/>
      <c r="H86" s="208">
        <f>'Unit Data from Audit Worksheet'!I99</f>
        <v>0</v>
      </c>
      <c r="I86" s="637"/>
      <c r="J86" s="204">
        <v>90</v>
      </c>
      <c r="K86" s="197" t="s">
        <v>290</v>
      </c>
      <c r="L86" s="698">
        <f t="shared" si="7"/>
        <v>0</v>
      </c>
      <c r="P86" s="409"/>
      <c r="R86" s="632"/>
      <c r="W86" s="632" t="b">
        <f t="shared" si="9"/>
        <v>1</v>
      </c>
      <c r="X86" s="726">
        <f t="shared" si="10"/>
        <v>0</v>
      </c>
      <c r="Y86" s="726">
        <f t="shared" si="11"/>
        <v>0</v>
      </c>
      <c r="AA86" s="411"/>
    </row>
    <row r="87" spans="1:27" ht="56.25" customHeight="1" x14ac:dyDescent="0.25">
      <c r="A87" s="227">
        <f>'Unit Data from Audit Worksheet'!A100</f>
        <v>91</v>
      </c>
      <c r="B87" s="237" t="str">
        <f>'Unit Data from Audit Worksheet'!C100</f>
        <v>Electric Fund Net Position Statement</v>
      </c>
      <c r="C87" s="225" t="str">
        <f>'Unit Data from Audit Worksheet'!D100</f>
        <v xml:space="preserve">Customer accounts receivable (net of allowance accounts)
Include billed and unbilled amounts </v>
      </c>
      <c r="D87" s="643"/>
      <c r="E87" s="697">
        <f>'Unit Data from Audit Worksheet'!F100</f>
        <v>0</v>
      </c>
      <c r="F87" s="216">
        <f>IF(L87&lt;0,"Error: Number is normally positive.",)</f>
        <v>0</v>
      </c>
      <c r="G87" s="287"/>
      <c r="H87" s="208">
        <f>'Unit Data from Audit Worksheet'!I100</f>
        <v>0</v>
      </c>
      <c r="I87" s="637"/>
      <c r="J87" s="204">
        <v>91</v>
      </c>
      <c r="K87" s="197" t="s">
        <v>291</v>
      </c>
      <c r="L87" s="698">
        <f t="shared" si="7"/>
        <v>0</v>
      </c>
      <c r="P87" s="409"/>
      <c r="R87" s="632"/>
      <c r="W87" s="632" t="b">
        <f t="shared" si="9"/>
        <v>1</v>
      </c>
      <c r="X87" s="726">
        <f t="shared" si="10"/>
        <v>0</v>
      </c>
      <c r="Y87" s="726">
        <f t="shared" si="11"/>
        <v>0</v>
      </c>
      <c r="AA87" s="411"/>
    </row>
    <row r="88" spans="1:27" s="226" customFormat="1" ht="56.25" customHeight="1" x14ac:dyDescent="0.25">
      <c r="A88" s="335">
        <f>'Unit Data from Audit Worksheet'!A101</f>
        <v>581</v>
      </c>
      <c r="B88" s="336" t="str">
        <f>'Unit Data from Audit Worksheet'!C101</f>
        <v>Electric Fund Net Position Statement</v>
      </c>
      <c r="C88" s="334" t="str">
        <f>'Unit Data from Audit Worksheet'!D101</f>
        <v>Electric Fund - Advance To:
Interfund loan receivable-portion of repayment plan longer than 12 months</v>
      </c>
      <c r="D88" s="643"/>
      <c r="E88" s="697">
        <f>'Unit Data from Audit Worksheet'!F101</f>
        <v>0</v>
      </c>
      <c r="F88" s="216"/>
      <c r="G88" s="287"/>
      <c r="H88" s="208"/>
      <c r="I88" s="637"/>
      <c r="J88" s="333">
        <v>581</v>
      </c>
      <c r="K88" s="332" t="s">
        <v>663</v>
      </c>
      <c r="L88" s="698">
        <f t="shared" si="7"/>
        <v>0</v>
      </c>
      <c r="P88" s="409"/>
      <c r="Q88" s="328"/>
      <c r="R88" s="632"/>
      <c r="W88" s="632" t="b">
        <f t="shared" si="9"/>
        <v>1</v>
      </c>
      <c r="X88" s="726">
        <f t="shared" si="10"/>
        <v>0</v>
      </c>
      <c r="Y88" s="726">
        <f t="shared" si="11"/>
        <v>0</v>
      </c>
      <c r="AA88" s="411"/>
    </row>
    <row r="89" spans="1:27" ht="56.25" customHeight="1" x14ac:dyDescent="0.25">
      <c r="A89" s="227">
        <f>'Unit Data from Audit Worksheet'!A102</f>
        <v>511</v>
      </c>
      <c r="B89" s="237" t="str">
        <f>'Unit Data from Audit Worksheet'!C102</f>
        <v>Electric Fund Net Position Statement</v>
      </c>
      <c r="C89" s="225" t="str">
        <f>'Unit Data from Audit Worksheet'!D102</f>
        <v>Amount of inventories and prepaids</v>
      </c>
      <c r="D89" s="643"/>
      <c r="E89" s="697">
        <f>'Unit Data from Audit Worksheet'!F102</f>
        <v>0</v>
      </c>
      <c r="F89" s="216">
        <f t="shared" ref="F89:F94" si="12">IF(L89&lt;0,"Error: Number is normally positive.",)</f>
        <v>0</v>
      </c>
      <c r="G89" s="287"/>
      <c r="H89" s="208">
        <f>'Unit Data from Audit Worksheet'!I102</f>
        <v>0</v>
      </c>
      <c r="I89" s="637"/>
      <c r="J89" s="204">
        <v>511</v>
      </c>
      <c r="K89" s="197" t="s">
        <v>292</v>
      </c>
      <c r="L89" s="698">
        <f t="shared" si="7"/>
        <v>0</v>
      </c>
      <c r="P89" s="409"/>
      <c r="R89" s="632"/>
      <c r="W89" s="632" t="b">
        <f t="shared" si="9"/>
        <v>1</v>
      </c>
      <c r="X89" s="726">
        <f t="shared" si="10"/>
        <v>0</v>
      </c>
      <c r="Y89" s="726">
        <f t="shared" si="11"/>
        <v>0</v>
      </c>
      <c r="AA89" s="411"/>
    </row>
    <row r="90" spans="1:27" s="411" customFormat="1" ht="62.25" customHeight="1" x14ac:dyDescent="0.25">
      <c r="A90" s="348">
        <f>'Unit Data from Audit Worksheet'!A103</f>
        <v>657</v>
      </c>
      <c r="B90" s="349" t="str">
        <f>'Unit Data from Audit Worksheet'!C103</f>
        <v>Electric Fund Net Position Statement</v>
      </c>
      <c r="C90" s="486" t="str">
        <f>'Unit Data from Audit Worksheet'!D103</f>
        <v xml:space="preserve">Total Current assets as listed on the Electric Net Position Statement.  
</v>
      </c>
      <c r="D90" s="643"/>
      <c r="E90" s="697">
        <f>'Unit Data from Audit Worksheet'!F103</f>
        <v>0</v>
      </c>
      <c r="F90" s="426">
        <f t="shared" si="12"/>
        <v>0</v>
      </c>
      <c r="G90" s="430"/>
      <c r="H90" s="424">
        <f>'Unit Data from Audit Worksheet'!I103</f>
        <v>0</v>
      </c>
      <c r="I90" s="637"/>
      <c r="J90" s="386">
        <v>657</v>
      </c>
      <c r="K90" s="487" t="s">
        <v>997</v>
      </c>
      <c r="L90" s="690">
        <f t="shared" si="7"/>
        <v>0</v>
      </c>
      <c r="P90" s="409"/>
      <c r="Q90" s="432">
        <f>IF((L86+L87+L89)&gt;L92,1,0)</f>
        <v>0</v>
      </c>
      <c r="R90" s="632"/>
      <c r="W90" s="632" t="b">
        <f t="shared" si="9"/>
        <v>1</v>
      </c>
      <c r="X90" s="726">
        <f t="shared" si="10"/>
        <v>0</v>
      </c>
      <c r="Y90" s="726">
        <f t="shared" si="11"/>
        <v>0</v>
      </c>
    </row>
    <row r="91" spans="1:27" s="632" customFormat="1" ht="62.25" customHeight="1" x14ac:dyDescent="0.25">
      <c r="A91" s="348">
        <f>'Unit Data from Audit Worksheet'!A104</f>
        <v>658</v>
      </c>
      <c r="B91" s="349" t="str">
        <f>'Unit Data from Audit Worksheet'!C104</f>
        <v>Electric Fund Net Position Statement</v>
      </c>
      <c r="C91" s="486" t="str">
        <f>'Unit Data from Audit Worksheet'!D104</f>
        <v>Electric-Any current assets that are restricted (Cash, Accounts Rec., etc..) and included in account 657 above</v>
      </c>
      <c r="D91" s="643"/>
      <c r="E91" s="697">
        <f>'Unit Data from Audit Worksheet'!F104</f>
        <v>0</v>
      </c>
      <c r="F91" s="640">
        <f t="shared" si="12"/>
        <v>0</v>
      </c>
      <c r="G91" s="645"/>
      <c r="H91" s="639"/>
      <c r="I91" s="637"/>
      <c r="J91" s="386">
        <v>658</v>
      </c>
      <c r="K91" s="487" t="s">
        <v>1206</v>
      </c>
      <c r="L91" s="690">
        <f t="shared" si="7"/>
        <v>0</v>
      </c>
      <c r="P91" s="409"/>
      <c r="Q91" s="646"/>
      <c r="W91" s="632" t="b">
        <f t="shared" si="9"/>
        <v>1</v>
      </c>
      <c r="X91" s="726">
        <f t="shared" si="10"/>
        <v>0</v>
      </c>
      <c r="Y91" s="726">
        <f t="shared" si="11"/>
        <v>0</v>
      </c>
    </row>
    <row r="92" spans="1:27" s="411" customFormat="1" ht="39.75" customHeight="1" x14ac:dyDescent="0.25">
      <c r="A92" s="428">
        <f>'Unit Data from Audit Worksheet'!A105</f>
        <v>382</v>
      </c>
      <c r="B92" s="429" t="str">
        <f>'Unit Data from Audit Worksheet'!C105</f>
        <v>Electric Fund Net Position Statement</v>
      </c>
      <c r="C92" s="427" t="str">
        <f>'Unit Data from Audit Worksheet'!D105</f>
        <v>Total Assets and deferred outflows</v>
      </c>
      <c r="D92" s="643"/>
      <c r="E92" s="697">
        <f>'Unit Data from Audit Worksheet'!F105</f>
        <v>0</v>
      </c>
      <c r="F92" s="426">
        <f t="shared" si="12"/>
        <v>0</v>
      </c>
      <c r="G92" s="430"/>
      <c r="H92" s="424">
        <f>'Unit Data from Audit Worksheet'!I105</f>
        <v>0</v>
      </c>
      <c r="I92" s="637"/>
      <c r="J92" s="435">
        <v>382</v>
      </c>
      <c r="K92" s="434" t="s">
        <v>121</v>
      </c>
      <c r="L92" s="698">
        <f t="shared" si="7"/>
        <v>0</v>
      </c>
      <c r="P92" s="409"/>
      <c r="Q92" s="432"/>
      <c r="R92" s="632"/>
      <c r="W92" s="632" t="b">
        <f t="shared" si="9"/>
        <v>1</v>
      </c>
      <c r="X92" s="726">
        <f t="shared" si="10"/>
        <v>0</v>
      </c>
      <c r="Y92" s="726">
        <f t="shared" si="11"/>
        <v>0</v>
      </c>
    </row>
    <row r="93" spans="1:27" s="411" customFormat="1" ht="39.75" customHeight="1" x14ac:dyDescent="0.25">
      <c r="A93" s="428">
        <f>'Unit Data from Audit Worksheet'!A106</f>
        <v>360</v>
      </c>
      <c r="B93" s="429" t="str">
        <f>'Unit Data from Audit Worksheet'!C106</f>
        <v>Electric Fund Net Position Statement</v>
      </c>
      <c r="C93" s="427" t="str">
        <f>'Unit Data from Audit Worksheet'!D106</f>
        <v>Total liabilities and total deferred inflows</v>
      </c>
      <c r="D93" s="643"/>
      <c r="E93" s="697">
        <f>'Unit Data from Audit Worksheet'!F106</f>
        <v>0</v>
      </c>
      <c r="F93" s="426">
        <f t="shared" si="12"/>
        <v>0</v>
      </c>
      <c r="G93" s="430"/>
      <c r="H93" s="424">
        <f>'Unit Data from Audit Worksheet'!I106</f>
        <v>0</v>
      </c>
      <c r="I93" s="637"/>
      <c r="J93" s="435">
        <v>360</v>
      </c>
      <c r="K93" s="436" t="s">
        <v>132</v>
      </c>
      <c r="L93" s="698">
        <f t="shared" si="7"/>
        <v>0</v>
      </c>
      <c r="P93" s="409"/>
      <c r="Q93" s="432"/>
      <c r="R93" s="632"/>
      <c r="W93" s="632" t="b">
        <f t="shared" si="9"/>
        <v>1</v>
      </c>
      <c r="X93" s="726">
        <f t="shared" si="10"/>
        <v>0</v>
      </c>
      <c r="Y93" s="726">
        <f t="shared" si="11"/>
        <v>0</v>
      </c>
    </row>
    <row r="94" spans="1:27" s="411" customFormat="1" ht="58.5" customHeight="1" x14ac:dyDescent="0.25">
      <c r="A94" s="428">
        <f>'Unit Data from Audit Worksheet'!A107</f>
        <v>580</v>
      </c>
      <c r="B94" s="429" t="str">
        <f>'Unit Data from Audit Worksheet'!C107</f>
        <v>Electric Fund Net Position Statement</v>
      </c>
      <c r="C94" s="427" t="str">
        <f>'Unit Data from Audit Worksheet'!D107</f>
        <v>Electric Fund - Advance From:
Interfund loans payable-portion of repayment plan longer than 12 months</v>
      </c>
      <c r="D94" s="643"/>
      <c r="E94" s="697">
        <f>'Unit Data from Audit Worksheet'!F107</f>
        <v>0</v>
      </c>
      <c r="F94" s="426">
        <f t="shared" si="12"/>
        <v>0</v>
      </c>
      <c r="G94" s="430"/>
      <c r="H94" s="424">
        <f>'Unit Data from Audit Worksheet'!I107</f>
        <v>0</v>
      </c>
      <c r="I94" s="637"/>
      <c r="J94" s="435">
        <v>580</v>
      </c>
      <c r="K94" s="436" t="s">
        <v>664</v>
      </c>
      <c r="L94" s="698">
        <f t="shared" si="7"/>
        <v>0</v>
      </c>
      <c r="N94" s="433"/>
      <c r="P94" s="409"/>
      <c r="Q94" s="432"/>
      <c r="R94" s="632"/>
      <c r="W94" s="632" t="b">
        <f t="shared" si="9"/>
        <v>1</v>
      </c>
      <c r="X94" s="726">
        <f t="shared" si="10"/>
        <v>0</v>
      </c>
      <c r="Y94" s="726">
        <f t="shared" si="11"/>
        <v>0</v>
      </c>
    </row>
    <row r="95" spans="1:27" s="633" customFormat="1" ht="104.25" customHeight="1" x14ac:dyDescent="0.25">
      <c r="A95" s="348">
        <f>'Unit Data from Audit Worksheet'!A108</f>
        <v>639</v>
      </c>
      <c r="B95" s="349" t="str">
        <f>'Unit Data from Audit Worksheet'!C108</f>
        <v>Electric Fund Net Position Statement</v>
      </c>
      <c r="C95" s="486" t="str">
        <f>'Unit Data from Audit Worksheet'!D108</f>
        <v xml:space="preserve">Current liabilities (as reported on the Statement of Fund Net Position)
Include:   Current liabilities including current portion of long-term debt.  Deferred inflows should not be included in Current Liabilities   </v>
      </c>
      <c r="D95" s="643"/>
      <c r="E95" s="700">
        <f>'Unit Data from Audit Worksheet'!F108</f>
        <v>0</v>
      </c>
      <c r="F95" s="365"/>
      <c r="G95" s="355"/>
      <c r="H95" s="367">
        <f>'Unit Data from Audit Worksheet'!I108</f>
        <v>0</v>
      </c>
      <c r="I95" s="637"/>
      <c r="J95" s="386">
        <v>639</v>
      </c>
      <c r="K95" s="487" t="s">
        <v>883</v>
      </c>
      <c r="L95" s="690">
        <f t="shared" si="7"/>
        <v>0</v>
      </c>
      <c r="P95" s="611"/>
      <c r="Q95" s="730"/>
      <c r="W95" s="633" t="b">
        <f t="shared" si="9"/>
        <v>1</v>
      </c>
      <c r="X95" s="368">
        <f t="shared" si="10"/>
        <v>0</v>
      </c>
      <c r="Y95" s="368">
        <f t="shared" si="11"/>
        <v>0</v>
      </c>
    </row>
    <row r="96" spans="1:27" s="633" customFormat="1" ht="104.25" customHeight="1" x14ac:dyDescent="0.25">
      <c r="A96" s="348">
        <f>'Unit Data from Audit Worksheet'!A109</f>
        <v>640</v>
      </c>
      <c r="B96" s="349" t="str">
        <f>'Unit Data from Audit Worksheet'!C109</f>
        <v>Electric Fund Net Position Statement</v>
      </c>
      <c r="C96" s="486" t="str">
        <f>'Unit Data from Audit Worksheet'!D109</f>
        <v>Please enter any bond anticipation notes that are classified as current liabilities and included in account 639 above (amounts entered should agree to the current amount included in the changes to long-term debt note)</v>
      </c>
      <c r="D96" s="643"/>
      <c r="E96" s="700">
        <f>'Unit Data from Audit Worksheet'!F109</f>
        <v>0</v>
      </c>
      <c r="F96" s="365">
        <f t="shared" ref="F96:F100" si="13">IF(L96&lt;0,"Error: Number is normally positive.",)</f>
        <v>0</v>
      </c>
      <c r="G96" s="355"/>
      <c r="H96" s="367">
        <f>'Unit Data from Audit Worksheet'!I109</f>
        <v>0</v>
      </c>
      <c r="I96" s="637"/>
      <c r="J96" s="386">
        <v>640</v>
      </c>
      <c r="K96" s="487" t="s">
        <v>884</v>
      </c>
      <c r="L96" s="690">
        <f t="shared" si="7"/>
        <v>0</v>
      </c>
      <c r="P96" s="611"/>
      <c r="Q96" s="730"/>
      <c r="W96" s="633" t="b">
        <f t="shared" si="9"/>
        <v>1</v>
      </c>
      <c r="X96" s="368">
        <f t="shared" si="10"/>
        <v>0</v>
      </c>
      <c r="Y96" s="368">
        <f t="shared" si="11"/>
        <v>0</v>
      </c>
    </row>
    <row r="97" spans="1:27" s="633" customFormat="1" ht="104.25" customHeight="1" x14ac:dyDescent="0.25">
      <c r="A97" s="348">
        <f>'Unit Data from Audit Worksheet'!A110</f>
        <v>641</v>
      </c>
      <c r="B97" s="349" t="str">
        <f>'Unit Data from Audit Worksheet'!C110</f>
        <v>Electric Fund Net Position Statement</v>
      </c>
      <c r="C97" s="486" t="str">
        <f>'Unit Data from Audit Worksheet'!D110</f>
        <v>Please enter any compensated absences that are classified as current liabilities and included in account 639 above (amounts entered should agree to the current amount included in the changes to long-term debt note)</v>
      </c>
      <c r="D97" s="643"/>
      <c r="E97" s="700">
        <f>'Unit Data from Audit Worksheet'!F110</f>
        <v>0</v>
      </c>
      <c r="F97" s="365">
        <f t="shared" si="13"/>
        <v>0</v>
      </c>
      <c r="G97" s="355"/>
      <c r="H97" s="367">
        <f>'Unit Data from Audit Worksheet'!I110</f>
        <v>0</v>
      </c>
      <c r="I97" s="637"/>
      <c r="J97" s="386">
        <v>641</v>
      </c>
      <c r="K97" s="487" t="s">
        <v>885</v>
      </c>
      <c r="L97" s="690">
        <f t="shared" si="7"/>
        <v>0</v>
      </c>
      <c r="P97" s="611"/>
      <c r="Q97" s="730"/>
      <c r="W97" s="633" t="b">
        <f t="shared" si="9"/>
        <v>1</v>
      </c>
      <c r="X97" s="368">
        <f t="shared" si="10"/>
        <v>0</v>
      </c>
      <c r="Y97" s="368">
        <f t="shared" si="11"/>
        <v>0</v>
      </c>
    </row>
    <row r="98" spans="1:27" s="633" customFormat="1" ht="104.25" customHeight="1" x14ac:dyDescent="0.25">
      <c r="A98" s="348">
        <f>'Unit Data from Audit Worksheet'!A111</f>
        <v>642</v>
      </c>
      <c r="B98" s="349" t="str">
        <f>'Unit Data from Audit Worksheet'!C111</f>
        <v>Electric Fund Net Position Statement</v>
      </c>
      <c r="C98" s="486" t="str">
        <f>'Unit Data from Audit Worksheet'!D111</f>
        <v>Please enter any pension liabilities that are classified as current liabilities and included account in 639 above (amounts entered should agree to the current amount included in the changes to long-term debt note)</v>
      </c>
      <c r="D98" s="643"/>
      <c r="E98" s="700">
        <f>'Unit Data from Audit Worksheet'!F111</f>
        <v>0</v>
      </c>
      <c r="F98" s="365">
        <f t="shared" si="13"/>
        <v>0</v>
      </c>
      <c r="G98" s="355"/>
      <c r="H98" s="367">
        <f>'Unit Data from Audit Worksheet'!I111</f>
        <v>0</v>
      </c>
      <c r="I98" s="637"/>
      <c r="J98" s="386">
        <v>642</v>
      </c>
      <c r="K98" s="487" t="s">
        <v>886</v>
      </c>
      <c r="L98" s="690">
        <f t="shared" si="7"/>
        <v>0</v>
      </c>
      <c r="P98" s="611"/>
      <c r="Q98" s="730"/>
      <c r="W98" s="633" t="b">
        <f t="shared" si="9"/>
        <v>1</v>
      </c>
      <c r="X98" s="368">
        <f t="shared" si="10"/>
        <v>0</v>
      </c>
      <c r="Y98" s="368">
        <f t="shared" si="11"/>
        <v>0</v>
      </c>
    </row>
    <row r="99" spans="1:27" s="633" customFormat="1" ht="60.75" customHeight="1" x14ac:dyDescent="0.25">
      <c r="A99" s="348">
        <f>'Unit Data from Audit Worksheet'!A112</f>
        <v>643</v>
      </c>
      <c r="B99" s="349" t="str">
        <f>'Unit Data from Audit Worksheet'!C112</f>
        <v>Electric Fund Net Position Statement</v>
      </c>
      <c r="C99" s="486" t="str">
        <f>'Unit Data from Audit Worksheet'!D112</f>
        <v xml:space="preserve">Please enter any current liabilities that are payable from restricted assets and included in account 639 above. </v>
      </c>
      <c r="D99" s="643"/>
      <c r="E99" s="700">
        <f>'Unit Data from Audit Worksheet'!F112</f>
        <v>0</v>
      </c>
      <c r="F99" s="365">
        <f t="shared" si="13"/>
        <v>0</v>
      </c>
      <c r="G99" s="355"/>
      <c r="H99" s="367">
        <f>'Unit Data from Audit Worksheet'!I112</f>
        <v>0</v>
      </c>
      <c r="I99" s="637"/>
      <c r="J99" s="386">
        <v>643</v>
      </c>
      <c r="K99" s="487" t="s">
        <v>887</v>
      </c>
      <c r="L99" s="690">
        <f t="shared" si="7"/>
        <v>0</v>
      </c>
      <c r="P99" s="611"/>
      <c r="Q99" s="730"/>
      <c r="W99" s="633" t="b">
        <f t="shared" si="9"/>
        <v>1</v>
      </c>
      <c r="X99" s="368">
        <f t="shared" si="10"/>
        <v>0</v>
      </c>
      <c r="Y99" s="368">
        <f t="shared" si="11"/>
        <v>0</v>
      </c>
    </row>
    <row r="100" spans="1:27" s="633" customFormat="1" ht="102" customHeight="1" x14ac:dyDescent="0.25">
      <c r="A100" s="348">
        <f>'Unit Data from Audit Worksheet'!A113</f>
        <v>644</v>
      </c>
      <c r="B100" s="349" t="str">
        <f>'Unit Data from Audit Worksheet'!C113</f>
        <v>Electric Fund Net Position Statement</v>
      </c>
      <c r="C100" s="486" t="str">
        <f>'Unit Data from Audit Worksheet'!D113</f>
        <v>Please enter any OPEB liabilities that are classified as current liabilities and included in account 639 above (amounts entered should agree to the current amount included in the changes to long-term debt note)</v>
      </c>
      <c r="D100" s="643"/>
      <c r="E100" s="700">
        <f>'Unit Data from Audit Worksheet'!F113</f>
        <v>0</v>
      </c>
      <c r="F100" s="365">
        <f t="shared" si="13"/>
        <v>0</v>
      </c>
      <c r="G100" s="355"/>
      <c r="H100" s="367">
        <f>'Unit Data from Audit Worksheet'!I113</f>
        <v>0</v>
      </c>
      <c r="I100" s="637"/>
      <c r="J100" s="488">
        <v>644</v>
      </c>
      <c r="K100" s="487" t="s">
        <v>888</v>
      </c>
      <c r="L100" s="690">
        <f t="shared" si="7"/>
        <v>0</v>
      </c>
      <c r="P100" s="611"/>
      <c r="Q100" s="730"/>
      <c r="W100" s="633" t="b">
        <f t="shared" si="9"/>
        <v>1</v>
      </c>
      <c r="X100" s="368">
        <f t="shared" si="10"/>
        <v>0</v>
      </c>
      <c r="Y100" s="368">
        <f t="shared" si="11"/>
        <v>0</v>
      </c>
    </row>
    <row r="101" spans="1:27" ht="63.75" customHeight="1" x14ac:dyDescent="0.25">
      <c r="A101" s="428">
        <f>+'Unit Data from Audit Worksheet'!A114</f>
        <v>384</v>
      </c>
      <c r="B101" s="428" t="str">
        <f>+'Unit Data from Audit Worksheet'!C114</f>
        <v>Electric Fund Net Position Statement</v>
      </c>
      <c r="C101" s="428" t="str">
        <f>+'Unit Data from Audit Worksheet'!D114</f>
        <v>Unearned revenue (arising from cash receipts) that were included in Current Liabilities in account 639 above.</v>
      </c>
      <c r="D101" s="643"/>
      <c r="E101" s="697">
        <f>+'Unit Data from Audit Worksheet'!F114</f>
        <v>0</v>
      </c>
      <c r="F101" s="426">
        <f>IF(L101&lt;0,"Error: Number is normally positive.",)</f>
        <v>0</v>
      </c>
      <c r="G101" s="430"/>
      <c r="H101" s="424">
        <f>'Unit Data from Audit Worksheet'!I114</f>
        <v>0</v>
      </c>
      <c r="I101" s="637"/>
      <c r="J101" s="204">
        <v>384</v>
      </c>
      <c r="K101" s="248" t="s">
        <v>131</v>
      </c>
      <c r="L101" s="698">
        <f t="shared" si="7"/>
        <v>0</v>
      </c>
      <c r="P101" s="409"/>
      <c r="R101" s="632"/>
      <c r="W101" s="632" t="b">
        <f t="shared" si="9"/>
        <v>1</v>
      </c>
      <c r="X101" s="726">
        <f t="shared" si="10"/>
        <v>0</v>
      </c>
      <c r="Y101" s="726">
        <f t="shared" si="11"/>
        <v>0</v>
      </c>
      <c r="AA101" s="411"/>
    </row>
    <row r="102" spans="1:27" s="226" customFormat="1" ht="105" x14ac:dyDescent="0.25">
      <c r="A102" s="428">
        <f>+'Unit Data from Audit Worksheet'!A115</f>
        <v>361</v>
      </c>
      <c r="B102" s="428" t="str">
        <f>+'Unit Data from Audit Worksheet'!C115</f>
        <v>Electric Fund Net Position Statement</v>
      </c>
      <c r="C102" s="428" t="str">
        <f>+'Unit Data from Audit Worksheet'!D115</f>
        <v>Total net position, unrestricted - Amount of negative unrestricted net position should be entered as a negative amount and the amount of positive unrestricted net position should be entered as a positive amount.</v>
      </c>
      <c r="D102" s="643"/>
      <c r="E102" s="697">
        <f>+'Unit Data from Audit Worksheet'!F115</f>
        <v>0</v>
      </c>
      <c r="F102" s="426"/>
      <c r="G102" s="430"/>
      <c r="H102" s="424">
        <f>'Unit Data from Audit Worksheet'!I115</f>
        <v>0</v>
      </c>
      <c r="I102" s="637"/>
      <c r="J102" s="204">
        <v>361</v>
      </c>
      <c r="K102" s="197" t="s">
        <v>113</v>
      </c>
      <c r="L102" s="698">
        <f t="shared" si="7"/>
        <v>0</v>
      </c>
      <c r="P102" s="409"/>
      <c r="Q102" s="328"/>
      <c r="R102" s="632"/>
      <c r="W102" s="632" t="b">
        <f t="shared" si="9"/>
        <v>1</v>
      </c>
      <c r="X102" s="726">
        <f t="shared" si="10"/>
        <v>0</v>
      </c>
      <c r="Y102" s="726">
        <f t="shared" si="11"/>
        <v>0</v>
      </c>
      <c r="AA102" s="411"/>
    </row>
    <row r="103" spans="1:27" ht="46.5" customHeight="1" x14ac:dyDescent="0.25">
      <c r="A103" s="227">
        <f>'Unit Data from Audit Worksheet'!A116</f>
        <v>362</v>
      </c>
      <c r="B103" s="237" t="str">
        <f>'Unit Data from Audit Worksheet'!C116</f>
        <v>Electric Fund Net Position Statement</v>
      </c>
      <c r="C103" s="225" t="str">
        <f>'Unit Data from Audit Worksheet'!D116</f>
        <v>Total net position</v>
      </c>
      <c r="D103" s="643"/>
      <c r="E103" s="697">
        <f>'Unit Data from Audit Worksheet'!F116</f>
        <v>0</v>
      </c>
      <c r="F103" s="216">
        <f>IF(L92-L93-L103=0,,"Error: Total assets less total liabilities do not equal net position acct 382-360-362=0")</f>
        <v>0</v>
      </c>
      <c r="G103" s="344">
        <f>+L92-L93-L103</f>
        <v>0</v>
      </c>
      <c r="H103" s="208">
        <f>'Unit Data from Audit Worksheet'!I116</f>
        <v>0</v>
      </c>
      <c r="I103" s="637"/>
      <c r="J103" s="204">
        <v>362</v>
      </c>
      <c r="K103" s="197" t="s">
        <v>114</v>
      </c>
      <c r="L103" s="698">
        <f t="shared" si="7"/>
        <v>0</v>
      </c>
      <c r="O103" s="188" t="e">
        <f>'Unit Data from Audit Worksheet'!E116</f>
        <v>#N/A</v>
      </c>
      <c r="P103" s="409"/>
      <c r="Q103" s="646">
        <f>IF(+L92-L93-L103=0,0,1)</f>
        <v>0</v>
      </c>
      <c r="R103" s="632"/>
      <c r="W103" s="632" t="b">
        <f t="shared" si="9"/>
        <v>1</v>
      </c>
      <c r="X103" s="726">
        <f t="shared" si="10"/>
        <v>0</v>
      </c>
      <c r="Y103" s="726">
        <f t="shared" si="11"/>
        <v>0</v>
      </c>
      <c r="AA103" s="411"/>
    </row>
    <row r="104" spans="1:27" ht="61.5" customHeight="1" x14ac:dyDescent="0.25">
      <c r="A104" s="227">
        <f>'Unit Data from Audit Worksheet'!A119</f>
        <v>88</v>
      </c>
      <c r="B104" s="237" t="str">
        <f>'Unit Data from Audit Worksheet'!C119</f>
        <v>Water Sewer Revenue, Expenses &amp; Changes in Fund Net Position</v>
      </c>
      <c r="C104" s="225" t="str">
        <f>'Unit Data from Audit Worksheet'!D119</f>
        <v>Charges for services. 
Exclude tap, capacity fees and other misc. income .</v>
      </c>
      <c r="D104" s="643"/>
      <c r="E104" s="697">
        <f>'Unit Data from Audit Worksheet'!F119</f>
        <v>0</v>
      </c>
      <c r="F104" s="216"/>
      <c r="G104" s="287"/>
      <c r="H104" s="208">
        <f>'Unit Data from Audit Worksheet'!I119</f>
        <v>0</v>
      </c>
      <c r="I104" s="637"/>
      <c r="J104" s="204">
        <v>88</v>
      </c>
      <c r="K104" s="197" t="s">
        <v>293</v>
      </c>
      <c r="L104" s="698">
        <f t="shared" si="7"/>
        <v>0</v>
      </c>
      <c r="P104" s="409"/>
      <c r="Q104" s="337"/>
      <c r="R104" s="632"/>
      <c r="W104" s="632" t="b">
        <f t="shared" si="9"/>
        <v>1</v>
      </c>
      <c r="X104" s="726">
        <f t="shared" si="10"/>
        <v>0</v>
      </c>
      <c r="Y104" s="726">
        <f t="shared" si="11"/>
        <v>0</v>
      </c>
      <c r="AA104" s="411"/>
    </row>
    <row r="105" spans="1:27" ht="72" customHeight="1" x14ac:dyDescent="0.25">
      <c r="A105" s="227">
        <f>'Unit Data from Audit Worksheet'!A120</f>
        <v>84</v>
      </c>
      <c r="B105" s="237" t="str">
        <f>'Unit Data from Audit Worksheet'!C120</f>
        <v>Water Sewer Revenue, Expenses &amp; Changes in Fund Net Position</v>
      </c>
      <c r="C105" s="225" t="str">
        <f>'Unit Data from Audit Worksheet'!D120</f>
        <v>Total Operating revenues</v>
      </c>
      <c r="D105" s="643"/>
      <c r="E105" s="697">
        <f>'Unit Data from Audit Worksheet'!F120</f>
        <v>0</v>
      </c>
      <c r="F105" s="216" t="str">
        <f>IF(L104&gt;L105,"Error: Charges for services exceed total operating revenues. Acct # 88&gt;84"," ")</f>
        <v xml:space="preserve"> </v>
      </c>
      <c r="G105" s="327" t="str">
        <f>IF(Q105=1," Included in error count"," ")</f>
        <v xml:space="preserve"> </v>
      </c>
      <c r="H105" s="208">
        <f>'Unit Data from Audit Worksheet'!I120</f>
        <v>0</v>
      </c>
      <c r="I105" s="637"/>
      <c r="J105" s="204">
        <v>84</v>
      </c>
      <c r="K105" s="197" t="s">
        <v>294</v>
      </c>
      <c r="L105" s="698">
        <f t="shared" si="7"/>
        <v>0</v>
      </c>
      <c r="P105" s="409"/>
      <c r="Q105" s="328">
        <f>IF(L104&gt;L105,1,0)</f>
        <v>0</v>
      </c>
      <c r="R105" s="632"/>
      <c r="W105" s="632" t="b">
        <f t="shared" si="9"/>
        <v>1</v>
      </c>
      <c r="X105" s="726">
        <f t="shared" si="10"/>
        <v>0</v>
      </c>
      <c r="Y105" s="726">
        <f t="shared" si="11"/>
        <v>0</v>
      </c>
      <c r="AA105" s="411"/>
    </row>
    <row r="106" spans="1:27" ht="72" customHeight="1" x14ac:dyDescent="0.25">
      <c r="A106" s="227">
        <f>'Unit Data from Audit Worksheet'!A121</f>
        <v>49</v>
      </c>
      <c r="B106" s="237" t="str">
        <f>'Unit Data from Audit Worksheet'!C121</f>
        <v>Water Sewer Revenue, Expenses &amp; Changes in Fund Net Position</v>
      </c>
      <c r="C106" s="225" t="str">
        <f>'Unit Data from Audit Worksheet'!D121</f>
        <v>Depreciation and amortization expense</v>
      </c>
      <c r="D106" s="643"/>
      <c r="E106" s="697">
        <f>'Unit Data from Audit Worksheet'!F121</f>
        <v>0</v>
      </c>
      <c r="F106" s="426">
        <f>IF(L106&lt;0,"Error: Number is normally positive.",)</f>
        <v>0</v>
      </c>
      <c r="G106" s="287"/>
      <c r="H106" s="208">
        <f>'Unit Data from Audit Worksheet'!I121</f>
        <v>0</v>
      </c>
      <c r="I106" s="637"/>
      <c r="J106" s="204">
        <v>49</v>
      </c>
      <c r="K106" s="197" t="s">
        <v>295</v>
      </c>
      <c r="L106" s="698">
        <f t="shared" si="7"/>
        <v>0</v>
      </c>
      <c r="O106" s="188"/>
      <c r="P106" s="409"/>
      <c r="R106" s="632"/>
      <c r="W106" s="632" t="b">
        <f t="shared" si="9"/>
        <v>1</v>
      </c>
      <c r="X106" s="726">
        <f t="shared" si="10"/>
        <v>0</v>
      </c>
      <c r="Y106" s="726">
        <f t="shared" si="11"/>
        <v>0</v>
      </c>
      <c r="AA106" s="411"/>
    </row>
    <row r="107" spans="1:27" ht="48" customHeight="1" x14ac:dyDescent="0.25">
      <c r="A107" s="227">
        <f>'Unit Data from Audit Worksheet'!A122</f>
        <v>85</v>
      </c>
      <c r="B107" s="237" t="str">
        <f>'Unit Data from Audit Worksheet'!C122</f>
        <v>Water Sewer Revenue, Expenses &amp; Changes in Fund Net Position</v>
      </c>
      <c r="C107" s="225" t="str">
        <f>'Unit Data from Audit Worksheet'!D122</f>
        <v>Total Operating expenses</v>
      </c>
      <c r="D107" s="643"/>
      <c r="E107" s="697">
        <f>'Unit Data from Audit Worksheet'!F122</f>
        <v>0</v>
      </c>
      <c r="F107" s="426"/>
      <c r="G107" s="287"/>
      <c r="H107" s="208">
        <f>'Unit Data from Audit Worksheet'!I122</f>
        <v>0</v>
      </c>
      <c r="I107" s="637"/>
      <c r="J107" s="204">
        <v>85</v>
      </c>
      <c r="K107" s="197" t="s">
        <v>296</v>
      </c>
      <c r="L107" s="698">
        <f t="shared" si="7"/>
        <v>0</v>
      </c>
      <c r="P107" s="409"/>
      <c r="R107" s="632"/>
      <c r="W107" s="632" t="b">
        <f t="shared" si="9"/>
        <v>1</v>
      </c>
      <c r="X107" s="726">
        <f t="shared" si="10"/>
        <v>0</v>
      </c>
      <c r="Y107" s="726">
        <f t="shared" si="11"/>
        <v>0</v>
      </c>
      <c r="AA107" s="411"/>
    </row>
    <row r="108" spans="1:27" ht="48" customHeight="1" x14ac:dyDescent="0.25">
      <c r="A108" s="227">
        <f>'Unit Data from Audit Worksheet'!A123</f>
        <v>89</v>
      </c>
      <c r="B108" s="237" t="str">
        <f>'Unit Data from Audit Worksheet'!C123</f>
        <v>Water Sewer Revenue, Expenses &amp; Changes in Fund Net Position</v>
      </c>
      <c r="C108" s="225" t="str">
        <f>'Unit Data from Audit Worksheet'!D123</f>
        <v>Interest expense</v>
      </c>
      <c r="D108" s="643"/>
      <c r="E108" s="697">
        <f>'Unit Data from Audit Worksheet'!F123</f>
        <v>0</v>
      </c>
      <c r="F108" s="426"/>
      <c r="G108" s="287"/>
      <c r="H108" s="208">
        <f>'Unit Data from Audit Worksheet'!I123</f>
        <v>0</v>
      </c>
      <c r="I108" s="637"/>
      <c r="J108" s="204">
        <v>89</v>
      </c>
      <c r="K108" s="197" t="s">
        <v>297</v>
      </c>
      <c r="L108" s="698">
        <f t="shared" si="7"/>
        <v>0</v>
      </c>
      <c r="P108" s="409"/>
      <c r="R108" s="632"/>
      <c r="W108" s="632" t="b">
        <f t="shared" si="9"/>
        <v>1</v>
      </c>
      <c r="X108" s="726">
        <f t="shared" si="10"/>
        <v>0</v>
      </c>
      <c r="Y108" s="726">
        <f t="shared" si="11"/>
        <v>0</v>
      </c>
      <c r="AA108" s="411"/>
    </row>
    <row r="109" spans="1:27" ht="48" customHeight="1" x14ac:dyDescent="0.25">
      <c r="A109" s="227">
        <f>'Unit Data from Audit Worksheet'!A124</f>
        <v>350</v>
      </c>
      <c r="B109" s="237" t="str">
        <f>'Unit Data from Audit Worksheet'!C124</f>
        <v>Water Sewer Revenue, Expenses &amp; Changes in Fund Net Position</v>
      </c>
      <c r="C109" s="225" t="str">
        <f>'Unit Data from Audit Worksheet'!D124</f>
        <v>Total all non-operating revenues  
Exclude Capital contributions.</v>
      </c>
      <c r="D109" s="643"/>
      <c r="E109" s="697">
        <f>'Unit Data from Audit Worksheet'!F124</f>
        <v>0</v>
      </c>
      <c r="F109" s="426"/>
      <c r="G109" s="287"/>
      <c r="H109" s="208">
        <f>'Unit Data from Audit Worksheet'!I124</f>
        <v>0</v>
      </c>
      <c r="I109" s="637"/>
      <c r="J109" s="204">
        <v>350</v>
      </c>
      <c r="K109" s="197" t="s">
        <v>298</v>
      </c>
      <c r="L109" s="698">
        <f t="shared" si="7"/>
        <v>0</v>
      </c>
      <c r="P109" s="409"/>
      <c r="R109" s="632"/>
      <c r="W109" s="632" t="b">
        <f t="shared" si="9"/>
        <v>1</v>
      </c>
      <c r="X109" s="726">
        <f t="shared" si="10"/>
        <v>0</v>
      </c>
      <c r="Y109" s="726">
        <f t="shared" si="11"/>
        <v>0</v>
      </c>
      <c r="AA109" s="411"/>
    </row>
    <row r="110" spans="1:27" ht="48" customHeight="1" x14ac:dyDescent="0.25">
      <c r="A110" s="227">
        <f>'Unit Data from Audit Worksheet'!A125</f>
        <v>351</v>
      </c>
      <c r="B110" s="237" t="str">
        <f>'Unit Data from Audit Worksheet'!C125</f>
        <v>Water Sewer Revenue, Expenses &amp; Changes in Fund Net Position</v>
      </c>
      <c r="C110" s="225" t="str">
        <f>'Unit Data from Audit Worksheet'!D125</f>
        <v>Total all non-operating expenses.  
Include any negative special, extraordinary, or capital contribution.</v>
      </c>
      <c r="D110" s="643"/>
      <c r="E110" s="697">
        <f>'Unit Data from Audit Worksheet'!F125</f>
        <v>0</v>
      </c>
      <c r="F110" s="426"/>
      <c r="G110" s="287"/>
      <c r="H110" s="208">
        <f>'Unit Data from Audit Worksheet'!I125</f>
        <v>0</v>
      </c>
      <c r="I110" s="637"/>
      <c r="J110" s="204">
        <v>351</v>
      </c>
      <c r="K110" s="197" t="s">
        <v>299</v>
      </c>
      <c r="L110" s="698">
        <f t="shared" si="7"/>
        <v>0</v>
      </c>
      <c r="P110" s="409"/>
      <c r="R110" s="632"/>
      <c r="W110" s="632" t="b">
        <f t="shared" si="9"/>
        <v>1</v>
      </c>
      <c r="X110" s="726">
        <f t="shared" si="10"/>
        <v>0</v>
      </c>
      <c r="Y110" s="726">
        <f t="shared" si="11"/>
        <v>0</v>
      </c>
      <c r="AA110" s="411"/>
    </row>
    <row r="111" spans="1:27" ht="75" x14ac:dyDescent="0.25">
      <c r="A111" s="227">
        <f>'Unit Data from Audit Worksheet'!A126</f>
        <v>191</v>
      </c>
      <c r="B111" s="237" t="str">
        <f>'Unit Data from Audit Worksheet'!C126</f>
        <v>Water Sewer Revenue, Expenses &amp; Changes in Fund Net Position</v>
      </c>
      <c r="C111" s="225" t="str">
        <f>'Unit Data from Audit Worksheet'!D126</f>
        <v>Capital contributions. Only include positive capital contributions.  Negative capital contributions should be included with 'Total all non-operating expenses.'</v>
      </c>
      <c r="D111" s="643"/>
      <c r="E111" s="697">
        <f>'Unit Data from Audit Worksheet'!F126</f>
        <v>0</v>
      </c>
      <c r="F111" s="216">
        <f>IF(L111&lt;0,"Error: Enter as a positive.",)</f>
        <v>0</v>
      </c>
      <c r="G111" s="287"/>
      <c r="H111" s="208">
        <f>'Unit Data from Audit Worksheet'!I126</f>
        <v>0</v>
      </c>
      <c r="I111" s="637"/>
      <c r="J111" s="204">
        <v>191</v>
      </c>
      <c r="K111" s="197" t="s">
        <v>300</v>
      </c>
      <c r="L111" s="698">
        <f t="shared" si="7"/>
        <v>0</v>
      </c>
      <c r="P111" s="409"/>
      <c r="R111" s="632"/>
      <c r="W111" s="632" t="b">
        <f t="shared" si="9"/>
        <v>1</v>
      </c>
      <c r="X111" s="726">
        <f t="shared" si="10"/>
        <v>0</v>
      </c>
      <c r="Y111" s="726">
        <f t="shared" si="11"/>
        <v>0</v>
      </c>
      <c r="AA111" s="411"/>
    </row>
    <row r="112" spans="1:27" ht="47.25" customHeight="1" x14ac:dyDescent="0.25">
      <c r="A112" s="227">
        <f>'Unit Data from Audit Worksheet'!A127</f>
        <v>352</v>
      </c>
      <c r="B112" s="237" t="str">
        <f>'Unit Data from Audit Worksheet'!C127</f>
        <v>Water Sewer Revenue, Expenses &amp; Changes in Fund Net Position</v>
      </c>
      <c r="C112" s="225" t="str">
        <f>'Unit Data from Audit Worksheet'!D127</f>
        <v>Total Transfers in</v>
      </c>
      <c r="D112" s="643"/>
      <c r="E112" s="697">
        <f>'Unit Data from Audit Worksheet'!F127</f>
        <v>0</v>
      </c>
      <c r="F112" s="216"/>
      <c r="G112" s="287"/>
      <c r="H112" s="208">
        <f>'Unit Data from Audit Worksheet'!I127</f>
        <v>0</v>
      </c>
      <c r="I112" s="637"/>
      <c r="J112" s="204">
        <v>352</v>
      </c>
      <c r="K112" s="197" t="s">
        <v>301</v>
      </c>
      <c r="L112" s="698">
        <f t="shared" si="7"/>
        <v>0</v>
      </c>
      <c r="P112" s="409"/>
      <c r="R112" s="632"/>
      <c r="W112" s="632" t="b">
        <f t="shared" si="9"/>
        <v>1</v>
      </c>
      <c r="X112" s="726">
        <f t="shared" si="10"/>
        <v>0</v>
      </c>
      <c r="Y112" s="726">
        <f t="shared" si="11"/>
        <v>0</v>
      </c>
      <c r="AA112" s="411"/>
    </row>
    <row r="113" spans="1:27" ht="47.25" customHeight="1" x14ac:dyDescent="0.25">
      <c r="A113" s="227">
        <f>'Unit Data from Audit Worksheet'!A128</f>
        <v>353</v>
      </c>
      <c r="B113" s="237" t="str">
        <f>'Unit Data from Audit Worksheet'!C128</f>
        <v>Water Sewer Revenue, Expenses &amp; Changes in Fund Net Position</v>
      </c>
      <c r="C113" s="225" t="str">
        <f>'Unit Data from Audit Worksheet'!D128</f>
        <v>Total Transfers out</v>
      </c>
      <c r="D113" s="643"/>
      <c r="E113" s="697">
        <f>'Unit Data from Audit Worksheet'!F128</f>
        <v>0</v>
      </c>
      <c r="F113" s="216">
        <f>IF(L113&lt;0,"Error: Enter as a positive.",)</f>
        <v>0</v>
      </c>
      <c r="G113" s="287"/>
      <c r="H113" s="208">
        <f>'Unit Data from Audit Worksheet'!I128</f>
        <v>0</v>
      </c>
      <c r="I113" s="637"/>
      <c r="J113" s="202">
        <v>353</v>
      </c>
      <c r="K113" s="197" t="s">
        <v>302</v>
      </c>
      <c r="L113" s="698">
        <f t="shared" si="7"/>
        <v>0</v>
      </c>
      <c r="P113" s="409"/>
      <c r="R113" s="632"/>
      <c r="W113" s="632" t="b">
        <f t="shared" si="9"/>
        <v>1</v>
      </c>
      <c r="X113" s="726">
        <f t="shared" si="10"/>
        <v>0</v>
      </c>
      <c r="Y113" s="726">
        <f t="shared" si="11"/>
        <v>0</v>
      </c>
      <c r="AA113" s="411"/>
    </row>
    <row r="114" spans="1:27" ht="72.75" customHeight="1" x14ac:dyDescent="0.25">
      <c r="A114" s="227">
        <f>'Unit Data from Audit Worksheet'!A129</f>
        <v>50</v>
      </c>
      <c r="B114" s="237" t="str">
        <f>'Unit Data from Audit Worksheet'!C129</f>
        <v>Water Sewer Revenue, Expenses &amp; Changes in Fund Net Position</v>
      </c>
      <c r="C114" s="225" t="str">
        <f>'Unit Data from Audit Worksheet'!D129</f>
        <v>Change in net position - Increase in net position is recorded as a positive and a (Decrease) in net position is recorded as a negative.</v>
      </c>
      <c r="D114" s="643"/>
      <c r="E114" s="683">
        <f>'Unit Data from Audit Worksheet'!F129</f>
        <v>0</v>
      </c>
      <c r="F114" s="325">
        <f>IF(L105-L107+L109-L110+L112+L111-L113-L114=0,,"Error:Total revenues less total expenses do not equal total change in net position. Acct # 84-85+350-351+191+352-353-50")</f>
        <v>0</v>
      </c>
      <c r="G114" s="344">
        <f>+L105-L107+L109-L110+L112+L111-L113-L114</f>
        <v>0</v>
      </c>
      <c r="H114" s="208">
        <f>'Unit Data from Audit Worksheet'!I129</f>
        <v>0</v>
      </c>
      <c r="I114" s="637"/>
      <c r="J114" s="204">
        <v>50</v>
      </c>
      <c r="K114" s="197" t="s">
        <v>107</v>
      </c>
      <c r="L114" s="698">
        <f t="shared" si="7"/>
        <v>0</v>
      </c>
      <c r="P114" s="409"/>
      <c r="Q114" s="646">
        <f>IF(G114&lt;&gt;0,1,0)</f>
        <v>0</v>
      </c>
      <c r="R114" s="632"/>
      <c r="W114" s="632" t="b">
        <f t="shared" si="9"/>
        <v>1</v>
      </c>
      <c r="X114" s="726">
        <f t="shared" si="10"/>
        <v>0</v>
      </c>
      <c r="Y114" s="726">
        <f t="shared" si="11"/>
        <v>0</v>
      </c>
      <c r="AA114" s="411"/>
    </row>
    <row r="115" spans="1:27" ht="144" customHeight="1" x14ac:dyDescent="0.25">
      <c r="A115" s="227">
        <f>'Unit Data from Audit Worksheet'!A130</f>
        <v>377</v>
      </c>
      <c r="B115" s="237" t="str">
        <f>'Unit Data from Audit Worksheet'!C130</f>
        <v>Water Sewer Revenue, Expenses &amp; Changes in Fund Net Position</v>
      </c>
      <c r="C115" s="225" t="str">
        <f>'Unit Data from Audit Worksheet'!D130</f>
        <v>Increases or (decreases) to beginning water sewer net position due to rounding, prior period adjustments and restatements.  Increase amounts to beginning net position should be entered as a positive amount and (decreases) should be entered as a negative amount.</v>
      </c>
      <c r="D115" s="643"/>
      <c r="E115" s="683">
        <f>'Unit Data from Audit Worksheet'!F130</f>
        <v>0</v>
      </c>
      <c r="F115" s="215" t="e">
        <f>IF(L85-L114-L115=O85,,"Error:Beginning Balance does not agree with out records.Acct # 83-50-377 = PY83")</f>
        <v>#N/A</v>
      </c>
      <c r="G115" s="344" t="e">
        <f>+L85-L114-L115-O85</f>
        <v>#N/A</v>
      </c>
      <c r="H115" s="208">
        <f>'Unit Data from Audit Worksheet'!I130</f>
        <v>0</v>
      </c>
      <c r="I115" s="637"/>
      <c r="J115" s="204">
        <v>377</v>
      </c>
      <c r="K115" s="197" t="s">
        <v>116</v>
      </c>
      <c r="L115" s="698">
        <f t="shared" si="7"/>
        <v>0</v>
      </c>
      <c r="P115" s="409"/>
      <c r="Q115" s="646" t="e">
        <f>IF(G115&lt;&gt;0,1,0)</f>
        <v>#N/A</v>
      </c>
      <c r="R115" s="632"/>
      <c r="W115" s="632" t="b">
        <f t="shared" si="9"/>
        <v>1</v>
      </c>
      <c r="X115" s="726">
        <f t="shared" si="10"/>
        <v>0</v>
      </c>
      <c r="Y115" s="726">
        <f t="shared" si="11"/>
        <v>0</v>
      </c>
      <c r="AA115" s="411"/>
    </row>
    <row r="116" spans="1:27" ht="63" customHeight="1" x14ac:dyDescent="0.25">
      <c r="A116" s="257">
        <f>'Unit Data from Audit Worksheet'!A131</f>
        <v>537</v>
      </c>
      <c r="B116" s="237" t="str">
        <f>'Unit Data from Audit Worksheet'!C131</f>
        <v>Water Sewer Revenue, Expenses &amp; Changes in Fund Net Position</v>
      </c>
      <c r="C116" s="245" t="str">
        <f>'Unit Data from Audit Worksheet'!D131</f>
        <v>Did unit raise Water Sewer rates during the audited fiscal period? - answer Yes or No</v>
      </c>
      <c r="D116" s="621"/>
      <c r="E116" s="697">
        <f>'Unit Data from Audit Worksheet'!F131</f>
        <v>0</v>
      </c>
      <c r="F116" s="216" t="s">
        <v>650</v>
      </c>
      <c r="G116" s="287"/>
      <c r="H116" s="208">
        <f>'Unit Data from Audit Worksheet'!I131</f>
        <v>0</v>
      </c>
      <c r="I116" s="637"/>
      <c r="J116" s="265">
        <v>537</v>
      </c>
      <c r="K116" s="262" t="s">
        <v>362</v>
      </c>
      <c r="L116" s="698">
        <f>IF(E116="Yes",1,2)</f>
        <v>2</v>
      </c>
      <c r="N116" s="255" t="s">
        <v>640</v>
      </c>
      <c r="P116" s="409"/>
      <c r="R116" s="632"/>
      <c r="W116" s="632" t="b">
        <f t="shared" si="9"/>
        <v>1</v>
      </c>
      <c r="X116" s="726">
        <f t="shared" si="10"/>
        <v>-2</v>
      </c>
      <c r="Y116" s="726">
        <f t="shared" si="11"/>
        <v>-2</v>
      </c>
      <c r="AA116" s="411"/>
    </row>
    <row r="117" spans="1:27" ht="63.75" customHeight="1" x14ac:dyDescent="0.25">
      <c r="A117" s="257">
        <f>'Unit Data from Audit Worksheet'!A132</f>
        <v>538</v>
      </c>
      <c r="B117" s="237" t="str">
        <f>'Unit Data from Audit Worksheet'!C132</f>
        <v>Water Sewer Revenue, Expenses &amp; Changes in Fund Net Position</v>
      </c>
      <c r="C117" s="245" t="str">
        <f>'Unit Data from Audit Worksheet'!D132</f>
        <v>Did unit raise Water Sewer rates during the budget year following the audited fiscal year? - answer Yes or No</v>
      </c>
      <c r="D117" s="621"/>
      <c r="E117" s="697">
        <f>'Unit Data from Audit Worksheet'!F132</f>
        <v>0</v>
      </c>
      <c r="F117" s="216" t="s">
        <v>650</v>
      </c>
      <c r="G117" s="287"/>
      <c r="H117" s="208">
        <f>'Unit Data from Audit Worksheet'!I132</f>
        <v>0</v>
      </c>
      <c r="I117" s="637"/>
      <c r="J117" s="265">
        <v>538</v>
      </c>
      <c r="K117" s="262" t="s">
        <v>361</v>
      </c>
      <c r="L117" s="698">
        <f>IF(E117="Yes",1,2)</f>
        <v>2</v>
      </c>
      <c r="N117" s="255" t="s">
        <v>640</v>
      </c>
      <c r="P117" s="409"/>
      <c r="R117" s="632"/>
      <c r="W117" s="632" t="b">
        <f t="shared" si="9"/>
        <v>1</v>
      </c>
      <c r="X117" s="726">
        <f t="shared" si="10"/>
        <v>-2</v>
      </c>
      <c r="Y117" s="726">
        <f t="shared" si="11"/>
        <v>-2</v>
      </c>
      <c r="AA117" s="411"/>
    </row>
    <row r="118" spans="1:27" ht="47.25" customHeight="1" x14ac:dyDescent="0.25">
      <c r="A118" s="227">
        <f>'Unit Data from Audit Worksheet'!A134</f>
        <v>97</v>
      </c>
      <c r="B118" s="237" t="str">
        <f>'Unit Data from Audit Worksheet'!C134</f>
        <v>Electric Fund Revenue, Expenses &amp; Changes in Fund Net Position</v>
      </c>
      <c r="C118" s="225" t="str">
        <f>'Unit Data from Audit Worksheet'!D134</f>
        <v>Charges for services</v>
      </c>
      <c r="D118" s="398"/>
      <c r="E118" s="697">
        <f>'Unit Data from Audit Worksheet'!F134</f>
        <v>0</v>
      </c>
      <c r="F118" s="216">
        <f>IF(L118&lt;0,"Error: Enter as a positive.",)</f>
        <v>0</v>
      </c>
      <c r="G118" s="287"/>
      <c r="H118" s="208">
        <f>'Unit Data from Audit Worksheet'!I134</f>
        <v>0</v>
      </c>
      <c r="I118" s="637"/>
      <c r="J118" s="204">
        <v>97</v>
      </c>
      <c r="K118" s="197" t="s">
        <v>303</v>
      </c>
      <c r="L118" s="698">
        <f t="shared" ref="L118:L182" si="14">IF(D118="",E118,D118)</f>
        <v>0</v>
      </c>
      <c r="P118" s="409"/>
      <c r="R118" s="632"/>
      <c r="W118" s="632" t="b">
        <f t="shared" si="9"/>
        <v>1</v>
      </c>
      <c r="X118" s="726">
        <f t="shared" si="10"/>
        <v>0</v>
      </c>
      <c r="Y118" s="726">
        <f t="shared" si="11"/>
        <v>0</v>
      </c>
      <c r="AA118" s="411"/>
    </row>
    <row r="119" spans="1:27" ht="45.75" customHeight="1" x14ac:dyDescent="0.25">
      <c r="A119" s="227">
        <f>'Unit Data from Audit Worksheet'!A135</f>
        <v>93</v>
      </c>
      <c r="B119" s="237" t="str">
        <f>'Unit Data from Audit Worksheet'!C135</f>
        <v>Electric Fund Revenue, Expenses &amp; Changes in Fund Net Position</v>
      </c>
      <c r="C119" s="225" t="str">
        <f>'Unit Data from Audit Worksheet'!D135</f>
        <v>Total Operating revenues</v>
      </c>
      <c r="D119" s="398"/>
      <c r="E119" s="697">
        <f>'Unit Data from Audit Worksheet'!F135</f>
        <v>0</v>
      </c>
      <c r="F119" s="216" t="str">
        <f>IF(L118&gt;L119,"Error: Charges for services exceeds total operating revenues Acct 97&gt;=93"," ")</f>
        <v xml:space="preserve"> </v>
      </c>
      <c r="G119" s="327" t="str">
        <f>IF(Q119=1," Included in error count"," ")</f>
        <v xml:space="preserve"> </v>
      </c>
      <c r="H119" s="208">
        <f>'Unit Data from Audit Worksheet'!I135</f>
        <v>0</v>
      </c>
      <c r="I119" s="637"/>
      <c r="J119" s="204">
        <v>93</v>
      </c>
      <c r="K119" s="197" t="s">
        <v>304</v>
      </c>
      <c r="L119" s="698">
        <f t="shared" si="14"/>
        <v>0</v>
      </c>
      <c r="P119" s="409"/>
      <c r="Q119" s="328">
        <f>IF(L118&gt;L119,1,0)</f>
        <v>0</v>
      </c>
      <c r="R119" s="632"/>
      <c r="W119" s="632" t="b">
        <f t="shared" si="9"/>
        <v>1</v>
      </c>
      <c r="X119" s="726">
        <f t="shared" si="10"/>
        <v>0</v>
      </c>
      <c r="Y119" s="726">
        <f t="shared" si="11"/>
        <v>0</v>
      </c>
      <c r="AA119" s="411"/>
    </row>
    <row r="120" spans="1:27" ht="45.75" customHeight="1" x14ac:dyDescent="0.25">
      <c r="A120" s="227">
        <f>'Unit Data from Audit Worksheet'!A136</f>
        <v>99</v>
      </c>
      <c r="B120" s="237" t="str">
        <f>'Unit Data from Audit Worksheet'!C136</f>
        <v>Electric Fund Revenue, Expenses &amp; Changes in Fund Net Position</v>
      </c>
      <c r="C120" s="225" t="str">
        <f>'Unit Data from Audit Worksheet'!D136</f>
        <v>Electrical power purchases</v>
      </c>
      <c r="D120" s="398"/>
      <c r="E120" s="697">
        <f>'Unit Data from Audit Worksheet'!F136</f>
        <v>0</v>
      </c>
      <c r="F120" s="216">
        <f>IF(L120&lt;0,"Error: Enter as a positive.",)</f>
        <v>0</v>
      </c>
      <c r="G120" s="287"/>
      <c r="H120" s="208">
        <f>'Unit Data from Audit Worksheet'!I136</f>
        <v>0</v>
      </c>
      <c r="I120" s="637"/>
      <c r="J120" s="204">
        <v>99</v>
      </c>
      <c r="K120" s="197" t="s">
        <v>305</v>
      </c>
      <c r="L120" s="698">
        <f t="shared" si="14"/>
        <v>0</v>
      </c>
      <c r="P120" s="409"/>
      <c r="R120" s="632"/>
      <c r="W120" s="632" t="b">
        <f t="shared" si="9"/>
        <v>1</v>
      </c>
      <c r="X120" s="726">
        <f t="shared" si="10"/>
        <v>0</v>
      </c>
      <c r="Y120" s="726">
        <f t="shared" si="11"/>
        <v>0</v>
      </c>
      <c r="AA120" s="411"/>
    </row>
    <row r="121" spans="1:27" ht="45.75" customHeight="1" x14ac:dyDescent="0.25">
      <c r="A121" s="227">
        <f>'Unit Data from Audit Worksheet'!A137</f>
        <v>52</v>
      </c>
      <c r="B121" s="237" t="str">
        <f>'Unit Data from Audit Worksheet'!C137</f>
        <v>Electric Fund Revenue, Expenses &amp; Changes in Fund Net Position</v>
      </c>
      <c r="C121" s="225" t="str">
        <f>'Unit Data from Audit Worksheet'!D137</f>
        <v>Depreciation and amortization expense</v>
      </c>
      <c r="D121" s="398"/>
      <c r="E121" s="697">
        <f>'Unit Data from Audit Worksheet'!F137</f>
        <v>0</v>
      </c>
      <c r="F121" s="426">
        <f>IF(L121&lt;0,"Error: Enter as a positive.",)</f>
        <v>0</v>
      </c>
      <c r="G121" s="287"/>
      <c r="H121" s="208">
        <f>'Unit Data from Audit Worksheet'!I137</f>
        <v>0</v>
      </c>
      <c r="I121" s="637"/>
      <c r="J121" s="204">
        <v>52</v>
      </c>
      <c r="K121" s="197" t="s">
        <v>306</v>
      </c>
      <c r="L121" s="698">
        <f t="shared" si="14"/>
        <v>0</v>
      </c>
      <c r="P121" s="409"/>
      <c r="R121" s="632"/>
      <c r="W121" s="632" t="b">
        <f t="shared" si="9"/>
        <v>1</v>
      </c>
      <c r="X121" s="726">
        <f t="shared" si="10"/>
        <v>0</v>
      </c>
      <c r="Y121" s="726">
        <f t="shared" si="11"/>
        <v>0</v>
      </c>
      <c r="AA121" s="411"/>
    </row>
    <row r="122" spans="1:27" ht="45.75" customHeight="1" x14ac:dyDescent="0.25">
      <c r="A122" s="227">
        <f>'Unit Data from Audit Worksheet'!A138</f>
        <v>94</v>
      </c>
      <c r="B122" s="237" t="str">
        <f>'Unit Data from Audit Worksheet'!C138</f>
        <v>Electric Fund Revenue, Expenses &amp; Changes in Fund Net Position</v>
      </c>
      <c r="C122" s="225" t="str">
        <f>'Unit Data from Audit Worksheet'!D138</f>
        <v>Total Operating expenses</v>
      </c>
      <c r="D122" s="398"/>
      <c r="E122" s="697">
        <f>'Unit Data from Audit Worksheet'!F138</f>
        <v>0</v>
      </c>
      <c r="F122" s="426">
        <f>IF(L122&lt;0,"Error: Enter as a positive.",)</f>
        <v>0</v>
      </c>
      <c r="G122" s="287"/>
      <c r="H122" s="208">
        <f>'Unit Data from Audit Worksheet'!I138</f>
        <v>0</v>
      </c>
      <c r="I122" s="637"/>
      <c r="J122" s="204">
        <v>94</v>
      </c>
      <c r="K122" s="197" t="s">
        <v>307</v>
      </c>
      <c r="L122" s="698">
        <f t="shared" si="14"/>
        <v>0</v>
      </c>
      <c r="P122" s="409"/>
      <c r="R122" s="632"/>
      <c r="W122" s="632" t="b">
        <f t="shared" si="9"/>
        <v>1</v>
      </c>
      <c r="X122" s="726">
        <f t="shared" si="10"/>
        <v>0</v>
      </c>
      <c r="Y122" s="726">
        <f t="shared" si="11"/>
        <v>0</v>
      </c>
      <c r="AA122" s="411"/>
    </row>
    <row r="123" spans="1:27" ht="46.5" customHeight="1" x14ac:dyDescent="0.25">
      <c r="A123" s="227">
        <f>'Unit Data from Audit Worksheet'!A139</f>
        <v>98</v>
      </c>
      <c r="B123" s="237" t="str">
        <f>'Unit Data from Audit Worksheet'!C139</f>
        <v>Electric Fund Revenue, Expenses &amp; Changes in Fund Net Position</v>
      </c>
      <c r="C123" s="225" t="str">
        <f>'Unit Data from Audit Worksheet'!D139</f>
        <v>Interest expense</v>
      </c>
      <c r="D123" s="398"/>
      <c r="E123" s="697">
        <f>'Unit Data from Audit Worksheet'!F139</f>
        <v>0</v>
      </c>
      <c r="F123" s="426">
        <f>IF(L123&lt;0,"Error: Enter as a positive.",)</f>
        <v>0</v>
      </c>
      <c r="G123" s="287"/>
      <c r="H123" s="208">
        <f>'Unit Data from Audit Worksheet'!I139</f>
        <v>0</v>
      </c>
      <c r="I123" s="637"/>
      <c r="J123" s="204">
        <v>98</v>
      </c>
      <c r="K123" s="197" t="s">
        <v>308</v>
      </c>
      <c r="L123" s="698">
        <f t="shared" si="14"/>
        <v>0</v>
      </c>
      <c r="P123" s="409"/>
      <c r="R123" s="632"/>
      <c r="W123" s="632" t="b">
        <f t="shared" si="9"/>
        <v>1</v>
      </c>
      <c r="X123" s="726">
        <f t="shared" si="10"/>
        <v>0</v>
      </c>
      <c r="Y123" s="726">
        <f t="shared" si="11"/>
        <v>0</v>
      </c>
      <c r="AA123" s="411"/>
    </row>
    <row r="124" spans="1:27" ht="51" customHeight="1" x14ac:dyDescent="0.25">
      <c r="A124" s="227">
        <f>'Unit Data from Audit Worksheet'!A140</f>
        <v>363</v>
      </c>
      <c r="B124" s="237" t="str">
        <f>'Unit Data from Audit Worksheet'!C140</f>
        <v>Electric Fund Revenue, Expenses &amp; Changes in Fund Net Position</v>
      </c>
      <c r="C124" s="225" t="str">
        <f>'Unit Data from Audit Worksheet'!D140</f>
        <v>Total all the non-operating revenues  
Exclude Capital Contributions.</v>
      </c>
      <c r="D124" s="398"/>
      <c r="E124" s="697">
        <f>'Unit Data from Audit Worksheet'!F140</f>
        <v>0</v>
      </c>
      <c r="F124" s="216"/>
      <c r="G124" s="287"/>
      <c r="H124" s="208">
        <f>'Unit Data from Audit Worksheet'!I140</f>
        <v>0</v>
      </c>
      <c r="I124" s="637"/>
      <c r="J124" s="204">
        <v>363</v>
      </c>
      <c r="K124" s="197" t="s">
        <v>309</v>
      </c>
      <c r="L124" s="698">
        <f t="shared" si="14"/>
        <v>0</v>
      </c>
      <c r="P124" s="409"/>
      <c r="R124" s="632"/>
      <c r="W124" s="632" t="b">
        <f t="shared" si="9"/>
        <v>1</v>
      </c>
      <c r="X124" s="726">
        <f t="shared" si="10"/>
        <v>0</v>
      </c>
      <c r="Y124" s="726">
        <f t="shared" si="11"/>
        <v>0</v>
      </c>
      <c r="AA124" s="411"/>
    </row>
    <row r="125" spans="1:27" ht="60" customHeight="1" x14ac:dyDescent="0.25">
      <c r="A125" s="227">
        <f>'Unit Data from Audit Worksheet'!A141</f>
        <v>364</v>
      </c>
      <c r="B125" s="237" t="str">
        <f>'Unit Data from Audit Worksheet'!C141</f>
        <v>Electric Fund Revenue, Expenses &amp; Changes in Fund Net Position</v>
      </c>
      <c r="C125" s="225" t="str">
        <f>'Unit Data from Audit Worksheet'!D141</f>
        <v>Total all non-operating expenses.  
Include negative special, extraordinary, or capital contribution.</v>
      </c>
      <c r="D125" s="398"/>
      <c r="E125" s="697">
        <f>'Unit Data from Audit Worksheet'!F141</f>
        <v>0</v>
      </c>
      <c r="F125" s="426">
        <f>IF(L125&lt;0,"Error: Enter as a positive.",)</f>
        <v>0</v>
      </c>
      <c r="G125" s="287"/>
      <c r="H125" s="208">
        <f>'Unit Data from Audit Worksheet'!I141</f>
        <v>0</v>
      </c>
      <c r="I125" s="637"/>
      <c r="J125" s="204">
        <v>364</v>
      </c>
      <c r="K125" s="197" t="s">
        <v>310</v>
      </c>
      <c r="L125" s="698">
        <f t="shared" si="14"/>
        <v>0</v>
      </c>
      <c r="P125" s="409"/>
      <c r="R125" s="632"/>
      <c r="W125" s="632" t="b">
        <f t="shared" si="9"/>
        <v>1</v>
      </c>
      <c r="X125" s="726">
        <f t="shared" si="10"/>
        <v>0</v>
      </c>
      <c r="Y125" s="726">
        <f t="shared" si="11"/>
        <v>0</v>
      </c>
      <c r="AA125" s="411"/>
    </row>
    <row r="126" spans="1:27" ht="89.25" customHeight="1" x14ac:dyDescent="0.25">
      <c r="A126" s="227">
        <f>'Unit Data from Audit Worksheet'!A142</f>
        <v>192</v>
      </c>
      <c r="B126" s="237" t="str">
        <f>'Unit Data from Audit Worksheet'!C142</f>
        <v>Electric Fund Revenue, Expenses &amp; Changes in Fund Net Position</v>
      </c>
      <c r="C126" s="225" t="str">
        <f>'Unit Data from Audit Worksheet'!D142</f>
        <v>Capital Contributions.  
Include only positive capital Contributions.  Negative capital contributions should be included with 'Total all non-operating expenses.'</v>
      </c>
      <c r="D126" s="398"/>
      <c r="E126" s="697">
        <f>'Unit Data from Audit Worksheet'!F142</f>
        <v>0</v>
      </c>
      <c r="F126" s="426">
        <f>IF(L126&lt;0,"Error: Enter as a positive.",)</f>
        <v>0</v>
      </c>
      <c r="G126" s="287"/>
      <c r="H126" s="208">
        <f>'Unit Data from Audit Worksheet'!I142</f>
        <v>0</v>
      </c>
      <c r="I126" s="637"/>
      <c r="J126" s="204">
        <v>192</v>
      </c>
      <c r="K126" s="197" t="s">
        <v>311</v>
      </c>
      <c r="L126" s="698">
        <f t="shared" si="14"/>
        <v>0</v>
      </c>
      <c r="P126" s="409"/>
      <c r="R126" s="632"/>
      <c r="W126" s="632" t="b">
        <f t="shared" si="9"/>
        <v>1</v>
      </c>
      <c r="X126" s="726">
        <f t="shared" si="10"/>
        <v>0</v>
      </c>
      <c r="Y126" s="726">
        <f t="shared" si="11"/>
        <v>0</v>
      </c>
      <c r="AA126" s="411"/>
    </row>
    <row r="127" spans="1:27" ht="42.75" customHeight="1" x14ac:dyDescent="0.25">
      <c r="A127" s="227">
        <f>'Unit Data from Audit Worksheet'!A143</f>
        <v>365</v>
      </c>
      <c r="B127" s="237" t="str">
        <f>'Unit Data from Audit Worksheet'!C143</f>
        <v>Electric Fund Revenue, Expenses &amp; Changes in Fund Net Position</v>
      </c>
      <c r="C127" s="225" t="str">
        <f>'Unit Data from Audit Worksheet'!D143</f>
        <v>Total Transfers In (From all Funds)</v>
      </c>
      <c r="D127" s="398"/>
      <c r="E127" s="697">
        <f>'Unit Data from Audit Worksheet'!F143</f>
        <v>0</v>
      </c>
      <c r="F127" s="216"/>
      <c r="G127" s="287"/>
      <c r="H127" s="208">
        <f>'Unit Data from Audit Worksheet'!I143</f>
        <v>0</v>
      </c>
      <c r="I127" s="637"/>
      <c r="J127" s="204">
        <v>365</v>
      </c>
      <c r="K127" s="197" t="s">
        <v>312</v>
      </c>
      <c r="L127" s="698">
        <f t="shared" si="14"/>
        <v>0</v>
      </c>
      <c r="P127" s="409"/>
      <c r="R127" s="632"/>
      <c r="W127" s="632" t="b">
        <f t="shared" si="9"/>
        <v>1</v>
      </c>
      <c r="X127" s="726">
        <f t="shared" si="10"/>
        <v>0</v>
      </c>
      <c r="Y127" s="726">
        <f t="shared" si="11"/>
        <v>0</v>
      </c>
      <c r="AA127" s="411"/>
    </row>
    <row r="128" spans="1:27" ht="42.75" customHeight="1" x14ac:dyDescent="0.25">
      <c r="A128" s="227">
        <f>'Unit Data from Audit Worksheet'!A144</f>
        <v>366</v>
      </c>
      <c r="B128" s="237" t="str">
        <f>'Unit Data from Audit Worksheet'!C144</f>
        <v>Electric Fund Revenue, Expenses &amp; Changes in Fund Net Position</v>
      </c>
      <c r="C128" s="225" t="str">
        <f>'Unit Data from Audit Worksheet'!D144</f>
        <v>Total Transfers Out (To all funds)</v>
      </c>
      <c r="D128" s="398"/>
      <c r="E128" s="697">
        <f>'Unit Data from Audit Worksheet'!F144</f>
        <v>0</v>
      </c>
      <c r="F128" s="426">
        <f>IF(L128&lt;0,"Error: Enter as a positive.",)</f>
        <v>0</v>
      </c>
      <c r="G128" s="287"/>
      <c r="H128" s="208">
        <f>'Unit Data from Audit Worksheet'!I144</f>
        <v>0</v>
      </c>
      <c r="I128" s="637"/>
      <c r="J128" s="204">
        <v>366</v>
      </c>
      <c r="K128" s="197" t="s">
        <v>625</v>
      </c>
      <c r="L128" s="698">
        <f t="shared" si="14"/>
        <v>0</v>
      </c>
      <c r="P128" s="409"/>
      <c r="R128" s="632"/>
      <c r="W128" s="632" t="b">
        <f t="shared" si="9"/>
        <v>1</v>
      </c>
      <c r="X128" s="726">
        <f t="shared" si="10"/>
        <v>0</v>
      </c>
      <c r="Y128" s="726">
        <f t="shared" si="11"/>
        <v>0</v>
      </c>
      <c r="AA128" s="411"/>
    </row>
    <row r="129" spans="1:27" s="504" customFormat="1" ht="76.5" customHeight="1" x14ac:dyDescent="0.25">
      <c r="A129" s="428">
        <f>'Unit Data from Audit Worksheet'!A145</f>
        <v>53</v>
      </c>
      <c r="B129" s="429" t="str">
        <f>'Unit Data from Audit Worksheet'!C145</f>
        <v>Electric Fund Revenue, Expenses &amp; Changes in Fund Net Position</v>
      </c>
      <c r="C129" s="427" t="str">
        <f>'Unit Data from Audit Worksheet'!D145</f>
        <v>Change in net position - Increase in net position is recorded as a positive and a (decrease) in net position is recorded as a negative.</v>
      </c>
      <c r="D129" s="398"/>
      <c r="E129" s="697">
        <f>'Unit Data from Audit Worksheet'!F145</f>
        <v>0</v>
      </c>
      <c r="F129" s="426">
        <f>IF(L119-L122+L124-L125+L126+L127-L128-L129=0,,"Error: Total revenues less total exp. does not equal change in net position Acct 93-94+363-364+192+365-366-53=0")</f>
        <v>0</v>
      </c>
      <c r="G129" s="344">
        <f>+L119-L122+L124-L125+L126+L127-L128-L129</f>
        <v>0</v>
      </c>
      <c r="H129" s="424">
        <f>'Unit Data from Audit Worksheet'!I145</f>
        <v>0</v>
      </c>
      <c r="I129" s="637"/>
      <c r="J129" s="435">
        <v>53</v>
      </c>
      <c r="K129" s="434" t="s">
        <v>108</v>
      </c>
      <c r="L129" s="698">
        <f t="shared" si="14"/>
        <v>0</v>
      </c>
      <c r="P129" s="611"/>
      <c r="Q129" s="646">
        <f>IF(G129&lt;&gt;0,1,0)</f>
        <v>0</v>
      </c>
      <c r="R129" s="632"/>
      <c r="W129" s="632" t="b">
        <f t="shared" si="9"/>
        <v>1</v>
      </c>
      <c r="X129" s="726">
        <f t="shared" si="10"/>
        <v>0</v>
      </c>
      <c r="Y129" s="726">
        <f t="shared" si="11"/>
        <v>0</v>
      </c>
    </row>
    <row r="130" spans="1:27" ht="140.25" customHeight="1" x14ac:dyDescent="0.25">
      <c r="A130" s="227">
        <f>'Unit Data from Audit Worksheet'!A146</f>
        <v>378</v>
      </c>
      <c r="B130" s="237" t="str">
        <f>'Unit Data from Audit Worksheet'!C146</f>
        <v>Electric Fund Revenue, Expenses &amp; Changes in Fund Net Position</v>
      </c>
      <c r="C130" s="225" t="str">
        <f>'Unit Data from Audit Worksheet'!D146</f>
        <v>Increases or (decreases) to beginning electric net position due to rounding, prior period adjustments and restatements.  Increase amounts to beginning net position should be entered as a positive amount and (decreases) should be entered as a negative amount.</v>
      </c>
      <c r="D130" s="398"/>
      <c r="E130" s="697">
        <f>+'Unit Data from Audit Worksheet'!F146</f>
        <v>0</v>
      </c>
      <c r="F130" s="216" t="e">
        <f>IF(L103-L129-L130=O103,,"Error: Beg. Bal does not agree with our records Acct 362-53-378= pr yr 362")</f>
        <v>#N/A</v>
      </c>
      <c r="G130" s="344" t="e">
        <f>L103-L129-L130-O103</f>
        <v>#N/A</v>
      </c>
      <c r="H130" s="208">
        <f>'Unit Data from Audit Worksheet'!I146</f>
        <v>0</v>
      </c>
      <c r="I130" s="637"/>
      <c r="J130" s="204">
        <v>378</v>
      </c>
      <c r="K130" s="197" t="s">
        <v>117</v>
      </c>
      <c r="L130" s="698">
        <f t="shared" si="14"/>
        <v>0</v>
      </c>
      <c r="P130" s="409"/>
      <c r="Q130" s="646" t="e">
        <f>IF(G130&lt;&gt;0,1,0)</f>
        <v>#N/A</v>
      </c>
      <c r="R130" s="632"/>
      <c r="W130" s="632" t="b">
        <f t="shared" si="9"/>
        <v>1</v>
      </c>
      <c r="X130" s="726">
        <f t="shared" si="10"/>
        <v>0</v>
      </c>
      <c r="Y130" s="726">
        <f t="shared" si="11"/>
        <v>0</v>
      </c>
      <c r="AA130" s="411"/>
    </row>
    <row r="131" spans="1:27" ht="45" x14ac:dyDescent="0.25">
      <c r="A131" s="227">
        <f>'Unit Data from Audit Worksheet'!A151</f>
        <v>51</v>
      </c>
      <c r="B131" s="237" t="str">
        <f>'Unit Data from Audit Worksheet'!C151</f>
        <v>Water Sewer Cash Flow Statement</v>
      </c>
      <c r="C131" s="225" t="str">
        <f>'Unit Data from Audit Worksheet'!D151</f>
        <v>Total Cash flow from operating activities  - (Enter negative cash flows as negative)</v>
      </c>
      <c r="D131" s="398"/>
      <c r="E131" s="697">
        <f>'Unit Data from Audit Worksheet'!F151</f>
        <v>0</v>
      </c>
      <c r="F131" s="216"/>
      <c r="G131" s="287"/>
      <c r="H131" s="208">
        <f>'Unit Data from Audit Worksheet'!I151</f>
        <v>0</v>
      </c>
      <c r="I131" s="637"/>
      <c r="J131" s="204">
        <v>51</v>
      </c>
      <c r="K131" s="197" t="s">
        <v>313</v>
      </c>
      <c r="L131" s="698">
        <f t="shared" si="14"/>
        <v>0</v>
      </c>
      <c r="P131" s="409"/>
      <c r="R131" s="632"/>
      <c r="W131" s="632" t="b">
        <f t="shared" si="9"/>
        <v>1</v>
      </c>
      <c r="X131" s="726">
        <f t="shared" si="10"/>
        <v>0</v>
      </c>
      <c r="Y131" s="726">
        <f t="shared" si="11"/>
        <v>0</v>
      </c>
      <c r="AA131" s="411"/>
    </row>
    <row r="132" spans="1:27" ht="64.5" customHeight="1" x14ac:dyDescent="0.25">
      <c r="A132" s="227">
        <f>'Unit Data from Audit Worksheet'!A152</f>
        <v>332</v>
      </c>
      <c r="B132" s="237" t="str">
        <f>'Unit Data from Audit Worksheet'!C152</f>
        <v>Water Sewer Cash Flow Statement</v>
      </c>
      <c r="C132" s="225" t="str">
        <f>'Unit Data from Audit Worksheet'!D152</f>
        <v>Total Capital outlay. 
Include acquisition and construction of capital assets.</v>
      </c>
      <c r="D132" s="398"/>
      <c r="E132" s="697">
        <f>'Unit Data from Audit Worksheet'!F152</f>
        <v>0</v>
      </c>
      <c r="F132" s="426">
        <f>IF(L132&lt;0,"Error: Enter as a positive.",)</f>
        <v>0</v>
      </c>
      <c r="G132" s="287"/>
      <c r="H132" s="208">
        <f>'Unit Data from Audit Worksheet'!I152</f>
        <v>0</v>
      </c>
      <c r="I132" s="637"/>
      <c r="J132" s="204">
        <v>332</v>
      </c>
      <c r="K132" s="197" t="s">
        <v>315</v>
      </c>
      <c r="L132" s="698">
        <f t="shared" si="14"/>
        <v>0</v>
      </c>
      <c r="O132" s="188"/>
      <c r="P132" s="409"/>
      <c r="R132" s="632"/>
      <c r="W132" s="632" t="b">
        <f t="shared" si="9"/>
        <v>1</v>
      </c>
      <c r="X132" s="726">
        <f t="shared" si="10"/>
        <v>0</v>
      </c>
      <c r="Y132" s="726">
        <f t="shared" si="11"/>
        <v>0</v>
      </c>
      <c r="AA132" s="411"/>
    </row>
    <row r="133" spans="1:27" ht="58.5" customHeight="1" x14ac:dyDescent="0.25">
      <c r="A133" s="227">
        <f>'Unit Data from Audit Worksheet'!A153</f>
        <v>331</v>
      </c>
      <c r="B133" s="237" t="str">
        <f>'Unit Data from Audit Worksheet'!C153</f>
        <v>Water Sewer Cash Flow Statement</v>
      </c>
      <c r="C133" s="225" t="str">
        <f>'Unit Data from Audit Worksheet'!D153</f>
        <v>Principal paid on long-term debt.  Amount should be reduced by principal payments for debt refunding.</v>
      </c>
      <c r="D133" s="398"/>
      <c r="E133" s="697">
        <f>'Unit Data from Audit Worksheet'!F153</f>
        <v>0</v>
      </c>
      <c r="F133" s="426">
        <f>IF(L133&lt;0,"Error: Enter as a positive.",)</f>
        <v>0</v>
      </c>
      <c r="G133" s="287"/>
      <c r="H133" s="208">
        <f>'Unit Data from Audit Worksheet'!I153</f>
        <v>0</v>
      </c>
      <c r="I133" s="637"/>
      <c r="J133" s="204">
        <v>331</v>
      </c>
      <c r="K133" s="197" t="s">
        <v>314</v>
      </c>
      <c r="L133" s="698">
        <f t="shared" si="14"/>
        <v>0</v>
      </c>
      <c r="O133" s="188"/>
      <c r="P133" s="409"/>
      <c r="R133" s="632"/>
      <c r="W133" s="632" t="b">
        <f t="shared" ref="W133:W201" si="15">EXACT(A133,J133)</f>
        <v>1</v>
      </c>
      <c r="X133" s="726">
        <f t="shared" ref="X133:X201" si="16">E133-L133</f>
        <v>0</v>
      </c>
      <c r="Y133" s="726">
        <f t="shared" ref="Y133:Y201" si="17">D133-L133</f>
        <v>0</v>
      </c>
      <c r="AA133" s="411"/>
    </row>
    <row r="134" spans="1:27" ht="51.75" customHeight="1" x14ac:dyDescent="0.25">
      <c r="A134" s="227">
        <f>'Unit Data from Audit Worksheet'!A155</f>
        <v>55</v>
      </c>
      <c r="B134" s="237" t="str">
        <f>'Unit Data from Audit Worksheet'!C155</f>
        <v>Electric Fund Cash Flow Statement</v>
      </c>
      <c r="C134" s="225" t="str">
        <f>'Unit Data from Audit Worksheet'!D155</f>
        <v>Cash flow from operating activities - (enter negative cash flows as negative)</v>
      </c>
      <c r="D134" s="398"/>
      <c r="E134" s="697">
        <f>'Unit Data from Audit Worksheet'!F155</f>
        <v>0</v>
      </c>
      <c r="F134" s="216"/>
      <c r="G134" s="287"/>
      <c r="H134" s="208">
        <f>'Unit Data from Audit Worksheet'!I155</f>
        <v>0</v>
      </c>
      <c r="I134" s="637"/>
      <c r="J134" s="204">
        <v>55</v>
      </c>
      <c r="K134" s="197" t="s">
        <v>316</v>
      </c>
      <c r="L134" s="698">
        <f t="shared" si="14"/>
        <v>0</v>
      </c>
      <c r="P134" s="409"/>
      <c r="R134" s="632"/>
      <c r="W134" s="632" t="b">
        <f t="shared" si="15"/>
        <v>1</v>
      </c>
      <c r="X134" s="726">
        <f t="shared" si="16"/>
        <v>0</v>
      </c>
      <c r="Y134" s="726">
        <f t="shared" si="17"/>
        <v>0</v>
      </c>
      <c r="AA134" s="411"/>
    </row>
    <row r="135" spans="1:27" ht="58.5" customHeight="1" x14ac:dyDescent="0.25">
      <c r="A135" s="227">
        <f>'Unit Data from Audit Worksheet'!A156</f>
        <v>101</v>
      </c>
      <c r="B135" s="237" t="str">
        <f>'Unit Data from Audit Worksheet'!C156</f>
        <v>Electric Fund Cash Flow Statement</v>
      </c>
      <c r="C135" s="225" t="str">
        <f>'Unit Data from Audit Worksheet'!D156</f>
        <v>Total Capital outlay.  
Include acquisition and construction of capital assets.</v>
      </c>
      <c r="D135" s="398"/>
      <c r="E135" s="697">
        <f>'Unit Data from Audit Worksheet'!F156</f>
        <v>0</v>
      </c>
      <c r="F135" s="426">
        <f>IF(L135&lt;0,"Error: Enter as a positive.",)</f>
        <v>0</v>
      </c>
      <c r="G135" s="287"/>
      <c r="H135" s="208">
        <f>'Unit Data from Audit Worksheet'!I156</f>
        <v>0</v>
      </c>
      <c r="I135" s="637"/>
      <c r="J135" s="204">
        <v>101</v>
      </c>
      <c r="K135" s="197" t="s">
        <v>317</v>
      </c>
      <c r="L135" s="698">
        <f t="shared" si="14"/>
        <v>0</v>
      </c>
      <c r="P135" s="409"/>
      <c r="R135" s="632"/>
      <c r="W135" s="632" t="b">
        <f t="shared" si="15"/>
        <v>1</v>
      </c>
      <c r="X135" s="726">
        <f t="shared" si="16"/>
        <v>0</v>
      </c>
      <c r="Y135" s="726">
        <f t="shared" si="17"/>
        <v>0</v>
      </c>
      <c r="AA135" s="411"/>
    </row>
    <row r="136" spans="1:27" ht="60.75" customHeight="1" x14ac:dyDescent="0.25">
      <c r="A136" s="227">
        <f>'Unit Data from Audit Worksheet'!A157</f>
        <v>100</v>
      </c>
      <c r="B136" s="237" t="str">
        <f>'Unit Data from Audit Worksheet'!C157</f>
        <v>Electric Fund Cash Flow Statement</v>
      </c>
      <c r="C136" s="225" t="str">
        <f>'Unit Data from Audit Worksheet'!D157</f>
        <v>Principal paid on long-term debt.  Amount should be reduced by principal payments for debt refunding.</v>
      </c>
      <c r="D136" s="398"/>
      <c r="E136" s="697">
        <f>'Unit Data from Audit Worksheet'!F157</f>
        <v>0</v>
      </c>
      <c r="F136" s="426">
        <f>IF(L136&lt;0,"Error: Enter as a positive.",)</f>
        <v>0</v>
      </c>
      <c r="G136" s="287"/>
      <c r="H136" s="208">
        <f>'Unit Data from Audit Worksheet'!I157</f>
        <v>0</v>
      </c>
      <c r="I136" s="637"/>
      <c r="J136" s="204">
        <v>100</v>
      </c>
      <c r="K136" s="197" t="s">
        <v>318</v>
      </c>
      <c r="L136" s="698">
        <f t="shared" si="14"/>
        <v>0</v>
      </c>
      <c r="P136" s="409"/>
      <c r="R136" s="632"/>
      <c r="W136" s="632" t="b">
        <f t="shared" si="15"/>
        <v>1</v>
      </c>
      <c r="X136" s="726">
        <f t="shared" si="16"/>
        <v>0</v>
      </c>
      <c r="Y136" s="726">
        <f t="shared" si="17"/>
        <v>0</v>
      </c>
      <c r="AA136" s="411"/>
    </row>
    <row r="137" spans="1:27" ht="71.25" customHeight="1" x14ac:dyDescent="0.25">
      <c r="A137" s="227">
        <f>'Unit Data from Audit Worksheet'!A159</f>
        <v>512</v>
      </c>
      <c r="B137" s="237" t="str">
        <f>'Unit Data from Audit Worksheet'!C159</f>
        <v>Fiduciary Statements</v>
      </c>
      <c r="C137" s="225" t="str">
        <f>'Unit Data from Audit Worksheet'!D159</f>
        <v>Cash and investments.  
Include:  unrestricted and restricted.  
                 cash and investments held by a third party</v>
      </c>
      <c r="D137" s="398"/>
      <c r="E137" s="697">
        <f>'Unit Data from Audit Worksheet'!F159</f>
        <v>0</v>
      </c>
      <c r="F137" s="216">
        <f>IF(L137&lt;0,"Error: Number is normally positive.",)</f>
        <v>0</v>
      </c>
      <c r="G137" s="287"/>
      <c r="H137" s="208">
        <f>'Unit Data from Audit Worksheet'!I159</f>
        <v>0</v>
      </c>
      <c r="I137" s="637"/>
      <c r="J137" s="204">
        <v>512</v>
      </c>
      <c r="K137" s="197" t="s">
        <v>319</v>
      </c>
      <c r="L137" s="698">
        <f t="shared" si="14"/>
        <v>0</v>
      </c>
      <c r="P137" s="409"/>
      <c r="R137" s="632"/>
      <c r="W137" s="632" t="b">
        <f t="shared" si="15"/>
        <v>1</v>
      </c>
      <c r="X137" s="726">
        <f t="shared" si="16"/>
        <v>0</v>
      </c>
      <c r="Y137" s="726">
        <f t="shared" si="17"/>
        <v>0</v>
      </c>
      <c r="AA137" s="411"/>
    </row>
    <row r="138" spans="1:27" s="632" customFormat="1" ht="62.25" customHeight="1" x14ac:dyDescent="0.25">
      <c r="A138" s="348">
        <f>'Unit Data from Audit Worksheet'!A161</f>
        <v>656</v>
      </c>
      <c r="B138" s="349">
        <f>'Unit Data from Audit Worksheet'!C161</f>
        <v>0</v>
      </c>
      <c r="C138" s="486" t="str">
        <f>'Unit Data from Audit Worksheet'!D161</f>
        <v>Do you use prepared food/occupancy tax revenue stream to support debt?  Select "1" for Yes and "2" for No</v>
      </c>
      <c r="D138" s="621"/>
      <c r="E138" s="700">
        <f>'Unit Data from Audit Worksheet'!F161</f>
        <v>0</v>
      </c>
      <c r="F138" s="365"/>
      <c r="G138" s="355"/>
      <c r="H138" s="367"/>
      <c r="I138" s="637"/>
      <c r="J138" s="668">
        <v>656</v>
      </c>
      <c r="K138" s="667" t="s">
        <v>1038</v>
      </c>
      <c r="L138" s="698">
        <f>E138</f>
        <v>0</v>
      </c>
      <c r="M138" s="633"/>
      <c r="N138" s="633"/>
      <c r="O138" s="633"/>
      <c r="P138" s="611"/>
      <c r="Q138" s="646"/>
      <c r="W138" s="632" t="b">
        <f t="shared" si="15"/>
        <v>1</v>
      </c>
      <c r="X138" s="726">
        <f t="shared" si="16"/>
        <v>0</v>
      </c>
      <c r="Y138" s="726">
        <f t="shared" si="17"/>
        <v>0</v>
      </c>
    </row>
    <row r="139" spans="1:27" s="504" customFormat="1" ht="102.75" customHeight="1" x14ac:dyDescent="0.25">
      <c r="A139" s="428">
        <f>'Unit Data from Audit Worksheet'!A163</f>
        <v>535</v>
      </c>
      <c r="B139" s="429" t="str">
        <f>'Unit Data from Audit Worksheet'!C163</f>
        <v>Cash and Investment Note</v>
      </c>
      <c r="C139" s="427" t="str">
        <f>'Unit Data from Audit Worksheet'!D163</f>
        <v>Cash and Investment - Please list the book value of any unspent debt proceeds (bonds, installment, etc.) in any funds as of June 30.  This information may be on the face of your statements or in the notes</v>
      </c>
      <c r="D139" s="398"/>
      <c r="E139" s="697">
        <f>'Unit Data from Audit Worksheet'!F163</f>
        <v>0</v>
      </c>
      <c r="F139" s="324" t="str">
        <f>IF(L139&gt;1,,"Reminder: Please make sure you have entered all cash and investments from bond proceeds, if applicable")</f>
        <v>Reminder: Please make sure you have entered all cash and investments from bond proceeds, if applicable</v>
      </c>
      <c r="G139" s="430"/>
      <c r="H139" s="424">
        <f>'Unit Data from Audit Worksheet'!I163</f>
        <v>0</v>
      </c>
      <c r="I139" s="637"/>
      <c r="J139" s="435">
        <v>535</v>
      </c>
      <c r="K139" s="256" t="s">
        <v>320</v>
      </c>
      <c r="L139" s="698">
        <f t="shared" si="14"/>
        <v>0</v>
      </c>
      <c r="P139" s="611"/>
      <c r="Q139" s="432"/>
      <c r="R139" s="632"/>
      <c r="W139" s="632" t="b">
        <f t="shared" si="15"/>
        <v>1</v>
      </c>
      <c r="X139" s="726">
        <f t="shared" si="16"/>
        <v>0</v>
      </c>
      <c r="Y139" s="726">
        <f t="shared" si="17"/>
        <v>0</v>
      </c>
    </row>
    <row r="140" spans="1:27" ht="45.75" customHeight="1" x14ac:dyDescent="0.25">
      <c r="A140" s="227">
        <f>'Unit Data from Audit Worksheet'!A167</f>
        <v>334</v>
      </c>
      <c r="B140" s="237" t="str">
        <f>'Unit Data from Audit Worksheet'!C167</f>
        <v>Gov.-Capital Assets Schedule in the Notes</v>
      </c>
      <c r="C140" s="245" t="str">
        <f>'Unit Data from Audit Worksheet'!D167</f>
        <v>Gross value.  
Exclude non-depreciable.</v>
      </c>
      <c r="D140" s="398"/>
      <c r="E140" s="697">
        <f>'Unit Data from Audit Worksheet'!F167</f>
        <v>0</v>
      </c>
      <c r="F140" s="215"/>
      <c r="G140" s="287"/>
      <c r="H140" s="208">
        <f>'Unit Data from Audit Worksheet'!I167</f>
        <v>0</v>
      </c>
      <c r="I140" s="637"/>
      <c r="J140" s="204">
        <v>334</v>
      </c>
      <c r="K140" s="256" t="s">
        <v>343</v>
      </c>
      <c r="L140" s="698">
        <f t="shared" si="14"/>
        <v>0</v>
      </c>
      <c r="P140" s="409"/>
      <c r="R140" s="632"/>
      <c r="W140" s="632" t="b">
        <f t="shared" si="15"/>
        <v>1</v>
      </c>
      <c r="X140" s="726">
        <f t="shared" si="16"/>
        <v>0</v>
      </c>
      <c r="Y140" s="726">
        <f t="shared" si="17"/>
        <v>0</v>
      </c>
      <c r="AA140" s="411"/>
    </row>
    <row r="141" spans="1:27" s="69" customFormat="1" ht="57" customHeight="1" x14ac:dyDescent="0.25">
      <c r="A141" s="227">
        <f>'Unit Data from Audit Worksheet'!A168</f>
        <v>373</v>
      </c>
      <c r="B141" s="237" t="str">
        <f>'Unit Data from Audit Worksheet'!C168</f>
        <v>Gov.-Capital Assets Schedule in the Notes</v>
      </c>
      <c r="C141" s="245" t="str">
        <f>'Unit Data from Audit Worksheet'!D168</f>
        <v>Accumulated depreciation</v>
      </c>
      <c r="D141" s="398"/>
      <c r="E141" s="697">
        <f>'Unit Data from Audit Worksheet'!F168</f>
        <v>0</v>
      </c>
      <c r="F141" s="215"/>
      <c r="G141" s="287"/>
      <c r="H141" s="208">
        <f>'Unit Data from Audit Worksheet'!I168</f>
        <v>0</v>
      </c>
      <c r="I141" s="637"/>
      <c r="J141" s="204">
        <v>373</v>
      </c>
      <c r="K141" s="268" t="s">
        <v>643</v>
      </c>
      <c r="L141" s="698">
        <f t="shared" si="14"/>
        <v>0</v>
      </c>
      <c r="P141" s="409"/>
      <c r="Q141" s="328"/>
      <c r="R141" s="632"/>
      <c r="W141" s="632" t="b">
        <f t="shared" si="15"/>
        <v>1</v>
      </c>
      <c r="X141" s="726">
        <f t="shared" si="16"/>
        <v>0</v>
      </c>
      <c r="Y141" s="726">
        <f t="shared" si="17"/>
        <v>0</v>
      </c>
      <c r="AA141" s="411"/>
    </row>
    <row r="142" spans="1:27" ht="57" customHeight="1" x14ac:dyDescent="0.25">
      <c r="A142" s="227">
        <f>'Unit Data from Audit Worksheet'!A172</f>
        <v>327</v>
      </c>
      <c r="B142" s="237" t="str">
        <f>'Unit Data from Audit Worksheet'!C172</f>
        <v>WS-Capital Assets Schedule in the Notes</v>
      </c>
      <c r="C142" s="245" t="str">
        <f>'Unit Data from Audit Worksheet'!D172</f>
        <v>Land and all other non depreciable capital assets 
Exclude construction in progress</v>
      </c>
      <c r="D142" s="398"/>
      <c r="E142" s="697">
        <f>'Unit Data from Audit Worksheet'!F172</f>
        <v>0</v>
      </c>
      <c r="F142" s="215"/>
      <c r="G142" s="287"/>
      <c r="H142" s="208">
        <f>'Unit Data from Audit Worksheet'!I172</f>
        <v>0</v>
      </c>
      <c r="I142" s="637"/>
      <c r="J142" s="204">
        <v>327</v>
      </c>
      <c r="K142" s="269" t="s">
        <v>644</v>
      </c>
      <c r="L142" s="698">
        <f t="shared" si="14"/>
        <v>0</v>
      </c>
      <c r="P142" s="409"/>
      <c r="R142" s="632"/>
      <c r="W142" s="632" t="b">
        <f t="shared" si="15"/>
        <v>1</v>
      </c>
      <c r="X142" s="726">
        <f t="shared" si="16"/>
        <v>0</v>
      </c>
      <c r="Y142" s="726">
        <f t="shared" si="17"/>
        <v>0</v>
      </c>
      <c r="AA142" s="411"/>
    </row>
    <row r="143" spans="1:27" s="226" customFormat="1" ht="57" customHeight="1" x14ac:dyDescent="0.25">
      <c r="A143" s="227">
        <f>'Unit Data from Audit Worksheet'!A173</f>
        <v>328</v>
      </c>
      <c r="B143" s="237" t="str">
        <f>'Unit Data from Audit Worksheet'!C173</f>
        <v>WS-Capital Assets Schedule in the Notes</v>
      </c>
      <c r="C143" s="245" t="str">
        <f>'Unit Data from Audit Worksheet'!D173</f>
        <v>Construction in progress</v>
      </c>
      <c r="D143" s="398"/>
      <c r="E143" s="697">
        <f>'Unit Data from Audit Worksheet'!F173</f>
        <v>0</v>
      </c>
      <c r="F143" s="215"/>
      <c r="G143" s="287"/>
      <c r="H143" s="208">
        <f>'Unit Data from Audit Worksheet'!I173</f>
        <v>0</v>
      </c>
      <c r="I143" s="637"/>
      <c r="J143" s="204">
        <v>328</v>
      </c>
      <c r="K143" s="270" t="s">
        <v>645</v>
      </c>
      <c r="L143" s="698">
        <f t="shared" si="14"/>
        <v>0</v>
      </c>
      <c r="P143" s="409"/>
      <c r="Q143" s="328"/>
      <c r="R143" s="632"/>
      <c r="W143" s="632" t="b">
        <f t="shared" si="15"/>
        <v>1</v>
      </c>
      <c r="X143" s="726">
        <f t="shared" si="16"/>
        <v>0</v>
      </c>
      <c r="Y143" s="726">
        <f t="shared" si="17"/>
        <v>0</v>
      </c>
      <c r="AA143" s="411"/>
    </row>
    <row r="144" spans="1:27" s="226" customFormat="1" ht="46.5" customHeight="1" x14ac:dyDescent="0.25">
      <c r="A144" s="227">
        <f>'Unit Data from Audit Worksheet'!A177</f>
        <v>515</v>
      </c>
      <c r="B144" s="237" t="str">
        <f>'Unit Data from Audit Worksheet'!C177</f>
        <v>WS Capital Assets Schedule-Gross Value</v>
      </c>
      <c r="C144" s="245" t="str">
        <f>'Unit Data from Audit Worksheet'!D177</f>
        <v>Buildings</v>
      </c>
      <c r="D144" s="398"/>
      <c r="E144" s="697">
        <f>'Unit Data from Audit Worksheet'!F177</f>
        <v>0</v>
      </c>
      <c r="F144" s="215"/>
      <c r="G144" s="287"/>
      <c r="H144" s="208">
        <f>'Unit Data from Audit Worksheet'!I177</f>
        <v>0</v>
      </c>
      <c r="I144" s="637"/>
      <c r="J144" s="204">
        <v>515</v>
      </c>
      <c r="K144" s="271" t="s">
        <v>344</v>
      </c>
      <c r="L144" s="698">
        <f t="shared" si="14"/>
        <v>0</v>
      </c>
      <c r="P144" s="409"/>
      <c r="Q144" s="328"/>
      <c r="R144" s="632"/>
      <c r="W144" s="632" t="b">
        <f t="shared" si="15"/>
        <v>1</v>
      </c>
      <c r="X144" s="726">
        <f t="shared" si="16"/>
        <v>0</v>
      </c>
      <c r="Y144" s="726">
        <f t="shared" si="17"/>
        <v>0</v>
      </c>
      <c r="AA144" s="411"/>
    </row>
    <row r="145" spans="1:27" s="226" customFormat="1" ht="46.5" customHeight="1" x14ac:dyDescent="0.25">
      <c r="A145" s="227">
        <f>'Unit Data from Audit Worksheet'!A178</f>
        <v>516</v>
      </c>
      <c r="B145" s="237" t="str">
        <f>'Unit Data from Audit Worksheet'!C178</f>
        <v>WS Capital Assets Schedule-Gross Value</v>
      </c>
      <c r="C145" s="245" t="str">
        <f>'Unit Data from Audit Worksheet'!D178</f>
        <v>Plant / distributions systems / water lines</v>
      </c>
      <c r="D145" s="398"/>
      <c r="E145" s="697">
        <f>'Unit Data from Audit Worksheet'!F178</f>
        <v>0</v>
      </c>
      <c r="F145" s="215"/>
      <c r="G145" s="287"/>
      <c r="H145" s="208">
        <f>'Unit Data from Audit Worksheet'!I178</f>
        <v>0</v>
      </c>
      <c r="I145" s="637"/>
      <c r="J145" s="204">
        <v>516</v>
      </c>
      <c r="K145" s="271" t="s">
        <v>345</v>
      </c>
      <c r="L145" s="698">
        <f t="shared" si="14"/>
        <v>0</v>
      </c>
      <c r="P145" s="409"/>
      <c r="Q145" s="328"/>
      <c r="R145" s="632"/>
      <c r="W145" s="632" t="b">
        <f t="shared" si="15"/>
        <v>1</v>
      </c>
      <c r="X145" s="726">
        <f t="shared" si="16"/>
        <v>0</v>
      </c>
      <c r="Y145" s="726">
        <f t="shared" si="17"/>
        <v>0</v>
      </c>
      <c r="AA145" s="411"/>
    </row>
    <row r="146" spans="1:27" s="226" customFormat="1" ht="46.5" customHeight="1" x14ac:dyDescent="0.25">
      <c r="A146" s="227">
        <f>'Unit Data from Audit Worksheet'!A179</f>
        <v>517</v>
      </c>
      <c r="B146" s="237" t="str">
        <f>'Unit Data from Audit Worksheet'!C179</f>
        <v>WS Capital Assets Schedule-Gross Value</v>
      </c>
      <c r="C146" s="245" t="str">
        <f>'Unit Data from Audit Worksheet'!D179</f>
        <v>Infrastructure(other infrastructure)</v>
      </c>
      <c r="D146" s="398"/>
      <c r="E146" s="697">
        <f>'Unit Data from Audit Worksheet'!F179</f>
        <v>0</v>
      </c>
      <c r="F146" s="215"/>
      <c r="G146" s="287"/>
      <c r="H146" s="208">
        <f>'Unit Data from Audit Worksheet'!I179</f>
        <v>0</v>
      </c>
      <c r="I146" s="637"/>
      <c r="J146" s="204">
        <v>517</v>
      </c>
      <c r="K146" s="272" t="s">
        <v>346</v>
      </c>
      <c r="L146" s="698">
        <f t="shared" si="14"/>
        <v>0</v>
      </c>
      <c r="P146" s="409"/>
      <c r="Q146" s="328"/>
      <c r="R146" s="632"/>
      <c r="W146" s="632" t="b">
        <f t="shared" si="15"/>
        <v>1</v>
      </c>
      <c r="X146" s="726">
        <f t="shared" si="16"/>
        <v>0</v>
      </c>
      <c r="Y146" s="726">
        <f t="shared" si="17"/>
        <v>0</v>
      </c>
      <c r="AA146" s="411"/>
    </row>
    <row r="147" spans="1:27" s="226" customFormat="1" ht="46.5" customHeight="1" x14ac:dyDescent="0.25">
      <c r="A147" s="227">
        <f>'Unit Data from Audit Worksheet'!A180</f>
        <v>518</v>
      </c>
      <c r="B147" s="237" t="str">
        <f>'Unit Data from Audit Worksheet'!C180</f>
        <v>WS Capital Assets Schedule-Gross Value</v>
      </c>
      <c r="C147" s="245" t="str">
        <f>'Unit Data from Audit Worksheet'!D180</f>
        <v>All other depreciable capital assets</v>
      </c>
      <c r="D147" s="398"/>
      <c r="E147" s="697">
        <f>'Unit Data from Audit Worksheet'!F180</f>
        <v>0</v>
      </c>
      <c r="F147" s="215"/>
      <c r="G147" s="287"/>
      <c r="H147" s="208">
        <f>'Unit Data from Audit Worksheet'!I180</f>
        <v>0</v>
      </c>
      <c r="I147" s="637"/>
      <c r="J147" s="204">
        <v>518</v>
      </c>
      <c r="K147" s="272" t="s">
        <v>347</v>
      </c>
      <c r="L147" s="698">
        <f t="shared" si="14"/>
        <v>0</v>
      </c>
      <c r="P147" s="409"/>
      <c r="Q147" s="328"/>
      <c r="R147" s="632"/>
      <c r="W147" s="632" t="b">
        <f t="shared" si="15"/>
        <v>1</v>
      </c>
      <c r="X147" s="726">
        <f t="shared" si="16"/>
        <v>0</v>
      </c>
      <c r="Y147" s="726">
        <f t="shared" si="17"/>
        <v>0</v>
      </c>
      <c r="AA147" s="411"/>
    </row>
    <row r="148" spans="1:27" s="226" customFormat="1" ht="52.5" customHeight="1" x14ac:dyDescent="0.25">
      <c r="A148" s="227">
        <f>'Unit Data from Audit Worksheet'!A183</f>
        <v>519</v>
      </c>
      <c r="B148" s="237" t="str">
        <f>'Unit Data from Audit Worksheet'!C183</f>
        <v>WS Capital Assets Schedule-Annual Depreciation</v>
      </c>
      <c r="C148" s="245" t="str">
        <f>'Unit Data from Audit Worksheet'!D183</f>
        <v>Buildings annual depreciation</v>
      </c>
      <c r="D148" s="398"/>
      <c r="E148" s="697">
        <f>'Unit Data from Audit Worksheet'!F183</f>
        <v>0</v>
      </c>
      <c r="F148" s="215"/>
      <c r="G148" s="287"/>
      <c r="H148" s="208">
        <f>'Unit Data from Audit Worksheet'!I183</f>
        <v>0</v>
      </c>
      <c r="I148" s="637"/>
      <c r="J148" s="204">
        <v>519</v>
      </c>
      <c r="K148" s="272" t="s">
        <v>348</v>
      </c>
      <c r="L148" s="698">
        <f t="shared" si="14"/>
        <v>0</v>
      </c>
      <c r="P148" s="409"/>
      <c r="Q148" s="328"/>
      <c r="R148" s="632"/>
      <c r="W148" s="632" t="b">
        <f t="shared" si="15"/>
        <v>1</v>
      </c>
      <c r="X148" s="726">
        <f t="shared" si="16"/>
        <v>0</v>
      </c>
      <c r="Y148" s="726">
        <f t="shared" si="17"/>
        <v>0</v>
      </c>
      <c r="AA148" s="411"/>
    </row>
    <row r="149" spans="1:27" s="226" customFormat="1" ht="52.5" customHeight="1" x14ac:dyDescent="0.25">
      <c r="A149" s="227">
        <f>'Unit Data from Audit Worksheet'!A184</f>
        <v>520</v>
      </c>
      <c r="B149" s="237" t="str">
        <f>'Unit Data from Audit Worksheet'!C184</f>
        <v>WS Capital Assets Schedule-Annual Depreciation</v>
      </c>
      <c r="C149" s="245" t="str">
        <f>'Unit Data from Audit Worksheet'!D184</f>
        <v>Plant / distributions systems / water lines annual depreciation</v>
      </c>
      <c r="D149" s="398"/>
      <c r="E149" s="697">
        <f>'Unit Data from Audit Worksheet'!F184</f>
        <v>0</v>
      </c>
      <c r="F149" s="215"/>
      <c r="G149" s="287"/>
      <c r="H149" s="208">
        <f>'Unit Data from Audit Worksheet'!I184</f>
        <v>0</v>
      </c>
      <c r="I149" s="637"/>
      <c r="J149" s="204">
        <v>520</v>
      </c>
      <c r="K149" s="274" t="s">
        <v>349</v>
      </c>
      <c r="L149" s="698">
        <f t="shared" si="14"/>
        <v>0</v>
      </c>
      <c r="P149" s="409"/>
      <c r="Q149" s="328"/>
      <c r="R149" s="632"/>
      <c r="W149" s="632" t="b">
        <f t="shared" si="15"/>
        <v>1</v>
      </c>
      <c r="X149" s="726">
        <f t="shared" si="16"/>
        <v>0</v>
      </c>
      <c r="Y149" s="726">
        <f t="shared" si="17"/>
        <v>0</v>
      </c>
      <c r="AA149" s="411"/>
    </row>
    <row r="150" spans="1:27" s="226" customFormat="1" ht="52.5" customHeight="1" x14ac:dyDescent="0.25">
      <c r="A150" s="227">
        <f>'Unit Data from Audit Worksheet'!A185</f>
        <v>521</v>
      </c>
      <c r="B150" s="237" t="str">
        <f>'Unit Data from Audit Worksheet'!C185</f>
        <v>WS Capital Assets Schedule-Annual Depreciation</v>
      </c>
      <c r="C150" s="245" t="str">
        <f>'Unit Data from Audit Worksheet'!D185</f>
        <v>Infrastructure(other infrastructure) annual depreciation</v>
      </c>
      <c r="D150" s="398"/>
      <c r="E150" s="697">
        <f>'Unit Data from Audit Worksheet'!F185</f>
        <v>0</v>
      </c>
      <c r="F150" s="215"/>
      <c r="G150" s="287"/>
      <c r="H150" s="208">
        <f>'Unit Data from Audit Worksheet'!I185</f>
        <v>0</v>
      </c>
      <c r="I150" s="637"/>
      <c r="J150" s="204">
        <v>521</v>
      </c>
      <c r="K150" s="273" t="s">
        <v>350</v>
      </c>
      <c r="L150" s="698">
        <f t="shared" si="14"/>
        <v>0</v>
      </c>
      <c r="P150" s="409"/>
      <c r="Q150" s="328"/>
      <c r="R150" s="632"/>
      <c r="W150" s="632" t="b">
        <f t="shared" si="15"/>
        <v>1</v>
      </c>
      <c r="X150" s="726">
        <f t="shared" si="16"/>
        <v>0</v>
      </c>
      <c r="Y150" s="726">
        <f t="shared" si="17"/>
        <v>0</v>
      </c>
      <c r="AA150" s="411"/>
    </row>
    <row r="151" spans="1:27" s="226" customFormat="1" ht="42.75" customHeight="1" x14ac:dyDescent="0.25">
      <c r="A151" s="227">
        <f>'Unit Data from Audit Worksheet'!A186</f>
        <v>522</v>
      </c>
      <c r="B151" s="237" t="str">
        <f>'Unit Data from Audit Worksheet'!C186</f>
        <v>WS Capital Assets Schedule-Annual Depreciation</v>
      </c>
      <c r="C151" s="245" t="str">
        <f>'Unit Data from Audit Worksheet'!D186</f>
        <v>All other depreciable capital assets annual depreciation</v>
      </c>
      <c r="D151" s="398"/>
      <c r="E151" s="697">
        <f>'Unit Data from Audit Worksheet'!F186</f>
        <v>0</v>
      </c>
      <c r="F151" s="215"/>
      <c r="G151" s="287"/>
      <c r="H151" s="208">
        <f>'Unit Data from Audit Worksheet'!I186</f>
        <v>0</v>
      </c>
      <c r="I151" s="637"/>
      <c r="J151" s="204">
        <v>522</v>
      </c>
      <c r="K151" s="273" t="s">
        <v>351</v>
      </c>
      <c r="L151" s="698">
        <f t="shared" si="14"/>
        <v>0</v>
      </c>
      <c r="P151" s="409"/>
      <c r="Q151" s="328"/>
      <c r="R151" s="632"/>
      <c r="W151" s="632" t="b">
        <f t="shared" si="15"/>
        <v>1</v>
      </c>
      <c r="X151" s="726">
        <f t="shared" si="16"/>
        <v>0</v>
      </c>
      <c r="Y151" s="726">
        <f t="shared" si="17"/>
        <v>0</v>
      </c>
      <c r="AA151" s="411"/>
    </row>
    <row r="152" spans="1:27" s="226" customFormat="1" ht="42.75" customHeight="1" x14ac:dyDescent="0.25">
      <c r="A152" s="227">
        <f>'Unit Data from Audit Worksheet'!A189</f>
        <v>523</v>
      </c>
      <c r="B152" s="237" t="str">
        <f>'Unit Data from Audit Worksheet'!C189</f>
        <v>WS Capital Assets Schedule-Accumulated Depreciation</v>
      </c>
      <c r="C152" s="245" t="str">
        <f>'Unit Data from Audit Worksheet'!D189</f>
        <v>Building accumulated depreciation</v>
      </c>
      <c r="D152" s="398"/>
      <c r="E152" s="697">
        <f>'Unit Data from Audit Worksheet'!F189</f>
        <v>0</v>
      </c>
      <c r="F152" s="215"/>
      <c r="G152" s="287"/>
      <c r="H152" s="208">
        <f>'Unit Data from Audit Worksheet'!I189</f>
        <v>0</v>
      </c>
      <c r="I152" s="637"/>
      <c r="J152" s="204">
        <v>523</v>
      </c>
      <c r="K152" s="273" t="s">
        <v>352</v>
      </c>
      <c r="L152" s="698">
        <f t="shared" si="14"/>
        <v>0</v>
      </c>
      <c r="P152" s="409"/>
      <c r="Q152" s="328"/>
      <c r="R152" s="632"/>
      <c r="W152" s="632" t="b">
        <f t="shared" si="15"/>
        <v>1</v>
      </c>
      <c r="X152" s="726">
        <f t="shared" si="16"/>
        <v>0</v>
      </c>
      <c r="Y152" s="726">
        <f t="shared" si="17"/>
        <v>0</v>
      </c>
      <c r="AA152" s="411"/>
    </row>
    <row r="153" spans="1:27" s="226" customFormat="1" ht="51" customHeight="1" x14ac:dyDescent="0.25">
      <c r="A153" s="227">
        <f>'Unit Data from Audit Worksheet'!A190</f>
        <v>524</v>
      </c>
      <c r="B153" s="237" t="str">
        <f>'Unit Data from Audit Worksheet'!C190</f>
        <v>WS Capital Assets Schedule-Accumulated Depreciation</v>
      </c>
      <c r="C153" s="245" t="str">
        <f>'Unit Data from Audit Worksheet'!D190</f>
        <v>Plant / distributions systems / water lines accumulated depreciation</v>
      </c>
      <c r="D153" s="398"/>
      <c r="E153" s="697">
        <f>'Unit Data from Audit Worksheet'!F190</f>
        <v>0</v>
      </c>
      <c r="F153" s="215"/>
      <c r="G153" s="287"/>
      <c r="H153" s="208">
        <f>'Unit Data from Audit Worksheet'!I190</f>
        <v>0</v>
      </c>
      <c r="I153" s="637"/>
      <c r="J153" s="204">
        <v>524</v>
      </c>
      <c r="K153" s="273" t="s">
        <v>353</v>
      </c>
      <c r="L153" s="698">
        <f t="shared" si="14"/>
        <v>0</v>
      </c>
      <c r="P153" s="409"/>
      <c r="Q153" s="328"/>
      <c r="R153" s="632"/>
      <c r="W153" s="632" t="b">
        <f t="shared" si="15"/>
        <v>1</v>
      </c>
      <c r="X153" s="726">
        <f t="shared" si="16"/>
        <v>0</v>
      </c>
      <c r="Y153" s="726">
        <f t="shared" si="17"/>
        <v>0</v>
      </c>
      <c r="AA153" s="411"/>
    </row>
    <row r="154" spans="1:27" s="226" customFormat="1" ht="57.75" customHeight="1" x14ac:dyDescent="0.25">
      <c r="A154" s="227">
        <f>'Unit Data from Audit Worksheet'!A191</f>
        <v>525</v>
      </c>
      <c r="B154" s="237" t="str">
        <f>'Unit Data from Audit Worksheet'!C191</f>
        <v>WS Capital Assets Schedule-Accumulated Depreciation</v>
      </c>
      <c r="C154" s="245" t="str">
        <f>'Unit Data from Audit Worksheet'!D191</f>
        <v>Infrastructure(other infrastructure) accumulated depreciation</v>
      </c>
      <c r="D154" s="398"/>
      <c r="E154" s="697">
        <f>'Unit Data from Audit Worksheet'!F191</f>
        <v>0</v>
      </c>
      <c r="F154" s="215"/>
      <c r="G154" s="287"/>
      <c r="H154" s="208">
        <f>'Unit Data from Audit Worksheet'!I191</f>
        <v>0</v>
      </c>
      <c r="I154" s="637"/>
      <c r="J154" s="204">
        <v>525</v>
      </c>
      <c r="K154" s="273" t="s">
        <v>354</v>
      </c>
      <c r="L154" s="698">
        <f t="shared" si="14"/>
        <v>0</v>
      </c>
      <c r="P154" s="409"/>
      <c r="Q154" s="328"/>
      <c r="R154" s="632"/>
      <c r="W154" s="632" t="b">
        <f t="shared" si="15"/>
        <v>1</v>
      </c>
      <c r="X154" s="726">
        <f t="shared" si="16"/>
        <v>0</v>
      </c>
      <c r="Y154" s="726">
        <f t="shared" si="17"/>
        <v>0</v>
      </c>
      <c r="AA154" s="411"/>
    </row>
    <row r="155" spans="1:27" s="226" customFormat="1" ht="48" customHeight="1" x14ac:dyDescent="0.25">
      <c r="A155" s="227">
        <f>'Unit Data from Audit Worksheet'!A192</f>
        <v>526</v>
      </c>
      <c r="B155" s="237" t="str">
        <f>'Unit Data from Audit Worksheet'!C192</f>
        <v>WS Capital Assets Schedule-Accumulated Depreciation</v>
      </c>
      <c r="C155" s="245" t="str">
        <f>'Unit Data from Audit Worksheet'!D192</f>
        <v>All other depreciable capital assets accumulated depreciation</v>
      </c>
      <c r="D155" s="398"/>
      <c r="E155" s="697">
        <f>'Unit Data from Audit Worksheet'!F192</f>
        <v>0</v>
      </c>
      <c r="F155" s="215"/>
      <c r="G155" s="287"/>
      <c r="H155" s="208">
        <f>'Unit Data from Audit Worksheet'!I192</f>
        <v>0</v>
      </c>
      <c r="I155" s="637"/>
      <c r="J155" s="204">
        <v>526</v>
      </c>
      <c r="K155" s="275" t="s">
        <v>355</v>
      </c>
      <c r="L155" s="698">
        <f t="shared" si="14"/>
        <v>0</v>
      </c>
      <c r="P155" s="409"/>
      <c r="Q155" s="328"/>
      <c r="R155" s="632"/>
      <c r="W155" s="632" t="b">
        <f t="shared" si="15"/>
        <v>1</v>
      </c>
      <c r="X155" s="726">
        <f t="shared" si="16"/>
        <v>0</v>
      </c>
      <c r="Y155" s="726">
        <f t="shared" si="17"/>
        <v>0</v>
      </c>
      <c r="AA155" s="411"/>
    </row>
    <row r="156" spans="1:27" s="226" customFormat="1" ht="50.25" customHeight="1" x14ac:dyDescent="0.25">
      <c r="A156" s="227">
        <f>'Unit Data from Audit Worksheet'!A197</f>
        <v>527</v>
      </c>
      <c r="B156" s="237" t="str">
        <f>'Unit Data from Audit Worksheet'!C197</f>
        <v>Electric Assets</v>
      </c>
      <c r="C156" s="245" t="str">
        <f>'Unit Data from Audit Worksheet'!D197</f>
        <v>Total Assets Gross value not being depreciated for Electric Fund</v>
      </c>
      <c r="D156" s="398"/>
      <c r="E156" s="697">
        <f>'Unit Data from Audit Worksheet'!F197</f>
        <v>0</v>
      </c>
      <c r="F156" s="215"/>
      <c r="G156" s="287"/>
      <c r="H156" s="208">
        <f>'Unit Data from Audit Worksheet'!I197</f>
        <v>0</v>
      </c>
      <c r="I156" s="637"/>
      <c r="J156" s="204">
        <v>527</v>
      </c>
      <c r="K156" s="275" t="s">
        <v>356</v>
      </c>
      <c r="L156" s="698">
        <f t="shared" si="14"/>
        <v>0</v>
      </c>
      <c r="P156" s="409"/>
      <c r="Q156" s="328"/>
      <c r="R156" s="632"/>
      <c r="W156" s="632" t="b">
        <f t="shared" si="15"/>
        <v>1</v>
      </c>
      <c r="X156" s="726">
        <f t="shared" si="16"/>
        <v>0</v>
      </c>
      <c r="Y156" s="726">
        <f t="shared" si="17"/>
        <v>0</v>
      </c>
      <c r="AA156" s="411"/>
    </row>
    <row r="157" spans="1:27" s="226" customFormat="1" ht="54.75" customHeight="1" x14ac:dyDescent="0.25">
      <c r="A157" s="227">
        <f>'Unit Data from Audit Worksheet'!A198</f>
        <v>356</v>
      </c>
      <c r="B157" s="237" t="str">
        <f>'Unit Data from Audit Worksheet'!C198</f>
        <v>Electric Assets</v>
      </c>
      <c r="C157" s="245" t="str">
        <f>'Unit Data from Audit Worksheet'!D198</f>
        <v>Total Assets Gross value of assets being depreciated for Electric Fund</v>
      </c>
      <c r="D157" s="398"/>
      <c r="E157" s="697">
        <f>'Unit Data from Audit Worksheet'!F198</f>
        <v>0</v>
      </c>
      <c r="F157" s="215"/>
      <c r="G157" s="287"/>
      <c r="H157" s="208">
        <f>'Unit Data from Audit Worksheet'!I198</f>
        <v>0</v>
      </c>
      <c r="I157" s="637"/>
      <c r="J157" s="204">
        <v>356</v>
      </c>
      <c r="K157" s="276" t="s">
        <v>646</v>
      </c>
      <c r="L157" s="698">
        <f t="shared" si="14"/>
        <v>0</v>
      </c>
      <c r="P157" s="409"/>
      <c r="Q157" s="328"/>
      <c r="R157" s="632"/>
      <c r="W157" s="632" t="b">
        <f t="shared" si="15"/>
        <v>1</v>
      </c>
      <c r="X157" s="726">
        <f t="shared" si="16"/>
        <v>0</v>
      </c>
      <c r="Y157" s="726">
        <f t="shared" si="17"/>
        <v>0</v>
      </c>
      <c r="AA157" s="411"/>
    </row>
    <row r="158" spans="1:27" s="226" customFormat="1" ht="54.75" customHeight="1" x14ac:dyDescent="0.25">
      <c r="A158" s="227">
        <f>'Unit Data from Audit Worksheet'!A199</f>
        <v>357</v>
      </c>
      <c r="B158" s="237" t="str">
        <f>'Unit Data from Audit Worksheet'!C199</f>
        <v>Electric Accumulated Depreciation</v>
      </c>
      <c r="C158" s="245" t="str">
        <f>'Unit Data from Audit Worksheet'!D199</f>
        <v>Total accumulated depreciation for Electric Fund assets</v>
      </c>
      <c r="D158" s="398"/>
      <c r="E158" s="697">
        <f>'Unit Data from Audit Worksheet'!F199</f>
        <v>0</v>
      </c>
      <c r="F158" s="215"/>
      <c r="G158" s="287"/>
      <c r="H158" s="208">
        <f>'Unit Data from Audit Worksheet'!I199</f>
        <v>0</v>
      </c>
      <c r="I158" s="637"/>
      <c r="J158" s="204">
        <v>357</v>
      </c>
      <c r="K158" s="277" t="s">
        <v>647</v>
      </c>
      <c r="L158" s="698">
        <f t="shared" si="14"/>
        <v>0</v>
      </c>
      <c r="P158" s="409"/>
      <c r="Q158" s="328"/>
      <c r="R158" s="632"/>
      <c r="W158" s="632" t="b">
        <f t="shared" si="15"/>
        <v>1</v>
      </c>
      <c r="X158" s="726">
        <f t="shared" si="16"/>
        <v>0</v>
      </c>
      <c r="Y158" s="726">
        <f t="shared" si="17"/>
        <v>0</v>
      </c>
      <c r="AA158" s="411"/>
    </row>
    <row r="159" spans="1:27" s="226" customFormat="1" ht="185.25" customHeight="1" x14ac:dyDescent="0.25">
      <c r="A159" s="335">
        <f>'Unit Data from Audit Worksheet'!A201</f>
        <v>337</v>
      </c>
      <c r="B159" s="237" t="str">
        <f>'Unit Data from Audit Worksheet'!C201</f>
        <v>Long-Term Liability Note - Governmental Activities</v>
      </c>
      <c r="C159" s="237" t="str">
        <f>'Unit Data from Audit Worksheet'!D201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59" s="398"/>
      <c r="E159" s="697">
        <f>'Unit Data from Audit Worksheet'!F201</f>
        <v>0</v>
      </c>
      <c r="F159" s="426">
        <f>IF(L159&lt;0,"Error: Enter as a positive.",)</f>
        <v>0</v>
      </c>
      <c r="G159" s="287"/>
      <c r="H159" s="208">
        <f>'Unit Data from Audit Worksheet'!I201</f>
        <v>0</v>
      </c>
      <c r="I159" s="637"/>
      <c r="J159" s="333">
        <v>337</v>
      </c>
      <c r="K159" s="197" t="s">
        <v>321</v>
      </c>
      <c r="L159" s="698">
        <f t="shared" si="14"/>
        <v>0</v>
      </c>
      <c r="P159" s="409"/>
      <c r="Q159" s="328"/>
      <c r="R159" s="632"/>
      <c r="W159" s="632" t="b">
        <f t="shared" si="15"/>
        <v>1</v>
      </c>
      <c r="X159" s="726">
        <f t="shared" si="16"/>
        <v>0</v>
      </c>
      <c r="Y159" s="726">
        <f t="shared" si="17"/>
        <v>0</v>
      </c>
      <c r="AA159" s="411"/>
    </row>
    <row r="160" spans="1:27" s="226" customFormat="1" ht="76.5" customHeight="1" x14ac:dyDescent="0.25">
      <c r="A160" s="227">
        <f>'Unit Data from Audit Worksheet'!A202</f>
        <v>343</v>
      </c>
      <c r="B160" s="237" t="str">
        <f>'Unit Data from Audit Worksheet'!C202</f>
        <v>Long-Term Liability Note - Governmental Activities</v>
      </c>
      <c r="C160" s="225" t="str">
        <f>'Unit Data from Audit Worksheet'!D202</f>
        <v>Decreases made (principal paid) on Long-Term Debt in current fiscal year.  Reduce for debt refunding.</v>
      </c>
      <c r="D160" s="398"/>
      <c r="E160" s="697">
        <f>'Unit Data from Audit Worksheet'!F202</f>
        <v>0</v>
      </c>
      <c r="F160" s="426">
        <f>IF(L160&lt;0,"Error: Enter as a positive.",)</f>
        <v>0</v>
      </c>
      <c r="G160" s="287"/>
      <c r="H160" s="208">
        <f>'Unit Data from Audit Worksheet'!I202</f>
        <v>0</v>
      </c>
      <c r="I160" s="637"/>
      <c r="J160" s="204">
        <v>343</v>
      </c>
      <c r="K160" s="197" t="s">
        <v>322</v>
      </c>
      <c r="L160" s="698">
        <f t="shared" si="14"/>
        <v>0</v>
      </c>
      <c r="P160" s="409"/>
      <c r="Q160" s="328"/>
      <c r="R160" s="632"/>
      <c r="W160" s="632" t="b">
        <f t="shared" si="15"/>
        <v>1</v>
      </c>
      <c r="X160" s="726">
        <f t="shared" si="16"/>
        <v>0</v>
      </c>
      <c r="Y160" s="726">
        <f t="shared" si="17"/>
        <v>0</v>
      </c>
      <c r="AA160" s="411"/>
    </row>
    <row r="161" spans="1:27" s="226" customFormat="1" ht="193.5" customHeight="1" x14ac:dyDescent="0.25">
      <c r="A161" s="227">
        <f>'Unit Data from Audit Worksheet'!A203</f>
        <v>82</v>
      </c>
      <c r="B161" s="237" t="str">
        <f>'Unit Data from Audit Worksheet'!C203</f>
        <v>Long-Term Liability Note - Water Sewer Activities</v>
      </c>
      <c r="C161" s="237" t="str">
        <f>'Unit Data from Audit Worksheet'!D203</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1" s="398"/>
      <c r="E161" s="697">
        <f>'Unit Data from Audit Worksheet'!F203</f>
        <v>0</v>
      </c>
      <c r="F161" s="426">
        <f>IF(L161&lt;0,"Error: Enter as a positive.",)</f>
        <v>0</v>
      </c>
      <c r="G161" s="287"/>
      <c r="H161" s="208">
        <f>'Unit Data from Audit Worksheet'!I203</f>
        <v>0</v>
      </c>
      <c r="I161" s="637"/>
      <c r="J161" s="204">
        <v>82</v>
      </c>
      <c r="K161" s="278" t="s">
        <v>648</v>
      </c>
      <c r="L161" s="698">
        <f t="shared" si="14"/>
        <v>0</v>
      </c>
      <c r="P161" s="409"/>
      <c r="Q161" s="328"/>
      <c r="R161" s="632"/>
      <c r="W161" s="632" t="b">
        <f t="shared" si="15"/>
        <v>1</v>
      </c>
      <c r="X161" s="726">
        <f t="shared" si="16"/>
        <v>0</v>
      </c>
      <c r="Y161" s="726">
        <f t="shared" si="17"/>
        <v>0</v>
      </c>
      <c r="AA161" s="411"/>
    </row>
    <row r="162" spans="1:27" ht="206.25" customHeight="1" x14ac:dyDescent="0.25">
      <c r="A162" s="227">
        <f>'Unit Data from Audit Worksheet'!A204</f>
        <v>359</v>
      </c>
      <c r="B162" s="237" t="str">
        <f>'Unit Data from Audit Worksheet'!C204</f>
        <v>Long-Term Liability Note - Electric Activities</v>
      </c>
      <c r="C162" s="237" t="str">
        <f>'Unit Data from Audit Worksheet'!D204</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2" s="398"/>
      <c r="E162" s="697">
        <f>'Unit Data from Audit Worksheet'!F204</f>
        <v>0</v>
      </c>
      <c r="F162" s="426">
        <f>IF(L162&lt;0,"Error: Enter as a positive.",)</f>
        <v>0</v>
      </c>
      <c r="G162" s="287"/>
      <c r="H162" s="208">
        <f>'Unit Data from Audit Worksheet'!I204</f>
        <v>0</v>
      </c>
      <c r="I162" s="637"/>
      <c r="J162" s="204">
        <v>359</v>
      </c>
      <c r="K162" s="197" t="s">
        <v>323</v>
      </c>
      <c r="L162" s="698">
        <f t="shared" si="14"/>
        <v>0</v>
      </c>
      <c r="P162" s="409"/>
      <c r="R162" s="632"/>
      <c r="W162" s="632" t="b">
        <f t="shared" si="15"/>
        <v>1</v>
      </c>
      <c r="X162" s="726">
        <f t="shared" si="16"/>
        <v>0</v>
      </c>
      <c r="Y162" s="726">
        <f t="shared" si="17"/>
        <v>0</v>
      </c>
      <c r="AA162" s="411"/>
    </row>
    <row r="163" spans="1:27" ht="76.5" customHeight="1" x14ac:dyDescent="0.25">
      <c r="A163" s="428">
        <f>'Unit Data from Audit Worksheet'!A206</f>
        <v>622</v>
      </c>
      <c r="B163" s="429" t="str">
        <f>'Unit Data from Audit Worksheet'!C206</f>
        <v>FS., Pension note or RSI</v>
      </c>
      <c r="C163" s="429" t="str">
        <f>'Unit Data from Audit Worksheet'!D206</f>
        <v xml:space="preserve">Unit's Share of Net Pension Liability ($s)
- unit of government is a participating employer in the State's TSERS (Teachers' and State Employees' Retirement System) or the LGERS (Local Governmental Employees' Retirement System).  </v>
      </c>
      <c r="D163" s="398"/>
      <c r="E163" s="697">
        <f>'Unit Data from Audit Worksheet'!F206</f>
        <v>0</v>
      </c>
      <c r="F163" s="426"/>
      <c r="G163" s="430"/>
      <c r="H163" s="424"/>
      <c r="I163" s="637"/>
      <c r="J163" s="435">
        <v>622</v>
      </c>
      <c r="K163" s="342" t="s">
        <v>834</v>
      </c>
      <c r="L163" s="698">
        <f t="shared" si="14"/>
        <v>0</v>
      </c>
      <c r="P163" s="409"/>
      <c r="R163" s="632"/>
      <c r="W163" s="632" t="b">
        <f t="shared" si="15"/>
        <v>1</v>
      </c>
      <c r="X163" s="726">
        <f t="shared" si="16"/>
        <v>0</v>
      </c>
      <c r="Y163" s="726">
        <f t="shared" si="17"/>
        <v>0</v>
      </c>
      <c r="AA163" s="411"/>
    </row>
    <row r="164" spans="1:27" ht="138.75" customHeight="1" x14ac:dyDescent="0.25">
      <c r="A164" s="335">
        <f>'Unit Data from Audit Worksheet'!A207</f>
        <v>577</v>
      </c>
      <c r="B164" s="336" t="str">
        <f>'Unit Data from Audit Worksheet'!C207</f>
        <v>Pension Notes</v>
      </c>
      <c r="C164" s="336" t="str">
        <f>'Unit Data from Audit Worksheet'!D207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164" s="398"/>
      <c r="E164" s="697" t="str">
        <f>IF('Unit Data from Audit Worksheet'!F207="Yes",1,IF('Unit Data from Audit Worksheet'!F207="No",2,IF('Unit Data from Audit Worksheet'!F207&lt;1,"",IF('Unit Data from Audit Worksheet'!F207=0&gt;2,""))))</f>
        <v/>
      </c>
      <c r="F164" s="331"/>
      <c r="G164" s="327"/>
      <c r="H164" s="208"/>
      <c r="I164" s="637"/>
      <c r="J164" s="333">
        <v>577</v>
      </c>
      <c r="K164" s="311" t="s">
        <v>711</v>
      </c>
      <c r="L164" s="698" t="str">
        <f t="shared" si="14"/>
        <v/>
      </c>
      <c r="P164" s="409"/>
      <c r="R164" s="632"/>
      <c r="W164" s="632" t="b">
        <f t="shared" si="15"/>
        <v>1</v>
      </c>
      <c r="X164" s="726" t="e">
        <f t="shared" si="16"/>
        <v>#VALUE!</v>
      </c>
      <c r="Y164" s="726" t="e">
        <f t="shared" si="17"/>
        <v>#VALUE!</v>
      </c>
      <c r="AA164" s="411"/>
    </row>
    <row r="165" spans="1:27" ht="115.5" customHeight="1" x14ac:dyDescent="0.25">
      <c r="A165" s="258">
        <f>'Unit Data from Audit Worksheet'!A209</f>
        <v>598</v>
      </c>
      <c r="B165" s="336" t="str">
        <f>'Unit Data from Audit Worksheet'!C209</f>
        <v>LEO Note</v>
      </c>
      <c r="C165" s="334" t="str">
        <f>'Unit Data from Audit Worksheet'!D209</f>
        <v>Amount the unit paid out in benefits under LEO special separation allowance to retired law enforcement officers this fiscal year if you report under GASB 68 or GASB 73.</v>
      </c>
      <c r="D165" s="398"/>
      <c r="E165" s="697">
        <f>'Unit Data from Audit Worksheet'!F209</f>
        <v>0</v>
      </c>
      <c r="F165" s="426">
        <f>IF(L165&lt;0,"Error: Enter as a positive.",)</f>
        <v>0</v>
      </c>
      <c r="G165" s="287"/>
      <c r="H165" s="208">
        <f>'Unit Data from Audit Worksheet'!I209</f>
        <v>0</v>
      </c>
      <c r="I165" s="637"/>
      <c r="J165" s="668">
        <v>598</v>
      </c>
      <c r="K165" s="351" t="s">
        <v>784</v>
      </c>
      <c r="L165" s="698">
        <f t="shared" si="14"/>
        <v>0</v>
      </c>
      <c r="P165" s="409"/>
      <c r="R165" s="632"/>
      <c r="W165" s="632" t="b">
        <f t="shared" si="15"/>
        <v>1</v>
      </c>
      <c r="X165" s="726">
        <f t="shared" si="16"/>
        <v>0</v>
      </c>
      <c r="Y165" s="726">
        <f t="shared" si="17"/>
        <v>0</v>
      </c>
      <c r="AA165" s="411"/>
    </row>
    <row r="166" spans="1:27" s="69" customFormat="1" ht="84" customHeight="1" x14ac:dyDescent="0.25">
      <c r="A166" s="335">
        <f>'Unit Data from Audit Worksheet'!A210</f>
        <v>599</v>
      </c>
      <c r="B166" s="336" t="str">
        <f>'Unit Data from Audit Worksheet'!C210</f>
        <v>LEO Note</v>
      </c>
      <c r="C166" s="334" t="str">
        <f>'Unit Data from Audit Worksheet'!D210</f>
        <v>The total LEO pension liability if you report under GASB 68 or GASB 73.</v>
      </c>
      <c r="D166" s="398"/>
      <c r="E166" s="697">
        <f>'Unit Data from Audit Worksheet'!F210</f>
        <v>0</v>
      </c>
      <c r="F166" s="426">
        <f>IF(L166&lt;0,"Error: Enter as a positive.",)</f>
        <v>0</v>
      </c>
      <c r="G166" s="327"/>
      <c r="H166" s="208">
        <f>'Unit Data from Audit Worksheet'!I210</f>
        <v>0</v>
      </c>
      <c r="I166" s="637"/>
      <c r="J166" s="333">
        <v>599</v>
      </c>
      <c r="K166" s="350" t="s">
        <v>783</v>
      </c>
      <c r="L166" s="698">
        <f t="shared" si="14"/>
        <v>0</v>
      </c>
      <c r="M166" s="57"/>
      <c r="P166" s="409"/>
      <c r="Q166" s="328"/>
      <c r="R166" s="632"/>
      <c r="W166" s="632" t="b">
        <f t="shared" si="15"/>
        <v>1</v>
      </c>
      <c r="X166" s="726">
        <f t="shared" si="16"/>
        <v>0</v>
      </c>
      <c r="Y166" s="726">
        <f t="shared" si="17"/>
        <v>0</v>
      </c>
      <c r="AA166" s="411"/>
    </row>
    <row r="167" spans="1:27" s="69" customFormat="1" ht="102.75" customHeight="1" x14ac:dyDescent="0.25">
      <c r="A167" s="335">
        <f>'Unit Data from Audit Worksheet'!A211</f>
        <v>602</v>
      </c>
      <c r="B167" s="336" t="str">
        <f>'Unit Data from Audit Worksheet'!C211</f>
        <v>LEO Note</v>
      </c>
      <c r="C167" s="334" t="str">
        <f>'Unit Data from Audit Worksheet'!D211</f>
        <v>If you have LEO pension assets and are reporting under GASB 68 please enter "Plan Fiduciary Net Position" which can be found on your RSI schedules and the Notes.</v>
      </c>
      <c r="D167" s="398"/>
      <c r="E167" s="697">
        <f>'Unit Data from Audit Worksheet'!F211</f>
        <v>0</v>
      </c>
      <c r="F167" s="426">
        <f>IF(L167&lt;0,"Error: Enter as a positive.",)</f>
        <v>0</v>
      </c>
      <c r="G167" s="327"/>
      <c r="H167" s="208">
        <f>'Unit Data from Audit Worksheet'!I211</f>
        <v>0</v>
      </c>
      <c r="I167" s="637"/>
      <c r="J167" s="333">
        <v>602</v>
      </c>
      <c r="K167" s="347" t="s">
        <v>785</v>
      </c>
      <c r="L167" s="698">
        <f t="shared" si="14"/>
        <v>0</v>
      </c>
      <c r="M167" s="57"/>
      <c r="P167" s="409"/>
      <c r="Q167" s="328"/>
      <c r="R167" s="632"/>
      <c r="W167" s="632" t="b">
        <f t="shared" si="15"/>
        <v>1</v>
      </c>
      <c r="X167" s="726">
        <f t="shared" si="16"/>
        <v>0</v>
      </c>
      <c r="Y167" s="726">
        <f t="shared" si="17"/>
        <v>0</v>
      </c>
      <c r="AA167" s="411"/>
    </row>
    <row r="168" spans="1:27" s="226" customFormat="1" ht="123" customHeight="1" x14ac:dyDescent="0.25">
      <c r="A168" s="335">
        <f>'Unit Data from Audit Worksheet'!A212</f>
        <v>619</v>
      </c>
      <c r="B168" s="336" t="str">
        <f>'Unit Data from Audit Worksheet'!C212</f>
        <v>LEO
RSI</v>
      </c>
      <c r="C168" s="370" t="str">
        <f>'Unit Data from Audit Worksheet'!D212</f>
        <v>LEOSSA – What is the plan’s fiduciary net position as a percentage of the total pension liability?  Please enter as percentage value; for example, 83.5% should be entered as 83.5.  If assets have not been set aside in a trust, please enter 0.0</v>
      </c>
      <c r="D168" s="352"/>
      <c r="E168" s="685">
        <f>'Unit Data from Audit Worksheet'!F212</f>
        <v>0</v>
      </c>
      <c r="F168" s="331" t="str">
        <f>IF(H168=L168,"","Column L does not equal Column H")</f>
        <v/>
      </c>
      <c r="G168" s="327"/>
      <c r="H168" s="383">
        <f>ROUND(IFERROR((L167/L166)*100,0),1)</f>
        <v>0</v>
      </c>
      <c r="I168" s="637"/>
      <c r="J168" s="381">
        <v>619</v>
      </c>
      <c r="K168" s="382" t="s">
        <v>1209</v>
      </c>
      <c r="L168" s="705">
        <f t="shared" si="14"/>
        <v>0</v>
      </c>
      <c r="M168" s="57"/>
      <c r="P168" s="409"/>
      <c r="Q168" s="731">
        <f>IF(H168=L168,0,1)</f>
        <v>0</v>
      </c>
      <c r="R168" s="632"/>
      <c r="W168" s="632" t="b">
        <f t="shared" si="15"/>
        <v>1</v>
      </c>
      <c r="X168" s="726">
        <f t="shared" si="16"/>
        <v>0</v>
      </c>
      <c r="Y168" s="726">
        <f t="shared" si="17"/>
        <v>0</v>
      </c>
      <c r="AA168" s="411"/>
    </row>
    <row r="169" spans="1:27" s="320" customFormat="1" ht="113.25" customHeight="1" x14ac:dyDescent="0.25">
      <c r="A169" s="428">
        <v>621</v>
      </c>
      <c r="B169" s="247" t="s">
        <v>819</v>
      </c>
      <c r="C169" s="489" t="str">
        <f>'Unit Data from Audit Worksheet'!D214</f>
        <v>Unit's share of RHBF Net OPEB Liability ($s)
- unit of government is a participating employer in the State's RHBF (Retiree Health Benefit Fund)</v>
      </c>
      <c r="D169" s="352"/>
      <c r="E169" s="697">
        <f>'Unit Data from Audit Worksheet'!F214</f>
        <v>0</v>
      </c>
      <c r="F169" s="426">
        <f>IF(L169&lt;0,"Error: Enter as a positive.",)</f>
        <v>0</v>
      </c>
      <c r="G169" s="491"/>
      <c r="H169" s="424"/>
      <c r="I169" s="637"/>
      <c r="J169" s="490">
        <v>621</v>
      </c>
      <c r="K169" s="492" t="s">
        <v>1221</v>
      </c>
      <c r="L169" s="698">
        <f t="shared" si="14"/>
        <v>0</v>
      </c>
      <c r="M169" s="57"/>
      <c r="P169" s="409"/>
      <c r="Q169"/>
      <c r="R169" s="632"/>
      <c r="W169" s="632" t="b">
        <f t="shared" si="15"/>
        <v>1</v>
      </c>
      <c r="X169" s="726">
        <f t="shared" si="16"/>
        <v>0</v>
      </c>
      <c r="Y169" s="726">
        <f t="shared" si="17"/>
        <v>0</v>
      </c>
      <c r="AA169" s="411"/>
    </row>
    <row r="170" spans="1:27" s="4" customFormat="1" ht="135" customHeight="1" x14ac:dyDescent="0.25">
      <c r="A170" s="258">
        <f>'Unit Data from Audit Worksheet'!A215</f>
        <v>547</v>
      </c>
      <c r="B170" s="237" t="str">
        <f>'Unit Data from Audit Worksheet'!C215</f>
        <v>OPEB Note</v>
      </c>
      <c r="C170" s="237" t="str">
        <f>'Unit Data from Audit Worksheet'!D215</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170" s="398"/>
      <c r="E170" s="697">
        <f>'Unit Data from Audit Worksheet'!F215</f>
        <v>0</v>
      </c>
      <c r="F170" s="216" t="str">
        <f>IF(L173&lt;1,"Please answer this question","")</f>
        <v>Please answer this question</v>
      </c>
      <c r="G170" s="287"/>
      <c r="H170" s="208">
        <f>'Unit Data from Audit Worksheet'!I215</f>
        <v>0</v>
      </c>
      <c r="I170" s="637"/>
      <c r="J170" s="204">
        <v>547</v>
      </c>
      <c r="K170" s="259" t="s">
        <v>630</v>
      </c>
      <c r="L170" s="698">
        <f t="shared" si="14"/>
        <v>0</v>
      </c>
      <c r="M170" s="56"/>
      <c r="P170" s="409"/>
      <c r="Q170" s="328"/>
      <c r="R170" s="632"/>
      <c r="W170" s="632" t="b">
        <f t="shared" si="15"/>
        <v>1</v>
      </c>
      <c r="X170" s="726">
        <f t="shared" si="16"/>
        <v>0</v>
      </c>
      <c r="Y170" s="726">
        <f t="shared" si="17"/>
        <v>0</v>
      </c>
      <c r="AA170" s="411"/>
    </row>
    <row r="171" spans="1:27" s="321" customFormat="1" ht="99" customHeight="1" x14ac:dyDescent="0.25">
      <c r="A171" s="665">
        <f>'Unit Data from Audit Worksheet'!A216</f>
        <v>659</v>
      </c>
      <c r="B171" s="349" t="str">
        <f>'Unit Data from Audit Worksheet'!C216</f>
        <v>OPEB
 Note or RSI</v>
      </c>
      <c r="C171" s="666" t="str">
        <f>'Unit Data from Audit Worksheet'!D216</f>
        <v>Total OPEB benefits - total OPEB liability
If you do not provide benefit, please enter 0</v>
      </c>
      <c r="D171" s="398"/>
      <c r="E171" s="700">
        <f>'Unit Data from Audit Worksheet'!F216</f>
        <v>0</v>
      </c>
      <c r="F171" s="365">
        <f>IF(L171&lt;0,"Error: Enter as a positive.",)</f>
        <v>0</v>
      </c>
      <c r="G171" s="876" t="s">
        <v>1222</v>
      </c>
      <c r="H171" s="208">
        <f>'Unit Data from Audit Worksheet'!I216</f>
        <v>0</v>
      </c>
      <c r="I171" s="637"/>
      <c r="J171" s="912">
        <v>659</v>
      </c>
      <c r="K171" s="657" t="s">
        <v>993</v>
      </c>
      <c r="L171" s="690">
        <f t="shared" si="14"/>
        <v>0</v>
      </c>
      <c r="M171" s="56"/>
      <c r="P171" s="409"/>
      <c r="Q171" s="328"/>
      <c r="R171" s="632"/>
      <c r="W171" s="632" t="b">
        <f t="shared" si="15"/>
        <v>1</v>
      </c>
      <c r="X171" s="726">
        <f t="shared" si="16"/>
        <v>0</v>
      </c>
      <c r="Y171" s="726">
        <f t="shared" si="17"/>
        <v>0</v>
      </c>
      <c r="AA171" s="411"/>
    </row>
    <row r="172" spans="1:27" s="321" customFormat="1" ht="131.25" customHeight="1" x14ac:dyDescent="0.25">
      <c r="A172" s="348">
        <f>'Unit Data from Audit Worksheet'!A217</f>
        <v>660</v>
      </c>
      <c r="B172" s="349" t="str">
        <f>'Unit Data from Audit Worksheet'!C217</f>
        <v>OPEB
 Note or RSI</v>
      </c>
      <c r="C172" s="486" t="str">
        <f>'Unit Data from Audit Worksheet'!D217</f>
        <v>Total OPEB benefits- OPEB plan fiduciary net position
If no fiduciary net position, enter 0</v>
      </c>
      <c r="D172" s="398"/>
      <c r="E172" s="700">
        <f>'Unit Data from Audit Worksheet'!F217</f>
        <v>0</v>
      </c>
      <c r="F172" s="475">
        <f>IF(L172&lt;0,"Note: Number is normally positive.",)</f>
        <v>0</v>
      </c>
      <c r="G172" s="876" t="s">
        <v>1222</v>
      </c>
      <c r="H172" s="208">
        <f>'Unit Data from Audit Worksheet'!I217</f>
        <v>0</v>
      </c>
      <c r="I172" s="637"/>
      <c r="J172" s="913">
        <v>660</v>
      </c>
      <c r="K172" s="657" t="s">
        <v>994</v>
      </c>
      <c r="L172" s="690">
        <f t="shared" si="14"/>
        <v>0</v>
      </c>
      <c r="M172" s="56"/>
      <c r="P172" s="409"/>
      <c r="Q172" s="328"/>
      <c r="R172" s="632"/>
      <c r="W172" s="632" t="b">
        <f t="shared" si="15"/>
        <v>1</v>
      </c>
      <c r="X172" s="726">
        <f t="shared" si="16"/>
        <v>0</v>
      </c>
      <c r="Y172" s="726">
        <f t="shared" si="17"/>
        <v>0</v>
      </c>
      <c r="AA172" s="411"/>
    </row>
    <row r="173" spans="1:27" s="22" customFormat="1" ht="134.25" customHeight="1" x14ac:dyDescent="0.25">
      <c r="A173" s="348">
        <f>'Unit Data from Audit Worksheet'!A218</f>
        <v>661</v>
      </c>
      <c r="B173" s="349" t="str">
        <f>'Unit Data from Audit Worksheet'!C218</f>
        <v>OPEB
RSI</v>
      </c>
      <c r="C173" s="486" t="str">
        <f>'Unit Data from Audit Worksheet'!D218</f>
        <v>Total OPEB benefits - What is the plan’s fiduciary net position as a percentage of the total OPEB liability?  Please enter as percentage value; for example, 83.5% should be entered as 83.5.  If assets have not been set aside in a trust, please enter 0.0</v>
      </c>
      <c r="D173" s="352"/>
      <c r="E173" s="910">
        <f>'Unit Data from Audit Worksheet'!F218</f>
        <v>0</v>
      </c>
      <c r="F173" s="365" t="str">
        <f>IF(H173=L173,"","Column L does not equal Column H")</f>
        <v/>
      </c>
      <c r="G173" s="876" t="s">
        <v>1222</v>
      </c>
      <c r="H173" s="911">
        <f>ROUND(IFERROR((L172/L171)*100,0),1)</f>
        <v>0</v>
      </c>
      <c r="I173" s="637"/>
      <c r="J173" s="913">
        <v>661</v>
      </c>
      <c r="K173" s="655" t="s">
        <v>1037</v>
      </c>
      <c r="L173" s="705">
        <f t="shared" si="14"/>
        <v>0</v>
      </c>
      <c r="P173" s="409"/>
      <c r="Q173" s="354">
        <f>IF(H173=L173,0,1)</f>
        <v>0</v>
      </c>
      <c r="R173" s="632"/>
      <c r="W173" s="632" t="b">
        <f t="shared" si="15"/>
        <v>1</v>
      </c>
      <c r="X173" s="726">
        <f t="shared" si="16"/>
        <v>0</v>
      </c>
      <c r="Y173" s="726">
        <f t="shared" si="17"/>
        <v>0</v>
      </c>
      <c r="AA173" s="411"/>
    </row>
    <row r="174" spans="1:27" s="320" customFormat="1" ht="65.25" customHeight="1" x14ac:dyDescent="0.25">
      <c r="A174" s="227">
        <f>'Unit Data from Audit Worksheet'!A221</f>
        <v>371</v>
      </c>
      <c r="B174" s="237" t="str">
        <f>'Unit Data from Audit Worksheet'!C221</f>
        <v>Transfer Note</v>
      </c>
      <c r="C174" s="225" t="str">
        <f>'Unit Data from Audit Worksheet'!D221</f>
        <v>Amount of Transfers from the General Fund to the Debt Service Fund (Enter as positive)</v>
      </c>
      <c r="D174" s="398"/>
      <c r="E174" s="697">
        <f>'Unit Data from Audit Worksheet'!F221</f>
        <v>0</v>
      </c>
      <c r="F174" s="426">
        <f>IF(L174&lt;0,"Error: Enter as a positive.",)</f>
        <v>0</v>
      </c>
      <c r="G174" s="287"/>
      <c r="H174" s="208">
        <f>'Unit Data from Audit Worksheet'!I221</f>
        <v>0</v>
      </c>
      <c r="I174" s="199"/>
      <c r="J174" s="201">
        <v>371</v>
      </c>
      <c r="K174" s="197" t="s">
        <v>329</v>
      </c>
      <c r="L174" s="698">
        <f t="shared" si="14"/>
        <v>0</v>
      </c>
      <c r="P174" s="409"/>
      <c r="R174" s="632"/>
      <c r="W174" s="632" t="b">
        <f t="shared" si="15"/>
        <v>1</v>
      </c>
      <c r="X174" s="726">
        <f t="shared" si="16"/>
        <v>0</v>
      </c>
      <c r="Y174" s="726">
        <f t="shared" si="17"/>
        <v>0</v>
      </c>
      <c r="AA174" s="411"/>
    </row>
    <row r="175" spans="1:27" ht="63" customHeight="1" x14ac:dyDescent="0.25">
      <c r="A175" s="227">
        <f>'Unit Data from Audit Worksheet'!A222</f>
        <v>513</v>
      </c>
      <c r="B175" s="237" t="str">
        <f>'Unit Data from Audit Worksheet'!C222</f>
        <v>Transfer Note</v>
      </c>
      <c r="C175" s="225" t="str">
        <f>'Unit Data from Audit Worksheet'!D222</f>
        <v>Amount of Transfers from the General Fund to the Electric Fund  (Enter as positive)</v>
      </c>
      <c r="D175" s="398"/>
      <c r="E175" s="697">
        <f>'Unit Data from Audit Worksheet'!F222</f>
        <v>0</v>
      </c>
      <c r="F175" s="426">
        <f>IF(L175&lt;0,"Error: Enter as a positive.",)</f>
        <v>0</v>
      </c>
      <c r="G175" s="287"/>
      <c r="H175" s="208">
        <f>'Unit Data from Audit Worksheet'!I222</f>
        <v>0</v>
      </c>
      <c r="I175" s="637"/>
      <c r="J175" s="204">
        <v>513</v>
      </c>
      <c r="K175" s="197" t="s">
        <v>330</v>
      </c>
      <c r="L175" s="698">
        <f t="shared" si="14"/>
        <v>0</v>
      </c>
      <c r="P175" s="409"/>
      <c r="R175" s="632"/>
      <c r="W175" s="632" t="b">
        <f t="shared" si="15"/>
        <v>1</v>
      </c>
      <c r="X175" s="726">
        <f t="shared" si="16"/>
        <v>0</v>
      </c>
      <c r="Y175" s="726">
        <f t="shared" si="17"/>
        <v>0</v>
      </c>
      <c r="AA175" s="411"/>
    </row>
    <row r="176" spans="1:27" ht="89.25" customHeight="1" x14ac:dyDescent="0.25">
      <c r="A176" s="227">
        <f>'Unit Data from Audit Worksheet'!A223</f>
        <v>514</v>
      </c>
      <c r="B176" s="237" t="str">
        <f>'Unit Data from Audit Worksheet'!C223</f>
        <v>Transfer Note</v>
      </c>
      <c r="C176" s="225" t="str">
        <f>'Unit Data from Audit Worksheet'!D223</f>
        <v>Amount of Transfers from the Electric Fund to the General Fund  (Enter as positive)
Include:  Payment in Lieu of Taxes (PILOT)</v>
      </c>
      <c r="D176" s="398"/>
      <c r="E176" s="697">
        <f>'Unit Data from Audit Worksheet'!F223</f>
        <v>0</v>
      </c>
      <c r="F176" s="426">
        <f>IF(L176&lt;0,"Error: Enter as a positive.",)</f>
        <v>0</v>
      </c>
      <c r="G176" s="287"/>
      <c r="H176" s="208">
        <f>'Unit Data from Audit Worksheet'!I223</f>
        <v>0</v>
      </c>
      <c r="I176" s="637"/>
      <c r="J176" s="204">
        <v>514</v>
      </c>
      <c r="K176" s="197" t="s">
        <v>331</v>
      </c>
      <c r="L176" s="698">
        <f t="shared" si="14"/>
        <v>0</v>
      </c>
      <c r="P176" s="409"/>
      <c r="R176" s="632"/>
      <c r="W176" s="632" t="b">
        <f t="shared" si="15"/>
        <v>1</v>
      </c>
      <c r="X176" s="726">
        <f t="shared" si="16"/>
        <v>0</v>
      </c>
      <c r="Y176" s="726">
        <f t="shared" si="17"/>
        <v>0</v>
      </c>
      <c r="AA176" s="411"/>
    </row>
    <row r="177" spans="1:27" ht="84.75" customHeight="1" x14ac:dyDescent="0.25">
      <c r="A177" s="213">
        <f>'Unit Data from Audit Worksheet'!A225</f>
        <v>6</v>
      </c>
      <c r="B177" s="238" t="str">
        <f>'Unit Data from Audit Worksheet'!C225</f>
        <v>Fund Balance Note</v>
      </c>
      <c r="C177" s="219" t="str">
        <f>'Unit Data from Audit Worksheet'!D225</f>
        <v>General Fund -  Total Encumbrances.  You will probably have to refer to the note disclosure where the amount of encumbrances is listed.</v>
      </c>
      <c r="D177" s="398"/>
      <c r="E177" s="702">
        <f>'Unit Data from Audit Worksheet'!F225</f>
        <v>0</v>
      </c>
      <c r="F177" s="198">
        <f>IF(L177&lt;0,"Error: Enter as a positive.",)</f>
        <v>0</v>
      </c>
      <c r="G177" s="288"/>
      <c r="H177" s="208">
        <f>'Unit Data from Audit Worksheet'!I225</f>
        <v>0</v>
      </c>
      <c r="I177" s="637"/>
      <c r="J177" s="203">
        <v>6</v>
      </c>
      <c r="K177" s="597" t="s">
        <v>332</v>
      </c>
      <c r="L177" s="698">
        <f t="shared" si="14"/>
        <v>0</v>
      </c>
      <c r="P177" s="409"/>
      <c r="R177" s="632"/>
      <c r="W177" s="632" t="b">
        <f t="shared" si="15"/>
        <v>1</v>
      </c>
      <c r="X177" s="726">
        <f t="shared" si="16"/>
        <v>0</v>
      </c>
      <c r="Y177" s="726">
        <f t="shared" si="17"/>
        <v>0</v>
      </c>
      <c r="AA177" s="411"/>
    </row>
    <row r="178" spans="1:27" ht="117.75" customHeight="1" x14ac:dyDescent="0.25">
      <c r="A178" s="227">
        <f>'Unit Data from Audit Worksheet'!A227</f>
        <v>541</v>
      </c>
      <c r="B178" s="237" t="str">
        <f>'Unit Data from Audit Worksheet'!C227</f>
        <v>Water Sewer - Budget Actual Statement</v>
      </c>
      <c r="C178" s="237" t="str">
        <f>'Unit Data from Audit Worksheet'!D227</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78" s="398"/>
      <c r="E178" s="697">
        <f>'Unit Data from Audit Worksheet'!F227</f>
        <v>0</v>
      </c>
      <c r="F178" s="216"/>
      <c r="G178" s="287"/>
      <c r="H178" s="208">
        <f>'Unit Data from Audit Worksheet'!I227</f>
        <v>0</v>
      </c>
      <c r="I178" s="637"/>
      <c r="J178" s="204">
        <v>541</v>
      </c>
      <c r="K178" s="279" t="s">
        <v>649</v>
      </c>
      <c r="L178" s="698">
        <f t="shared" si="14"/>
        <v>0</v>
      </c>
      <c r="P178" s="409"/>
      <c r="R178" s="632"/>
      <c r="W178" s="632" t="b">
        <f t="shared" si="15"/>
        <v>1</v>
      </c>
      <c r="X178" s="726">
        <f t="shared" si="16"/>
        <v>0</v>
      </c>
      <c r="Y178" s="726">
        <f t="shared" si="17"/>
        <v>0</v>
      </c>
      <c r="AA178" s="411"/>
    </row>
    <row r="179" spans="1:27" ht="94.5" customHeight="1" x14ac:dyDescent="0.25">
      <c r="A179" s="227">
        <f>'Unit Data from Audit Worksheet'!A229</f>
        <v>542</v>
      </c>
      <c r="B179" s="429" t="str">
        <f>'Unit Data from Audit Worksheet'!C229</f>
        <v>Water Sewer - Disclosed in the Notes or in the recently approved Budget for next year.</v>
      </c>
      <c r="C179" s="245" t="str">
        <f>'Unit Data from Audit Worksheet'!D229</f>
        <v>Amount of the Water Sewer Fund Balance appropriated in next year's budget?</v>
      </c>
      <c r="D179" s="398"/>
      <c r="E179" s="697">
        <f>'Unit Data from Audit Worksheet'!F229</f>
        <v>0</v>
      </c>
      <c r="F179" s="216"/>
      <c r="G179" s="287"/>
      <c r="H179" s="424">
        <f>'Unit Data from Audit Worksheet'!I229</f>
        <v>0</v>
      </c>
      <c r="I179" s="637"/>
      <c r="J179" s="204">
        <v>542</v>
      </c>
      <c r="K179" s="197" t="s">
        <v>333</v>
      </c>
      <c r="L179" s="698">
        <f t="shared" si="14"/>
        <v>0</v>
      </c>
      <c r="N179" s="255" t="s">
        <v>640</v>
      </c>
      <c r="P179" s="409"/>
      <c r="R179" s="632"/>
      <c r="W179" s="632" t="b">
        <f t="shared" si="15"/>
        <v>1</v>
      </c>
      <c r="X179" s="726">
        <f t="shared" si="16"/>
        <v>0</v>
      </c>
      <c r="Y179" s="726">
        <f t="shared" si="17"/>
        <v>0</v>
      </c>
      <c r="AA179" s="411"/>
    </row>
    <row r="180" spans="1:27" ht="93.75" customHeight="1" x14ac:dyDescent="0.25">
      <c r="A180" s="227">
        <f>'Unit Data from Audit Worksheet'!A232</f>
        <v>528</v>
      </c>
      <c r="B180" s="237" t="str">
        <f>'Unit Data from Audit Worksheet'!C232</f>
        <v>Analysis of Current Tax Levy Schedule</v>
      </c>
      <c r="C180" s="245" t="str">
        <f>'Unit Data from Audit Worksheet'!D232</f>
        <v>Please enter the Net Current year's levy for property excluding registered motor vehicles-- (after adjusting for discoveries and abatements)
Exclude Supplemental Taxes</v>
      </c>
      <c r="D180" s="398"/>
      <c r="E180" s="697">
        <f>'Unit Data from Audit Worksheet'!F232</f>
        <v>0</v>
      </c>
      <c r="F180" s="315" t="str">
        <f>IF(L180=0,"Must be completed if unit levys taxes","")</f>
        <v>Must be completed if unit levys taxes</v>
      </c>
      <c r="G180" s="287"/>
      <c r="H180" s="208"/>
      <c r="I180" s="637"/>
      <c r="J180" s="204">
        <v>528</v>
      </c>
      <c r="K180" s="280" t="s">
        <v>338</v>
      </c>
      <c r="L180" s="698">
        <f t="shared" si="14"/>
        <v>0</v>
      </c>
      <c r="N180" s="316"/>
      <c r="P180" s="409"/>
      <c r="R180" s="632"/>
      <c r="W180" s="632" t="b">
        <f t="shared" si="15"/>
        <v>1</v>
      </c>
      <c r="X180" s="726">
        <f t="shared" si="16"/>
        <v>0</v>
      </c>
      <c r="Y180" s="726">
        <f t="shared" si="17"/>
        <v>0</v>
      </c>
      <c r="AA180" s="411"/>
    </row>
    <row r="181" spans="1:27" s="4" customFormat="1" ht="79.5" customHeight="1" x14ac:dyDescent="0.25">
      <c r="A181" s="227">
        <f>'Unit Data from Audit Worksheet'!A233</f>
        <v>529</v>
      </c>
      <c r="B181" s="237" t="str">
        <f>'Unit Data from Audit Worksheet'!C233</f>
        <v>Analysis of Current Tax Levy Schedule</v>
      </c>
      <c r="C181" s="245" t="str">
        <f>'Unit Data from Audit Worksheet'!D233</f>
        <v>Please enter the Net Current year's levy -- Motor vehicles (only) (after adjusting for discoveries and abatements)
Exclude supplemental taxes</v>
      </c>
      <c r="D181" s="398"/>
      <c r="E181" s="697">
        <f>'Unit Data from Audit Worksheet'!F233</f>
        <v>0</v>
      </c>
      <c r="F181" s="315" t="str">
        <f>IF(L181=0,"Must be completed if unit levys taxes","")</f>
        <v>Must be completed if unit levys taxes</v>
      </c>
      <c r="G181" s="287"/>
      <c r="H181" s="208"/>
      <c r="I181" s="637"/>
      <c r="J181" s="204">
        <v>529</v>
      </c>
      <c r="K181" s="280" t="s">
        <v>339</v>
      </c>
      <c r="L181" s="698">
        <f t="shared" si="14"/>
        <v>0</v>
      </c>
      <c r="N181" s="316"/>
      <c r="P181" s="409"/>
      <c r="Q181" s="328"/>
      <c r="R181" s="632"/>
      <c r="W181" s="632" t="b">
        <f t="shared" si="15"/>
        <v>1</v>
      </c>
      <c r="X181" s="726">
        <f t="shared" si="16"/>
        <v>0</v>
      </c>
      <c r="Y181" s="726">
        <f t="shared" si="17"/>
        <v>0</v>
      </c>
      <c r="AA181" s="411"/>
    </row>
    <row r="182" spans="1:27" s="4" customFormat="1" ht="75" customHeight="1" x14ac:dyDescent="0.25">
      <c r="A182" s="227">
        <f>'Unit Data from Audit Worksheet'!A234</f>
        <v>530</v>
      </c>
      <c r="B182" s="237" t="str">
        <f>'Unit Data from Audit Worksheet'!C234</f>
        <v>Analysis of Current Tax Levy Schedule</v>
      </c>
      <c r="C182" s="245" t="str">
        <f>'Unit Data from Audit Worksheet'!D234</f>
        <v>Uncollected Taxes - Curr Year's Levy Exclude Motor Vehicles
Exclude supplemental taxes</v>
      </c>
      <c r="D182" s="398"/>
      <c r="E182" s="697">
        <f>'Unit Data from Audit Worksheet'!F234</f>
        <v>0</v>
      </c>
      <c r="F182" s="315" t="str">
        <f>IF(L182=0,"Must be completed if unit levys taxes","")</f>
        <v>Must be completed if unit levys taxes</v>
      </c>
      <c r="G182" s="287"/>
      <c r="H182" s="208"/>
      <c r="I182" s="637"/>
      <c r="J182" s="204">
        <v>530</v>
      </c>
      <c r="K182" s="280" t="s">
        <v>340</v>
      </c>
      <c r="L182" s="698">
        <f t="shared" si="14"/>
        <v>0</v>
      </c>
      <c r="N182" s="316"/>
      <c r="P182" s="409"/>
      <c r="Q182" s="328"/>
      <c r="R182" s="632"/>
      <c r="W182" s="632" t="b">
        <f t="shared" si="15"/>
        <v>1</v>
      </c>
      <c r="X182" s="726">
        <f t="shared" si="16"/>
        <v>0</v>
      </c>
      <c r="Y182" s="726">
        <f t="shared" si="17"/>
        <v>0</v>
      </c>
      <c r="AA182" s="411"/>
    </row>
    <row r="183" spans="1:27" s="4" customFormat="1" ht="68.25" customHeight="1" x14ac:dyDescent="0.25">
      <c r="A183" s="227">
        <f>'Unit Data from Audit Worksheet'!A235</f>
        <v>531</v>
      </c>
      <c r="B183" s="237" t="str">
        <f>'Unit Data from Audit Worksheet'!C235</f>
        <v>Analysis of Current Tax Levy Schedule</v>
      </c>
      <c r="C183" s="245" t="str">
        <f>'Unit Data from Audit Worksheet'!D235</f>
        <v>Uncollected Taxes - Curr Year's Levy Motor Vehicles
Exclude supplemental taxes</v>
      </c>
      <c r="D183" s="398"/>
      <c r="E183" s="697">
        <f>'Unit Data from Audit Worksheet'!F235</f>
        <v>0</v>
      </c>
      <c r="F183" s="315" t="str">
        <f>IF(L183=0,"Must be completed if unit levys taxes","")</f>
        <v>Must be completed if unit levys taxes</v>
      </c>
      <c r="G183" s="287"/>
      <c r="H183" s="208"/>
      <c r="I183" s="637"/>
      <c r="J183" s="204">
        <v>531</v>
      </c>
      <c r="K183" s="280" t="s">
        <v>341</v>
      </c>
      <c r="L183" s="698">
        <f t="shared" ref="L183:L214" si="18">IF(D183="",E183,D183)</f>
        <v>0</v>
      </c>
      <c r="N183" s="316" t="str">
        <f t="shared" ref="N183" si="19">IF(T187=0,"Must be completed if unit levys taxes, zero acceptable if Motor Vehicle collection rate is 100%","")</f>
        <v>Must be completed if unit levys taxes, zero acceptable if Motor Vehicle collection rate is 100%</v>
      </c>
      <c r="P183" s="409"/>
      <c r="Q183" s="328"/>
      <c r="R183" s="632"/>
      <c r="W183" s="632" t="b">
        <f t="shared" si="15"/>
        <v>1</v>
      </c>
      <c r="X183" s="726">
        <f t="shared" si="16"/>
        <v>0</v>
      </c>
      <c r="Y183" s="726">
        <f t="shared" si="17"/>
        <v>0</v>
      </c>
      <c r="AA183" s="411"/>
    </row>
    <row r="184" spans="1:27" ht="90.75" customHeight="1" x14ac:dyDescent="0.25">
      <c r="A184" s="227">
        <f>'Unit Data from Audit Worksheet'!A236</f>
        <v>61</v>
      </c>
      <c r="B184" s="237" t="str">
        <f>'Unit Data from Audit Worksheet'!C236</f>
        <v>Analysis of Current Tax Levy Schedule</v>
      </c>
      <c r="C184" s="245" t="str">
        <f>'Unit Data from Audit Worksheet'!D236</f>
        <v>Tax collection rate- Total Levy UNIT-WIDE
Exclude supplemental taxes
(Enter as a percentage with two decimal places)</v>
      </c>
      <c r="D184" s="330"/>
      <c r="E184" s="686">
        <f>'Unit Data from Audit Worksheet'!F236</f>
        <v>0</v>
      </c>
      <c r="F184" s="324" t="str">
        <f>IF(L184=H184,"","Column H calculates the percentage using accounts 528, 529, 530, 531, please enter the correct amounts from the audit schedule for these cells")</f>
        <v/>
      </c>
      <c r="G184" s="327" t="str">
        <f>IF(Q184=1," Included in error count"," ")</f>
        <v xml:space="preserve"> </v>
      </c>
      <c r="H184" s="327">
        <f>ROUND(IFERROR(((L180+L181)-(L182+L183))/(L180+L181)*100,0),2)</f>
        <v>0</v>
      </c>
      <c r="I184" s="637"/>
      <c r="J184" s="204">
        <v>61</v>
      </c>
      <c r="K184" s="281" t="s">
        <v>335</v>
      </c>
      <c r="L184" s="648">
        <f t="shared" si="18"/>
        <v>0</v>
      </c>
      <c r="N184" s="316"/>
      <c r="P184" s="409"/>
      <c r="Q184" s="646">
        <f>IF(L184-H184&lt;&gt;0,1,0)</f>
        <v>0</v>
      </c>
      <c r="R184" s="632"/>
      <c r="W184" s="632" t="b">
        <f t="shared" si="15"/>
        <v>1</v>
      </c>
      <c r="X184" s="726">
        <f t="shared" si="16"/>
        <v>0</v>
      </c>
      <c r="Y184" s="726">
        <f t="shared" si="17"/>
        <v>0</v>
      </c>
      <c r="AA184" s="411"/>
    </row>
    <row r="185" spans="1:27" ht="89.25" customHeight="1" x14ac:dyDescent="0.25">
      <c r="A185" s="227">
        <f>'Unit Data from Audit Worksheet'!A237</f>
        <v>102</v>
      </c>
      <c r="B185" s="237" t="str">
        <f>'Unit Data from Audit Worksheet'!C237</f>
        <v>Analysis of Current Tax Levy Schedule</v>
      </c>
      <c r="C185" s="245" t="str">
        <f>'Unit Data from Audit Worksheet'!D237</f>
        <v>Tax collection rate - Excluding Registered motor vehicles
Exclude supplemental taxes
(Enter as a percentage with two decimal places)</v>
      </c>
      <c r="D185" s="330"/>
      <c r="E185" s="686">
        <f>'Unit Data from Audit Worksheet'!F237</f>
        <v>0</v>
      </c>
      <c r="F185" s="324" t="str">
        <f>IF(L185=H185,"","Column H calculates the percentage using accounts 528 and 530,  please enter the correct amounts from the audit schedule for these cells")</f>
        <v/>
      </c>
      <c r="G185" s="327" t="str">
        <f>IF(Q185=1," Included in error count"," ")</f>
        <v xml:space="preserve"> </v>
      </c>
      <c r="H185" s="327">
        <f>ROUND(IFERROR(((L180)-(L182))/(L180)*100,0),2)</f>
        <v>0</v>
      </c>
      <c r="I185" s="637"/>
      <c r="J185" s="204">
        <v>102</v>
      </c>
      <c r="K185" s="282" t="s">
        <v>336</v>
      </c>
      <c r="L185" s="648">
        <f t="shared" si="18"/>
        <v>0</v>
      </c>
      <c r="N185" s="316"/>
      <c r="P185" s="409"/>
      <c r="Q185" s="646">
        <f>IF(L185-H185&lt;&gt;0,1,0)</f>
        <v>0</v>
      </c>
      <c r="R185" s="632"/>
      <c r="W185" s="632" t="b">
        <f t="shared" si="15"/>
        <v>1</v>
      </c>
      <c r="X185" s="726">
        <f t="shared" si="16"/>
        <v>0</v>
      </c>
      <c r="Y185" s="726">
        <f t="shared" si="17"/>
        <v>0</v>
      </c>
      <c r="AA185" s="411"/>
    </row>
    <row r="186" spans="1:27" ht="87.75" customHeight="1" x14ac:dyDescent="0.25">
      <c r="A186" s="227">
        <f>'Unit Data from Audit Worksheet'!A238</f>
        <v>103</v>
      </c>
      <c r="B186" s="237" t="str">
        <f>'Unit Data from Audit Worksheet'!C238</f>
        <v>Analysis of Current Tax Levy Schedule</v>
      </c>
      <c r="C186" s="245" t="str">
        <f>'Unit Data from Audit Worksheet'!D238</f>
        <v>Tax collection rate - Registered motor vehicles
Exclude supplemental taxes
(Enter as a percentage with two decimal places)</v>
      </c>
      <c r="D186" s="330"/>
      <c r="E186" s="686">
        <f>'Unit Data from Audit Worksheet'!F238</f>
        <v>0</v>
      </c>
      <c r="F186" s="324" t="str">
        <f>IF(L186=H186,"","Column H calculates the percentage using accounts 529 and 531, please enter the correct amounts from the audit schedule for these cells")</f>
        <v/>
      </c>
      <c r="G186" s="327" t="str">
        <f>IF(Q186=1," Included in error count"," ")</f>
        <v xml:space="preserve"> </v>
      </c>
      <c r="H186" s="327">
        <f>ROUND(IFERROR(((L181)-(L183))/(L181)*100,0),2)</f>
        <v>0</v>
      </c>
      <c r="I186" s="637"/>
      <c r="J186" s="204">
        <v>103</v>
      </c>
      <c r="K186" s="282" t="s">
        <v>337</v>
      </c>
      <c r="L186" s="648">
        <f t="shared" si="18"/>
        <v>0</v>
      </c>
      <c r="N186" s="316"/>
      <c r="P186" s="409"/>
      <c r="Q186" s="646">
        <f>IF(L186-H186&lt;&gt;0,1,0)</f>
        <v>0</v>
      </c>
      <c r="R186" s="632"/>
      <c r="W186" s="632" t="b">
        <f t="shared" si="15"/>
        <v>1</v>
      </c>
      <c r="X186" s="726">
        <f t="shared" si="16"/>
        <v>0</v>
      </c>
      <c r="Y186" s="726">
        <f t="shared" si="17"/>
        <v>0</v>
      </c>
      <c r="AA186" s="411"/>
    </row>
    <row r="187" spans="1:27" ht="86.25" customHeight="1" x14ac:dyDescent="0.25">
      <c r="A187" s="227">
        <f>'Unit Data from Audit Worksheet'!A239</f>
        <v>544</v>
      </c>
      <c r="B187" s="237" t="str">
        <f>'Unit Data from Audit Worksheet'!C239</f>
        <v>Analysis of Current Tax Levy Schedule</v>
      </c>
      <c r="C187" s="245" t="str">
        <f>'Unit Data from Audit Worksheet'!D239</f>
        <v>Property Tax Increase for Year Audited- enter amount of  increase in cents per $100 - leave blank if no increase 
Exclude supplemental taxes</v>
      </c>
      <c r="D187" s="398"/>
      <c r="E187" s="679">
        <f>'Unit Data from Audit Worksheet'!F239</f>
        <v>0</v>
      </c>
      <c r="F187" s="212"/>
      <c r="G187" s="287"/>
      <c r="H187" s="208">
        <f>'Unit Data from Audit Worksheet'!I239</f>
        <v>0</v>
      </c>
      <c r="I187" s="637"/>
      <c r="J187" s="204">
        <v>544</v>
      </c>
      <c r="K187" s="282" t="s">
        <v>60</v>
      </c>
      <c r="L187" s="691">
        <f t="shared" si="18"/>
        <v>0</v>
      </c>
      <c r="N187" s="255" t="s">
        <v>640</v>
      </c>
      <c r="P187" s="409"/>
      <c r="R187" s="632"/>
      <c r="W187" s="632" t="b">
        <f t="shared" si="15"/>
        <v>1</v>
      </c>
      <c r="X187" s="726">
        <f t="shared" si="16"/>
        <v>0</v>
      </c>
      <c r="Y187" s="726">
        <f t="shared" si="17"/>
        <v>0</v>
      </c>
      <c r="AA187" s="411"/>
    </row>
    <row r="188" spans="1:27" ht="93.75" customHeight="1" x14ac:dyDescent="0.25">
      <c r="A188" s="227">
        <f>'Unit Data from Audit Worksheet'!A240</f>
        <v>545</v>
      </c>
      <c r="B188" s="237" t="str">
        <f>'Unit Data from Audit Worksheet'!C240</f>
        <v>Analysis of Current Tax Levy Schedule</v>
      </c>
      <c r="C188" s="245" t="str">
        <f>'Unit Data from Audit Worksheet'!D240</f>
        <v>Property Tax Increase for budget year after fiscal year being reported - enter amount of increase in cents per $100- leave blank if no increase
Exclude supplemental taxes</v>
      </c>
      <c r="D188" s="398"/>
      <c r="E188" s="679">
        <f>'Unit Data from Audit Worksheet'!F240</f>
        <v>0</v>
      </c>
      <c r="F188" s="216"/>
      <c r="G188" s="287"/>
      <c r="H188" s="208">
        <f>'Unit Data from Audit Worksheet'!I240</f>
        <v>0</v>
      </c>
      <c r="I188" s="637"/>
      <c r="J188" s="346">
        <v>545</v>
      </c>
      <c r="K188" s="282" t="s">
        <v>61</v>
      </c>
      <c r="L188" s="691">
        <f t="shared" si="18"/>
        <v>0</v>
      </c>
      <c r="N188" s="255" t="s">
        <v>640</v>
      </c>
      <c r="O188" s="433"/>
      <c r="P188" s="409"/>
      <c r="R188" s="632"/>
      <c r="W188" s="632" t="b">
        <f t="shared" si="15"/>
        <v>1</v>
      </c>
      <c r="X188" s="726">
        <f t="shared" si="16"/>
        <v>0</v>
      </c>
      <c r="Y188" s="726">
        <f t="shared" si="17"/>
        <v>0</v>
      </c>
      <c r="AA188" s="411"/>
    </row>
    <row r="189" spans="1:27" ht="72.75" customHeight="1" x14ac:dyDescent="0.25">
      <c r="A189" s="400">
        <f>'Unit Data from Audit Worksheet'!A241</f>
        <v>624</v>
      </c>
      <c r="B189" s="401"/>
      <c r="C189" s="399" t="str">
        <f>'Unit Data from Audit Worksheet'!D241</f>
        <v>Does the County collect real estate property taxes on your behalf? Select "1" for "yes and "2" for "No"</v>
      </c>
      <c r="D189" s="398"/>
      <c r="E189" s="706">
        <f>'Unit Data from Audit Worksheet'!F241</f>
        <v>0</v>
      </c>
      <c r="F189" s="397"/>
      <c r="G189" s="403"/>
      <c r="H189" s="395"/>
      <c r="I189" s="637"/>
      <c r="J189" s="404">
        <v>624</v>
      </c>
      <c r="K189" s="402" t="s">
        <v>829</v>
      </c>
      <c r="L189" s="709">
        <f t="shared" si="18"/>
        <v>0</v>
      </c>
      <c r="P189" s="409"/>
      <c r="R189" s="632"/>
      <c r="W189" s="632" t="b">
        <f t="shared" si="15"/>
        <v>1</v>
      </c>
      <c r="X189" s="726">
        <f t="shared" si="16"/>
        <v>0</v>
      </c>
      <c r="Y189" s="726">
        <f t="shared" si="17"/>
        <v>0</v>
      </c>
      <c r="AA189" s="411"/>
    </row>
    <row r="190" spans="1:27" s="320" customFormat="1" ht="87.75" customHeight="1" x14ac:dyDescent="0.25">
      <c r="A190" s="400">
        <f>'Unit Data from Audit Worksheet'!A243</f>
        <v>620</v>
      </c>
      <c r="B190" s="401"/>
      <c r="C190" s="399" t="str">
        <f>'Unit Data from Audit Worksheet'!D243</f>
        <v>Do you expect to issue debt requiring LGC approval within 12 months from the date that the audit is submitted - select "1" for yes and "2" for no</v>
      </c>
      <c r="D190" s="398"/>
      <c r="E190" s="706">
        <f>'Unit Data from Audit Worksheet'!F243</f>
        <v>0</v>
      </c>
      <c r="F190" s="397"/>
      <c r="G190" s="403"/>
      <c r="H190" s="395">
        <f>'Unit Data from Audit Worksheet'!I243</f>
        <v>0</v>
      </c>
      <c r="I190" s="637"/>
      <c r="J190" s="404">
        <v>620</v>
      </c>
      <c r="K190" s="402" t="s">
        <v>806</v>
      </c>
      <c r="L190" s="709">
        <f t="shared" si="18"/>
        <v>0</v>
      </c>
      <c r="N190" s="620"/>
      <c r="P190" s="409"/>
      <c r="Q190" s="328"/>
      <c r="R190" s="632"/>
      <c r="W190" s="632" t="b">
        <f t="shared" si="15"/>
        <v>1</v>
      </c>
      <c r="X190" s="726">
        <f t="shared" si="16"/>
        <v>0</v>
      </c>
      <c r="Y190" s="726">
        <f t="shared" si="17"/>
        <v>0</v>
      </c>
      <c r="AA190" s="411"/>
    </row>
    <row r="191" spans="1:27" s="632" customFormat="1" ht="33.75" customHeight="1" x14ac:dyDescent="0.25">
      <c r="A191" s="358"/>
      <c r="B191" s="359"/>
      <c r="C191" s="360"/>
      <c r="D191" s="621"/>
      <c r="E191" s="671"/>
      <c r="F191" s="263"/>
      <c r="G191" s="623"/>
      <c r="H191" s="624"/>
      <c r="I191" s="637"/>
      <c r="J191" s="887">
        <v>998</v>
      </c>
      <c r="K191" s="888" t="s">
        <v>359</v>
      </c>
      <c r="L191" s="889" t="e">
        <f>HLOOKUP('Unit Data from Audit Worksheet'!$D$3,'2019 Data(H)'!$E$2:$CN$295,246,FALSE)</f>
        <v>#N/A</v>
      </c>
      <c r="N191" s="620"/>
      <c r="P191" s="659"/>
      <c r="Q191" s="646"/>
      <c r="R191" s="693"/>
      <c r="W191" s="632" t="b">
        <f t="shared" si="15"/>
        <v>0</v>
      </c>
      <c r="X191" s="726" t="e">
        <f t="shared" si="16"/>
        <v>#N/A</v>
      </c>
      <c r="Y191" s="726" t="e">
        <f t="shared" si="17"/>
        <v>#N/A</v>
      </c>
    </row>
    <row r="192" spans="1:27" s="632" customFormat="1" ht="30" x14ac:dyDescent="0.25">
      <c r="A192" s="358"/>
      <c r="B192" s="359"/>
      <c r="C192" s="360"/>
      <c r="D192" s="211"/>
      <c r="E192" s="210"/>
      <c r="F192" s="224"/>
      <c r="G192" s="289"/>
      <c r="H192" s="207"/>
      <c r="I192" s="637"/>
      <c r="J192" s="890">
        <v>995</v>
      </c>
      <c r="K192" s="891" t="s">
        <v>357</v>
      </c>
      <c r="L192" s="892" t="e">
        <f>HLOOKUP('Unit Data from Audit Worksheet'!$D$3,'2019 Data(H)'!$E$2:$CN$295,243,FALSE)</f>
        <v>#N/A</v>
      </c>
      <c r="N192" s="3"/>
      <c r="P192" s="409"/>
      <c r="Q192" s="646"/>
      <c r="R192" s="693"/>
      <c r="W192" s="632" t="b">
        <f t="shared" si="15"/>
        <v>0</v>
      </c>
      <c r="X192" s="727" t="e">
        <f t="shared" si="16"/>
        <v>#N/A</v>
      </c>
      <c r="Y192" s="726" t="e">
        <f t="shared" si="17"/>
        <v>#N/A</v>
      </c>
    </row>
    <row r="193" spans="1:27" s="632" customFormat="1" ht="30" x14ac:dyDescent="0.25">
      <c r="A193" s="358"/>
      <c r="B193" s="359"/>
      <c r="C193" s="360"/>
      <c r="D193" s="211"/>
      <c r="E193" s="210"/>
      <c r="F193" s="224"/>
      <c r="G193" s="289"/>
      <c r="H193" s="207"/>
      <c r="I193" s="637"/>
      <c r="J193" s="890">
        <v>996</v>
      </c>
      <c r="K193" s="891" t="s">
        <v>358</v>
      </c>
      <c r="L193" s="892" t="e">
        <f>HLOOKUP('Unit Data from Audit Worksheet'!$D$3,'2019 Data(H)'!$E$2:$CN$295,244,FALSE)</f>
        <v>#N/A</v>
      </c>
      <c r="N193" s="3"/>
      <c r="P193" s="409"/>
      <c r="Q193" s="646"/>
      <c r="R193" s="693"/>
      <c r="W193" s="632" t="b">
        <f t="shared" si="15"/>
        <v>0</v>
      </c>
      <c r="X193" s="727" t="e">
        <f t="shared" si="16"/>
        <v>#N/A</v>
      </c>
      <c r="Y193" s="726" t="e">
        <f t="shared" si="17"/>
        <v>#N/A</v>
      </c>
    </row>
    <row r="194" spans="1:27" s="632" customFormat="1" ht="45" x14ac:dyDescent="0.25">
      <c r="A194" s="358"/>
      <c r="B194" s="359"/>
      <c r="C194" s="360"/>
      <c r="D194" s="211"/>
      <c r="E194" s="210"/>
      <c r="F194" s="224"/>
      <c r="G194" s="289"/>
      <c r="H194" s="880"/>
      <c r="I194" s="637"/>
      <c r="J194" s="881">
        <v>554</v>
      </c>
      <c r="K194" s="716" t="s">
        <v>676</v>
      </c>
      <c r="L194" s="698"/>
      <c r="N194" s="3"/>
      <c r="P194" s="659"/>
      <c r="Q194" s="730"/>
      <c r="R194" s="693"/>
      <c r="X194" s="727"/>
      <c r="Y194" s="726"/>
    </row>
    <row r="195" spans="1:27" s="632" customFormat="1" ht="45" x14ac:dyDescent="0.25">
      <c r="A195" s="358"/>
      <c r="B195" s="359"/>
      <c r="C195" s="360"/>
      <c r="D195" s="211"/>
      <c r="E195" s="210"/>
      <c r="F195" s="224"/>
      <c r="G195" s="289"/>
      <c r="H195" s="880"/>
      <c r="I195" s="637"/>
      <c r="J195" s="881">
        <v>555</v>
      </c>
      <c r="K195" s="716" t="s">
        <v>678</v>
      </c>
      <c r="L195" s="698"/>
      <c r="N195" s="3"/>
      <c r="P195" s="659"/>
      <c r="Q195" s="730"/>
      <c r="R195" s="693"/>
      <c r="X195" s="727"/>
      <c r="Y195" s="726"/>
    </row>
    <row r="196" spans="1:27" s="632" customFormat="1" ht="45" x14ac:dyDescent="0.25">
      <c r="A196" s="358"/>
      <c r="B196" s="359"/>
      <c r="C196" s="360"/>
      <c r="D196" s="211"/>
      <c r="E196" s="210"/>
      <c r="F196" s="224"/>
      <c r="G196" s="289"/>
      <c r="H196" s="880"/>
      <c r="I196" s="637"/>
      <c r="J196" s="881">
        <v>556</v>
      </c>
      <c r="K196" s="716" t="s">
        <v>680</v>
      </c>
      <c r="L196" s="698"/>
      <c r="N196" s="3"/>
      <c r="P196" s="659"/>
      <c r="Q196" s="730"/>
      <c r="R196" s="693"/>
      <c r="X196" s="727"/>
      <c r="Y196" s="726"/>
    </row>
    <row r="197" spans="1:27" s="632" customFormat="1" ht="45" x14ac:dyDescent="0.25">
      <c r="A197" s="358"/>
      <c r="B197" s="359"/>
      <c r="C197" s="360"/>
      <c r="D197" s="211"/>
      <c r="E197" s="210"/>
      <c r="F197" s="224"/>
      <c r="G197" s="289"/>
      <c r="H197" s="880"/>
      <c r="I197" s="637"/>
      <c r="J197" s="881">
        <v>557</v>
      </c>
      <c r="K197" s="716" t="s">
        <v>682</v>
      </c>
      <c r="L197" s="698"/>
      <c r="N197" s="3"/>
      <c r="P197" s="659"/>
      <c r="Q197" s="730"/>
      <c r="R197" s="693"/>
      <c r="X197" s="727"/>
      <c r="Y197" s="726"/>
    </row>
    <row r="198" spans="1:27" s="632" customFormat="1" ht="45" x14ac:dyDescent="0.25">
      <c r="A198" s="358"/>
      <c r="B198" s="359"/>
      <c r="C198" s="360"/>
      <c r="D198" s="211"/>
      <c r="E198" s="210"/>
      <c r="F198" s="224"/>
      <c r="G198" s="289"/>
      <c r="H198" s="880"/>
      <c r="I198" s="637"/>
      <c r="J198" s="881">
        <v>606</v>
      </c>
      <c r="K198" s="716" t="s">
        <v>1215</v>
      </c>
      <c r="L198" s="698"/>
      <c r="N198" s="3"/>
      <c r="P198" s="659"/>
      <c r="Q198" s="730"/>
      <c r="R198" s="693"/>
      <c r="X198" s="727"/>
      <c r="Y198" s="726"/>
    </row>
    <row r="199" spans="1:27" s="632" customFormat="1" ht="39.75" customHeight="1" x14ac:dyDescent="0.25">
      <c r="A199" s="358"/>
      <c r="B199" s="359"/>
      <c r="C199" s="360"/>
      <c r="D199" s="211"/>
      <c r="E199" s="210"/>
      <c r="F199" s="224"/>
      <c r="G199" s="289"/>
      <c r="H199" s="880"/>
      <c r="I199" s="637"/>
      <c r="J199" s="900">
        <v>662</v>
      </c>
      <c r="K199" s="897" t="s">
        <v>1216</v>
      </c>
      <c r="L199" s="943"/>
      <c r="N199" s="3"/>
      <c r="P199" s="659"/>
      <c r="Q199" s="730"/>
      <c r="R199" s="693"/>
      <c r="X199" s="727"/>
      <c r="Y199" s="726"/>
    </row>
    <row r="200" spans="1:27" s="632" customFormat="1" ht="39" customHeight="1" x14ac:dyDescent="0.25">
      <c r="A200" s="358"/>
      <c r="B200" s="359"/>
      <c r="C200" s="360"/>
      <c r="D200" s="211"/>
      <c r="E200" s="210"/>
      <c r="F200" s="224"/>
      <c r="G200" s="289"/>
      <c r="H200" s="880"/>
      <c r="I200" s="637"/>
      <c r="J200" s="900">
        <v>663</v>
      </c>
      <c r="K200" s="901" t="s">
        <v>1217</v>
      </c>
      <c r="L200" s="943"/>
      <c r="N200" s="3"/>
      <c r="P200" s="659"/>
      <c r="Q200" s="730"/>
      <c r="R200" s="693"/>
      <c r="X200" s="727"/>
      <c r="Y200" s="726"/>
    </row>
    <row r="201" spans="1:27" s="628" customFormat="1" ht="22.5" customHeight="1" x14ac:dyDescent="0.25">
      <c r="A201" s="358"/>
      <c r="B201" s="359"/>
      <c r="C201" s="360"/>
      <c r="D201" s="621"/>
      <c r="E201" s="622"/>
      <c r="F201" s="263"/>
      <c r="G201" s="623"/>
      <c r="H201" s="624"/>
      <c r="I201" s="637"/>
      <c r="J201" s="625"/>
      <c r="K201" s="626"/>
      <c r="L201" s="627"/>
      <c r="N201" s="629"/>
      <c r="P201" s="630"/>
      <c r="Q201" s="631"/>
      <c r="R201" s="693"/>
      <c r="W201" s="632" t="b">
        <f t="shared" si="15"/>
        <v>1</v>
      </c>
      <c r="X201" s="726">
        <f t="shared" si="16"/>
        <v>0</v>
      </c>
      <c r="Y201" s="726">
        <f t="shared" si="17"/>
        <v>0</v>
      </c>
    </row>
    <row r="202" spans="1:27" s="393" customFormat="1" ht="99" customHeight="1" x14ac:dyDescent="0.25">
      <c r="A202" s="428">
        <f>'Unit Data from Audit Worksheet'!A245</f>
        <v>947</v>
      </c>
      <c r="B202" s="596"/>
      <c r="C202" s="427" t="str">
        <f>'Unit Data from Audit Worksheet'!D245</f>
        <v>First name of finance officer or interim finance officer (please enter “vacant” for first name if the position is currently vacant)</v>
      </c>
      <c r="D202" s="733"/>
      <c r="E202" s="948">
        <f>'Unit Data from Audit Worksheet'!F245</f>
        <v>0</v>
      </c>
      <c r="F202" s="426" t="str">
        <f>'Unit Data from Audit Worksheet'!G245</f>
        <v>Please do not leave blank</v>
      </c>
      <c r="G202" s="430"/>
      <c r="H202" s="424"/>
      <c r="I202" s="637"/>
      <c r="J202" s="914">
        <v>947</v>
      </c>
      <c r="K202" s="916" t="s">
        <v>955</v>
      </c>
      <c r="L202" s="940">
        <f t="shared" si="18"/>
        <v>0</v>
      </c>
      <c r="P202" s="409"/>
      <c r="Q202" s="731">
        <f t="shared" ref="Q202:Q209" si="20">IF(L202=0,1,0)</f>
        <v>1</v>
      </c>
      <c r="R202" s="693"/>
      <c r="W202" s="632" t="b">
        <f t="shared" ref="W202:W215" si="21">EXACT(A202,J202)</f>
        <v>1</v>
      </c>
      <c r="X202" s="726">
        <f t="shared" ref="X202:X215" si="22">E202-L202</f>
        <v>0</v>
      </c>
      <c r="Y202" s="726">
        <f t="shared" ref="Y202:Y215" si="23">D202-L202</f>
        <v>0</v>
      </c>
      <c r="AA202" s="411"/>
    </row>
    <row r="203" spans="1:27" s="226" customFormat="1" ht="128.25" customHeight="1" x14ac:dyDescent="0.25">
      <c r="A203" s="428">
        <f>'Unit Data from Audit Worksheet'!A246</f>
        <v>948</v>
      </c>
      <c r="B203" s="596"/>
      <c r="C203" s="427" t="str">
        <f>'Unit Data from Audit Worksheet'!D246</f>
        <v>Last name of finance officer or interim finance officer (please enter “vacant” for last name if the position is currently vacant)</v>
      </c>
      <c r="D203" s="733"/>
      <c r="E203" s="948">
        <f>'Unit Data from Audit Worksheet'!F246</f>
        <v>0</v>
      </c>
      <c r="F203" s="640" t="str">
        <f>'Unit Data from Audit Worksheet'!G246</f>
        <v>Please do not leave blank</v>
      </c>
      <c r="G203" s="430"/>
      <c r="H203" s="424"/>
      <c r="I203" s="637"/>
      <c r="J203" s="914">
        <v>948</v>
      </c>
      <c r="K203" s="916" t="s">
        <v>957</v>
      </c>
      <c r="L203" s="940">
        <f t="shared" si="18"/>
        <v>0</v>
      </c>
      <c r="N203" s="3"/>
      <c r="P203" s="409"/>
      <c r="Q203" s="731">
        <f t="shared" si="20"/>
        <v>1</v>
      </c>
      <c r="R203" s="693"/>
      <c r="W203" s="632" t="b">
        <f t="shared" si="21"/>
        <v>1</v>
      </c>
      <c r="X203" s="726">
        <f t="shared" si="22"/>
        <v>0</v>
      </c>
      <c r="Y203" s="726">
        <f t="shared" si="23"/>
        <v>0</v>
      </c>
      <c r="AA203" s="411"/>
    </row>
    <row r="204" spans="1:27" s="503" customFormat="1" ht="61.5" customHeight="1" x14ac:dyDescent="0.25">
      <c r="A204" s="428">
        <f>'Unit Data from Audit Worksheet'!A247</f>
        <v>949</v>
      </c>
      <c r="B204" s="596"/>
      <c r="C204" s="427" t="str">
        <f>'Unit Data from Audit Worksheet'!D247</f>
        <v>Is the finance officer serving in a permanent role or an interim role? (select permanent/interim/vacant)</v>
      </c>
      <c r="D204" s="733"/>
      <c r="E204" s="948">
        <f>'Unit Data from Audit Worksheet'!F247</f>
        <v>0</v>
      </c>
      <c r="F204" s="640" t="str">
        <f>'Unit Data from Audit Worksheet'!G247</f>
        <v>Please do not leave blank</v>
      </c>
      <c r="G204" s="430"/>
      <c r="H204" s="424"/>
      <c r="I204" s="637"/>
      <c r="J204" s="914">
        <v>949</v>
      </c>
      <c r="K204" s="916" t="s">
        <v>1099</v>
      </c>
      <c r="L204" s="940">
        <f t="shared" si="18"/>
        <v>0</v>
      </c>
      <c r="N204" s="3"/>
      <c r="P204" s="409"/>
      <c r="Q204" s="731">
        <f t="shared" si="20"/>
        <v>1</v>
      </c>
      <c r="R204" s="693"/>
      <c r="W204" s="632" t="b">
        <f t="shared" si="21"/>
        <v>1</v>
      </c>
      <c r="X204" s="726">
        <f t="shared" si="22"/>
        <v>0</v>
      </c>
      <c r="Y204" s="726">
        <f t="shared" si="23"/>
        <v>0</v>
      </c>
    </row>
    <row r="205" spans="1:27" s="503" customFormat="1" ht="93.75" customHeight="1" x14ac:dyDescent="0.25">
      <c r="A205" s="428">
        <f>'Unit Data from Audit Worksheet'!A248</f>
        <v>950</v>
      </c>
      <c r="B205" s="596"/>
      <c r="C205" s="427" t="str">
        <f>'Unit Data from Audit Worksheet'!D248</f>
        <v>Has the finance officer been formally appointed by the local government, public authority, or designated official?  (Y/N)</v>
      </c>
      <c r="D205" s="733"/>
      <c r="E205" s="948">
        <f>'Unit Data from Audit Worksheet'!F248</f>
        <v>0</v>
      </c>
      <c r="F205" s="640" t="str">
        <f>'Unit Data from Audit Worksheet'!G248</f>
        <v>Please do not leave blank</v>
      </c>
      <c r="G205" s="430"/>
      <c r="H205" s="424"/>
      <c r="I205" s="637"/>
      <c r="J205" s="914">
        <v>950</v>
      </c>
      <c r="K205" s="916" t="s">
        <v>1100</v>
      </c>
      <c r="L205" s="940">
        <f t="shared" si="18"/>
        <v>0</v>
      </c>
      <c r="N205" s="3"/>
      <c r="P205" s="409"/>
      <c r="Q205" s="731">
        <f t="shared" si="20"/>
        <v>1</v>
      </c>
      <c r="R205" s="693"/>
      <c r="W205" s="632" t="b">
        <f t="shared" si="21"/>
        <v>1</v>
      </c>
      <c r="X205" s="726">
        <f t="shared" si="22"/>
        <v>0</v>
      </c>
      <c r="Y205" s="726">
        <f t="shared" si="23"/>
        <v>0</v>
      </c>
    </row>
    <row r="206" spans="1:27" s="503" customFormat="1" ht="153.75" customHeight="1" x14ac:dyDescent="0.25">
      <c r="A206" s="428">
        <f>'Unit Data from Audit Worksheet'!A249</f>
        <v>952</v>
      </c>
      <c r="B206" s="596"/>
      <c r="C206" s="427" t="str">
        <f>'Unit Data from Audit Worksheet'!D249</f>
        <v>Date on which the local government, public authority, or designated official appointed the finance officer? (If the date of appointment by the board is difficult to find you may enter January 1 and the year)      Date Format  MM/DD/YYYY</v>
      </c>
      <c r="D206" s="733"/>
      <c r="E206" s="612">
        <f>'Unit Data from Audit Worksheet'!F249</f>
        <v>0</v>
      </c>
      <c r="F206" s="640" t="str">
        <f>'Unit Data from Audit Worksheet'!G249</f>
        <v>Please do not leave blank</v>
      </c>
      <c r="G206" s="430"/>
      <c r="H206" s="424"/>
      <c r="I206" s="637"/>
      <c r="J206" s="914">
        <v>952</v>
      </c>
      <c r="K206" s="916" t="s">
        <v>1101</v>
      </c>
      <c r="L206" s="946">
        <f t="shared" si="18"/>
        <v>0</v>
      </c>
      <c r="N206" s="3"/>
      <c r="P206" s="409"/>
      <c r="Q206" s="731">
        <f t="shared" si="20"/>
        <v>1</v>
      </c>
      <c r="R206" s="693"/>
      <c r="W206" s="632" t="b">
        <f t="shared" si="21"/>
        <v>1</v>
      </c>
      <c r="X206" s="726">
        <f t="shared" si="22"/>
        <v>0</v>
      </c>
      <c r="Y206" s="726">
        <f t="shared" si="23"/>
        <v>0</v>
      </c>
    </row>
    <row r="207" spans="1:27" s="503" customFormat="1" ht="153.75" customHeight="1" x14ac:dyDescent="0.25">
      <c r="A207" s="428">
        <f>'Unit Data from Audit Worksheet'!A250</f>
        <v>954</v>
      </c>
      <c r="B207" s="596"/>
      <c r="C207" s="427" t="str">
        <f>'Unit Data from Audit Worksheet'!D250</f>
        <v>Has the finance officer or interim finance officer read, understand, and is in compliance with the requirements of N.C.G.S. 159, as applicable based on unit type and circumstances? (Y/N)</v>
      </c>
      <c r="D207" s="733"/>
      <c r="E207" s="948">
        <f>'Unit Data from Audit Worksheet'!F250</f>
        <v>0</v>
      </c>
      <c r="F207" s="640" t="str">
        <f>'Unit Data from Audit Worksheet'!G250</f>
        <v>Please do not leave blank</v>
      </c>
      <c r="G207" s="430"/>
      <c r="H207" s="424"/>
      <c r="I207" s="637"/>
      <c r="J207" s="914">
        <v>954</v>
      </c>
      <c r="K207" s="916" t="s">
        <v>1102</v>
      </c>
      <c r="L207" s="940">
        <f t="shared" si="18"/>
        <v>0</v>
      </c>
      <c r="N207" s="3"/>
      <c r="P207" s="409"/>
      <c r="Q207" s="731">
        <f t="shared" si="20"/>
        <v>1</v>
      </c>
      <c r="R207" s="693"/>
      <c r="W207" s="632" t="b">
        <f t="shared" si="21"/>
        <v>1</v>
      </c>
      <c r="X207" s="726">
        <f t="shared" si="22"/>
        <v>0</v>
      </c>
      <c r="Y207" s="726">
        <f t="shared" si="23"/>
        <v>0</v>
      </c>
    </row>
    <row r="208" spans="1:27" s="503" customFormat="1" ht="153.75" customHeight="1" x14ac:dyDescent="0.25">
      <c r="A208" s="428">
        <f>'Unit Data from Audit Worksheet'!A251</f>
        <v>956</v>
      </c>
      <c r="B208" s="596"/>
      <c r="C208" s="427" t="str">
        <f>'Unit Data from Audit Worksheet'!D251</f>
        <v>Does the finance officer or interim finance officer maintain and update (or ensures the maintenance and update of)  financial records monthly, including reconciliation of bank accounts to the general ledger? (Y/N)</v>
      </c>
      <c r="D208" s="733"/>
      <c r="E208" s="948">
        <f>'Unit Data from Audit Worksheet'!F251</f>
        <v>0</v>
      </c>
      <c r="F208" s="640" t="str">
        <f>'Unit Data from Audit Worksheet'!G251</f>
        <v>Please do not leave blank</v>
      </c>
      <c r="G208" s="430"/>
      <c r="H208" s="424"/>
      <c r="I208" s="637"/>
      <c r="J208" s="914">
        <v>956</v>
      </c>
      <c r="K208" s="916" t="s">
        <v>1103</v>
      </c>
      <c r="L208" s="940">
        <f t="shared" si="18"/>
        <v>0</v>
      </c>
      <c r="N208" s="3"/>
      <c r="P208" s="409"/>
      <c r="Q208" s="731">
        <f t="shared" si="20"/>
        <v>1</v>
      </c>
      <c r="R208" s="693"/>
      <c r="W208" s="632" t="b">
        <f t="shared" si="21"/>
        <v>1</v>
      </c>
      <c r="X208" s="726">
        <f t="shared" si="22"/>
        <v>0</v>
      </c>
      <c r="Y208" s="726">
        <f t="shared" si="23"/>
        <v>0</v>
      </c>
    </row>
    <row r="209" spans="1:27" s="503" customFormat="1" ht="240" x14ac:dyDescent="0.25">
      <c r="A209" s="428">
        <f>'Unit Data from Audit Worksheet'!A252</f>
        <v>958</v>
      </c>
      <c r="B209" s="596"/>
      <c r="C209" s="427" t="str">
        <f>'Unit Data from Audit Worksheet'!D252</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209" s="733"/>
      <c r="E209" s="948">
        <f>'Unit Data from Audit Worksheet'!F252</f>
        <v>0</v>
      </c>
      <c r="F209" s="640" t="str">
        <f>'Unit Data from Audit Worksheet'!G252</f>
        <v>Please do not leave blank</v>
      </c>
      <c r="G209" s="430"/>
      <c r="H209" s="424"/>
      <c r="I209" s="637"/>
      <c r="J209" s="914">
        <v>958</v>
      </c>
      <c r="K209" s="916" t="s">
        <v>1104</v>
      </c>
      <c r="L209" s="941">
        <f t="shared" si="18"/>
        <v>0</v>
      </c>
      <c r="N209" s="3"/>
      <c r="P209" s="409"/>
      <c r="Q209" s="731">
        <f t="shared" si="20"/>
        <v>1</v>
      </c>
      <c r="R209" s="693"/>
      <c r="W209" s="632" t="b">
        <f t="shared" si="21"/>
        <v>1</v>
      </c>
      <c r="X209" s="726">
        <f t="shared" si="22"/>
        <v>0</v>
      </c>
      <c r="Y209" s="726">
        <f t="shared" si="23"/>
        <v>0</v>
      </c>
    </row>
    <row r="210" spans="1:27" s="632" customFormat="1" ht="30.75" customHeight="1" x14ac:dyDescent="0.25">
      <c r="A210" s="933">
        <f>'Unit Data from Audit Worksheet'!A260</f>
        <v>960</v>
      </c>
      <c r="B210" s="934"/>
      <c r="C210" s="935" t="str">
        <f>'Unit Data from Audit Worksheet'!B260</f>
        <v>Name of Finance Officer</v>
      </c>
      <c r="D210" s="733"/>
      <c r="E210" s="949">
        <f>'Unit Data from Audit Worksheet'!D260</f>
        <v>0</v>
      </c>
      <c r="F210" s="937" t="str">
        <f>'Unit Data from Audit Worksheet'!G260</f>
        <v>Cell D260 must be completed.</v>
      </c>
      <c r="G210" s="645"/>
      <c r="H210" s="639"/>
      <c r="I210" s="637"/>
      <c r="J210" s="938">
        <v>960</v>
      </c>
      <c r="K210" s="939" t="s">
        <v>1095</v>
      </c>
      <c r="L210" s="942">
        <f t="shared" si="18"/>
        <v>0</v>
      </c>
      <c r="N210" s="3"/>
      <c r="P210" s="659"/>
      <c r="Q210" s="731">
        <f>IF(L210=0,1,0)</f>
        <v>1</v>
      </c>
      <c r="R210" s="693"/>
      <c r="X210" s="726"/>
      <c r="Y210" s="726"/>
    </row>
    <row r="211" spans="1:27" s="632" customFormat="1" ht="30.75" customHeight="1" x14ac:dyDescent="0.25">
      <c r="A211" s="933">
        <f>'Unit Data from Audit Worksheet'!A261</f>
        <v>962</v>
      </c>
      <c r="B211" s="934"/>
      <c r="C211" s="935" t="str">
        <f>'Unit Data from Audit Worksheet'!B261</f>
        <v>Title of Official</v>
      </c>
      <c r="D211" s="733"/>
      <c r="E211" s="949">
        <f>'Unit Data from Audit Worksheet'!D261</f>
        <v>0</v>
      </c>
      <c r="F211" s="937" t="str">
        <f>'Unit Data from Audit Worksheet'!G261</f>
        <v>Cell D261 must be completed.</v>
      </c>
      <c r="G211" s="645"/>
      <c r="H211" s="639"/>
      <c r="I211" s="637"/>
      <c r="J211" s="938">
        <v>962</v>
      </c>
      <c r="K211" s="939" t="s">
        <v>931</v>
      </c>
      <c r="L211" s="942">
        <f t="shared" si="18"/>
        <v>0</v>
      </c>
      <c r="N211" s="3"/>
      <c r="P211" s="659"/>
      <c r="Q211" s="731">
        <f t="shared" ref="Q211:Q214" si="24">IF(L211=0,1,0)</f>
        <v>1</v>
      </c>
      <c r="R211" s="693"/>
      <c r="X211" s="726"/>
      <c r="Y211" s="726"/>
    </row>
    <row r="212" spans="1:27" s="632" customFormat="1" ht="30.75" customHeight="1" x14ac:dyDescent="0.25">
      <c r="A212" s="933">
        <f>'Unit Data from Audit Worksheet'!A262</f>
        <v>964</v>
      </c>
      <c r="B212" s="934"/>
      <c r="C212" s="936" t="str">
        <f>'Unit Data from Audit Worksheet'!B262</f>
        <v>Date                        (Enter as "MM/DD/YYYY")</v>
      </c>
      <c r="D212" s="733"/>
      <c r="E212" s="944">
        <f>'Unit Data from Audit Worksheet'!D262</f>
        <v>0</v>
      </c>
      <c r="F212" s="937" t="str">
        <f>'Unit Data from Audit Worksheet'!G262</f>
        <v>Cell D262 must be completed.</v>
      </c>
      <c r="G212" s="645"/>
      <c r="H212" s="639"/>
      <c r="I212" s="637"/>
      <c r="J212" s="938">
        <v>964</v>
      </c>
      <c r="K212" s="939" t="s">
        <v>1244</v>
      </c>
      <c r="L212" s="945">
        <f t="shared" si="18"/>
        <v>0</v>
      </c>
      <c r="N212" s="3"/>
      <c r="P212" s="659"/>
      <c r="Q212" s="731">
        <f t="shared" si="24"/>
        <v>1</v>
      </c>
      <c r="R212" s="693"/>
      <c r="X212" s="726"/>
      <c r="Y212" s="726"/>
    </row>
    <row r="213" spans="1:27" s="632" customFormat="1" ht="30.75" customHeight="1" x14ac:dyDescent="0.25">
      <c r="A213" s="933">
        <f>'Unit Data from Audit Worksheet'!A263</f>
        <v>966</v>
      </c>
      <c r="B213" s="934"/>
      <c r="C213" s="935" t="str">
        <f>'Unit Data from Audit Worksheet'!B263</f>
        <v>Telephone number</v>
      </c>
      <c r="D213" s="733"/>
      <c r="E213" s="949">
        <f>'Unit Data from Audit Worksheet'!D263</f>
        <v>0</v>
      </c>
      <c r="F213" s="937" t="str">
        <f>'Unit Data from Audit Worksheet'!G263</f>
        <v>Cell D263 must be completed.</v>
      </c>
      <c r="G213" s="645"/>
      <c r="H213" s="639"/>
      <c r="I213" s="637"/>
      <c r="J213" s="938">
        <v>966</v>
      </c>
      <c r="K213" s="939" t="s">
        <v>933</v>
      </c>
      <c r="L213" s="942">
        <f t="shared" si="18"/>
        <v>0</v>
      </c>
      <c r="N213" s="3"/>
      <c r="P213" s="659"/>
      <c r="Q213" s="731">
        <f t="shared" si="24"/>
        <v>1</v>
      </c>
      <c r="R213" s="693"/>
      <c r="X213" s="726"/>
      <c r="Y213" s="726"/>
    </row>
    <row r="214" spans="1:27" s="632" customFormat="1" ht="30.75" customHeight="1" x14ac:dyDescent="0.25">
      <c r="A214" s="933">
        <f>'Unit Data from Audit Worksheet'!A264</f>
        <v>968</v>
      </c>
      <c r="B214" s="934"/>
      <c r="C214" s="935" t="str">
        <f>'Unit Data from Audit Worksheet'!B264</f>
        <v>E-mail address</v>
      </c>
      <c r="D214" s="733"/>
      <c r="E214" s="949">
        <f>'Unit Data from Audit Worksheet'!D264</f>
        <v>0</v>
      </c>
      <c r="F214" s="937" t="str">
        <f>'Unit Data from Audit Worksheet'!G264</f>
        <v>Cell D264 must be completed.</v>
      </c>
      <c r="G214" s="645"/>
      <c r="H214" s="639"/>
      <c r="I214" s="637"/>
      <c r="J214" s="938">
        <v>968</v>
      </c>
      <c r="K214" s="939" t="s">
        <v>934</v>
      </c>
      <c r="L214" s="942">
        <f t="shared" si="18"/>
        <v>0</v>
      </c>
      <c r="N214" s="3"/>
      <c r="P214" s="659"/>
      <c r="Q214" s="731">
        <f t="shared" si="24"/>
        <v>1</v>
      </c>
      <c r="R214" s="693"/>
      <c r="X214" s="726"/>
      <c r="Y214" s="726"/>
    </row>
    <row r="215" spans="1:27" s="503" customFormat="1" ht="30" customHeight="1" x14ac:dyDescent="0.25">
      <c r="A215" s="358"/>
      <c r="B215" s="359"/>
      <c r="C215" s="360"/>
      <c r="D215" s="211"/>
      <c r="E215" s="210"/>
      <c r="F215" s="224"/>
      <c r="G215" s="289"/>
      <c r="H215" s="207"/>
      <c r="I215" s="637"/>
      <c r="J215" s="914">
        <v>999</v>
      </c>
      <c r="K215" s="916" t="s">
        <v>360</v>
      </c>
      <c r="L215" s="915" t="e">
        <f>'Unit Data from Audit Worksheet'!D3</f>
        <v>#N/A</v>
      </c>
      <c r="N215" s="3" t="s">
        <v>1245</v>
      </c>
      <c r="P215" s="409"/>
      <c r="Q215" s="730"/>
      <c r="R215" s="693"/>
      <c r="W215" s="632" t="b">
        <f t="shared" si="21"/>
        <v>0</v>
      </c>
      <c r="X215" s="726" t="e">
        <f t="shared" si="22"/>
        <v>#N/A</v>
      </c>
      <c r="Y215" s="726" t="e">
        <f t="shared" si="23"/>
        <v>#N/A</v>
      </c>
    </row>
    <row r="216" spans="1:27" x14ac:dyDescent="0.25">
      <c r="A216"/>
      <c r="B216"/>
      <c r="C216"/>
      <c r="D216"/>
      <c r="E216"/>
      <c r="F216"/>
      <c r="G216"/>
      <c r="H216"/>
      <c r="I216"/>
      <c r="J216" s="1"/>
      <c r="K216" s="1"/>
      <c r="L216" s="1"/>
      <c r="N216" s="379"/>
      <c r="P216" s="409"/>
      <c r="R216" s="320"/>
      <c r="W216" s="320"/>
      <c r="X216" s="226"/>
      <c r="AA216" s="411"/>
    </row>
    <row r="217" spans="1:27" x14ac:dyDescent="0.25">
      <c r="D217" s="30"/>
      <c r="E217" s="26"/>
      <c r="F217" s="26"/>
      <c r="G217" s="290"/>
      <c r="H217" s="26"/>
      <c r="I217" s="662"/>
      <c r="K217" s="44"/>
      <c r="L217" s="425"/>
      <c r="N217" s="379"/>
      <c r="P217" s="409"/>
      <c r="R217" s="320"/>
      <c r="W217" s="320"/>
      <c r="AA217" s="411"/>
    </row>
    <row r="218" spans="1:27" ht="18.75" x14ac:dyDescent="0.3">
      <c r="A218" s="769" t="s">
        <v>828</v>
      </c>
      <c r="B218" s="770"/>
      <c r="C218" s="771"/>
      <c r="D218" s="772"/>
      <c r="E218" s="773"/>
      <c r="F218" s="26"/>
      <c r="G218" s="290"/>
      <c r="H218" s="26"/>
      <c r="I218" s="662"/>
      <c r="L218" s="425"/>
      <c r="N218" s="379"/>
      <c r="P218" s="409"/>
      <c r="R218" s="320"/>
      <c r="W218" s="320"/>
      <c r="AA218" s="411"/>
    </row>
    <row r="219" spans="1:27" ht="117" customHeight="1" x14ac:dyDescent="0.55000000000000004">
      <c r="A219" s="227">
        <f>'Unit Data from Audit Worksheet'!A71</f>
        <v>590</v>
      </c>
      <c r="B219" s="227" t="str">
        <f>'Unit Data from Audit Worksheet'!B71</f>
        <v>Fiscal Review</v>
      </c>
      <c r="C219" s="307" t="str">
        <f>'Unit Data from Audit Worksheet'!D71</f>
        <v>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v>
      </c>
      <c r="D219" s="306"/>
      <c r="E219" s="396">
        <f>'Unit Data from Audit Worksheet'!F71</f>
        <v>0</v>
      </c>
      <c r="F219" s="306">
        <f>'Unit Data from Audit Worksheet'!G71</f>
        <v>0</v>
      </c>
      <c r="G219" s="290"/>
      <c r="H219" s="26"/>
      <c r="I219" s="662"/>
      <c r="J219" s="729" t="e">
        <f>SUM(Q5:Q219)</f>
        <v>#N/A</v>
      </c>
      <c r="K219" s="728" t="s">
        <v>1092</v>
      </c>
      <c r="L219" s="425" t="e">
        <f>SUM(G5:G190)</f>
        <v>#N/A</v>
      </c>
      <c r="N219" s="379"/>
      <c r="P219" s="409"/>
      <c r="R219" s="320"/>
      <c r="W219" s="320"/>
      <c r="AA219" s="411"/>
    </row>
    <row r="220" spans="1:27" ht="14.25" customHeight="1" x14ac:dyDescent="0.25">
      <c r="A220"/>
      <c r="B220"/>
      <c r="C220"/>
      <c r="D220"/>
      <c r="E220"/>
      <c r="F220" s="26"/>
      <c r="G220" s="290"/>
      <c r="H220" s="26"/>
      <c r="I220" s="662"/>
      <c r="K220" s="44"/>
      <c r="L220" s="264"/>
      <c r="P220" s="409"/>
      <c r="Q220" s="318"/>
      <c r="R220" s="320"/>
      <c r="W220" s="320"/>
      <c r="AA220" s="411"/>
    </row>
    <row r="221" spans="1:27" x14ac:dyDescent="0.25">
      <c r="A221"/>
      <c r="B221"/>
      <c r="C221"/>
      <c r="D221"/>
      <c r="E221"/>
      <c r="F221" s="26"/>
      <c r="G221" s="290"/>
      <c r="H221" s="26"/>
      <c r="I221" s="662"/>
      <c r="K221" s="44"/>
      <c r="L221" s="264"/>
      <c r="P221" s="409"/>
      <c r="R221" s="320"/>
      <c r="AA221" s="411"/>
    </row>
    <row r="222" spans="1:27" ht="18.75" customHeight="1" x14ac:dyDescent="0.25">
      <c r="A222"/>
      <c r="B222"/>
      <c r="C222"/>
      <c r="D222"/>
      <c r="E222"/>
      <c r="F222" s="26"/>
      <c r="G222" s="290"/>
      <c r="H222" s="26"/>
      <c r="I222" s="662"/>
      <c r="K222" s="44"/>
      <c r="L222" s="264"/>
      <c r="P222" s="409"/>
      <c r="R222" s="320"/>
      <c r="AA222" s="411"/>
    </row>
    <row r="223" spans="1:27" ht="30.75" customHeight="1" x14ac:dyDescent="0.25">
      <c r="A223"/>
      <c r="B223"/>
      <c r="C223"/>
      <c r="D223"/>
      <c r="E223"/>
      <c r="F223" s="26"/>
      <c r="G223" s="290"/>
      <c r="H223" s="26"/>
      <c r="I223" s="662"/>
      <c r="K223" s="44"/>
      <c r="L223" s="264"/>
      <c r="AA223" s="411"/>
    </row>
    <row r="224" spans="1:27" ht="30.75" customHeight="1" x14ac:dyDescent="0.25">
      <c r="A224"/>
      <c r="B224"/>
      <c r="C224"/>
      <c r="D224"/>
      <c r="E224"/>
      <c r="F224" s="26"/>
      <c r="G224" s="290"/>
      <c r="H224" s="26"/>
      <c r="I224" s="662"/>
      <c r="K224" s="44"/>
      <c r="L224" s="264"/>
      <c r="AA224" s="411"/>
    </row>
    <row r="225" spans="1:27" ht="30.75" customHeight="1" x14ac:dyDescent="0.25">
      <c r="A225"/>
      <c r="B225"/>
      <c r="C225"/>
      <c r="D225"/>
      <c r="E225"/>
      <c r="F225" s="26"/>
      <c r="G225" s="290"/>
      <c r="H225" s="26"/>
      <c r="I225" s="662"/>
      <c r="K225" s="44"/>
      <c r="L225" s="264"/>
      <c r="AA225" s="411"/>
    </row>
    <row r="226" spans="1:27" ht="30.75" customHeight="1" x14ac:dyDescent="0.25">
      <c r="A226"/>
      <c r="B226"/>
      <c r="C226"/>
      <c r="D226"/>
      <c r="E226"/>
      <c r="F226" s="26"/>
      <c r="G226" s="290"/>
      <c r="H226" s="26"/>
      <c r="I226" s="662"/>
      <c r="K226" s="44"/>
      <c r="L226" s="264"/>
      <c r="AA226" s="411"/>
    </row>
    <row r="227" spans="1:27" ht="30.75" customHeight="1" x14ac:dyDescent="0.25">
      <c r="A227"/>
      <c r="B227"/>
      <c r="C227"/>
      <c r="D227"/>
      <c r="E227"/>
      <c r="F227" s="26"/>
      <c r="G227" s="290"/>
      <c r="H227" s="26"/>
      <c r="I227" s="662"/>
      <c r="K227" s="44"/>
      <c r="L227" s="264"/>
      <c r="AA227" s="411"/>
    </row>
    <row r="228" spans="1:27" x14ac:dyDescent="0.25">
      <c r="A228"/>
      <c r="B228"/>
      <c r="C228"/>
      <c r="D228"/>
      <c r="E228"/>
      <c r="I228" s="662"/>
      <c r="K228" s="44"/>
      <c r="L228" s="264"/>
      <c r="AA228" s="411"/>
    </row>
    <row r="229" spans="1:27" x14ac:dyDescent="0.25">
      <c r="A229"/>
      <c r="B229"/>
      <c r="C229"/>
      <c r="D229"/>
      <c r="E229"/>
      <c r="I229" s="662"/>
      <c r="L229" s="264"/>
      <c r="AA229" s="411"/>
    </row>
    <row r="230" spans="1:27" x14ac:dyDescent="0.25">
      <c r="A230" s="19"/>
      <c r="B230" s="239"/>
      <c r="C230" s="233"/>
      <c r="D230" s="31"/>
      <c r="I230" s="662"/>
      <c r="L230" s="264"/>
      <c r="AA230" s="411"/>
    </row>
    <row r="231" spans="1:27" x14ac:dyDescent="0.25">
      <c r="A231" s="19"/>
      <c r="B231" s="239"/>
      <c r="C231" s="233"/>
      <c r="D231" s="31"/>
      <c r="L231" s="264"/>
      <c r="AA231" s="411"/>
    </row>
    <row r="232" spans="1:27" x14ac:dyDescent="0.25">
      <c r="D232" s="31"/>
      <c r="AA232" s="411"/>
    </row>
    <row r="233" spans="1:27" x14ac:dyDescent="0.25">
      <c r="D233" s="31"/>
      <c r="AA233" s="411"/>
    </row>
    <row r="234" spans="1:27" x14ac:dyDescent="0.25">
      <c r="D234" s="31"/>
      <c r="AA234" s="411"/>
    </row>
    <row r="235" spans="1:27" x14ac:dyDescent="0.25">
      <c r="D235" s="31"/>
      <c r="AA235" s="411"/>
    </row>
    <row r="236" spans="1:27" x14ac:dyDescent="0.25">
      <c r="A236" s="19"/>
      <c r="B236" s="239"/>
      <c r="C236" s="233"/>
      <c r="D236" s="31"/>
      <c r="AA236" s="411"/>
    </row>
    <row r="237" spans="1:27" x14ac:dyDescent="0.25">
      <c r="A237" s="19"/>
      <c r="B237" s="239"/>
      <c r="C237" s="233"/>
      <c r="D237" s="31"/>
      <c r="AA237" s="411"/>
    </row>
    <row r="238" spans="1:27" x14ac:dyDescent="0.25">
      <c r="D238" s="31"/>
      <c r="AA238" s="411"/>
    </row>
    <row r="239" spans="1:27" x14ac:dyDescent="0.25">
      <c r="D239" s="31"/>
      <c r="AA239" s="411"/>
    </row>
    <row r="240" spans="1:27" x14ac:dyDescent="0.25">
      <c r="D240" s="31"/>
      <c r="AA240" s="411"/>
    </row>
    <row r="241" spans="1:27" x14ac:dyDescent="0.25">
      <c r="D241" s="31"/>
      <c r="AA241" s="411"/>
    </row>
    <row r="242" spans="1:27" x14ac:dyDescent="0.25">
      <c r="A242" s="19"/>
      <c r="B242" s="239"/>
      <c r="C242" s="233"/>
      <c r="D242" s="31"/>
      <c r="AA242" s="411"/>
    </row>
    <row r="243" spans="1:27" x14ac:dyDescent="0.25">
      <c r="A243" s="19"/>
      <c r="B243" s="239"/>
      <c r="C243" s="233"/>
      <c r="D243" s="31"/>
      <c r="AA243" s="411"/>
    </row>
    <row r="244" spans="1:27" x14ac:dyDescent="0.25">
      <c r="D244" s="31"/>
      <c r="AA244" s="411"/>
    </row>
    <row r="245" spans="1:27" x14ac:dyDescent="0.25">
      <c r="D245" s="31"/>
      <c r="AA245" s="411"/>
    </row>
    <row r="246" spans="1:27" x14ac:dyDescent="0.25">
      <c r="D246" s="31"/>
      <c r="AA246" s="411"/>
    </row>
    <row r="247" spans="1:27" x14ac:dyDescent="0.25">
      <c r="D247" s="31"/>
      <c r="AA247" s="411"/>
    </row>
    <row r="248" spans="1:27" x14ac:dyDescent="0.25">
      <c r="A248" s="19"/>
      <c r="B248" s="239"/>
      <c r="C248" s="233"/>
      <c r="D248" s="31"/>
      <c r="AA248" s="411"/>
    </row>
    <row r="249" spans="1:27" x14ac:dyDescent="0.25">
      <c r="A249" s="19"/>
      <c r="B249" s="239"/>
      <c r="C249" s="233"/>
      <c r="D249" s="31"/>
      <c r="AA249" s="411"/>
    </row>
    <row r="250" spans="1:27" x14ac:dyDescent="0.25">
      <c r="A250" s="19"/>
      <c r="B250" s="239"/>
      <c r="C250" s="233"/>
      <c r="D250" s="31"/>
      <c r="AA250" s="411"/>
    </row>
    <row r="251" spans="1:27" x14ac:dyDescent="0.25">
      <c r="A251" s="19"/>
      <c r="B251" s="239"/>
      <c r="C251" s="233"/>
      <c r="D251" s="31"/>
      <c r="AA251" s="411"/>
    </row>
    <row r="252" spans="1:27" x14ac:dyDescent="0.25">
      <c r="D252" s="31"/>
      <c r="AA252" s="411"/>
    </row>
    <row r="253" spans="1:27" x14ac:dyDescent="0.25">
      <c r="D253" s="31"/>
      <c r="AA253" s="411"/>
    </row>
    <row r="254" spans="1:27" x14ac:dyDescent="0.25">
      <c r="D254" s="31"/>
      <c r="AA254" s="411"/>
    </row>
    <row r="255" spans="1:27" x14ac:dyDescent="0.25">
      <c r="A255" s="19"/>
      <c r="B255" s="239"/>
      <c r="C255" s="233"/>
      <c r="D255" s="31"/>
      <c r="AA255" s="411"/>
    </row>
    <row r="256" spans="1:27" x14ac:dyDescent="0.25">
      <c r="A256" s="19"/>
      <c r="B256" s="239"/>
      <c r="C256" s="233"/>
      <c r="D256" s="31"/>
      <c r="AA256" s="411"/>
    </row>
    <row r="257" spans="1:27" x14ac:dyDescent="0.25">
      <c r="A257" s="19"/>
      <c r="B257" s="239"/>
      <c r="C257" s="233"/>
      <c r="D257" s="31"/>
      <c r="AA257" s="411"/>
    </row>
    <row r="258" spans="1:27" x14ac:dyDescent="0.25">
      <c r="A258" s="19"/>
      <c r="B258" s="239"/>
      <c r="C258" s="233"/>
      <c r="D258" s="31"/>
      <c r="AA258" s="411"/>
    </row>
    <row r="259" spans="1:27" x14ac:dyDescent="0.25">
      <c r="A259" s="19"/>
      <c r="B259" s="239"/>
      <c r="C259" s="233"/>
      <c r="D259" s="31"/>
      <c r="AA259" s="411"/>
    </row>
    <row r="260" spans="1:27" x14ac:dyDescent="0.25">
      <c r="A260" s="19"/>
      <c r="B260" s="239"/>
      <c r="C260" s="233"/>
      <c r="D260" s="31"/>
      <c r="AA260" s="411"/>
    </row>
    <row r="261" spans="1:27" x14ac:dyDescent="0.25">
      <c r="A261" s="19"/>
      <c r="B261" s="239"/>
      <c r="C261" s="233"/>
      <c r="D261" s="31"/>
      <c r="AA261" s="411"/>
    </row>
    <row r="262" spans="1:27" x14ac:dyDescent="0.25">
      <c r="A262" s="19"/>
      <c r="B262" s="239"/>
      <c r="C262" s="233"/>
      <c r="D262" s="31"/>
      <c r="AA262" s="411"/>
    </row>
    <row r="263" spans="1:27" x14ac:dyDescent="0.25">
      <c r="A263" s="19"/>
      <c r="B263" s="239"/>
      <c r="C263" s="233"/>
      <c r="D263" s="31"/>
      <c r="AA263" s="411"/>
    </row>
    <row r="264" spans="1:27" x14ac:dyDescent="0.25">
      <c r="A264" s="19"/>
      <c r="B264" s="239"/>
      <c r="C264" s="233"/>
      <c r="D264" s="31"/>
      <c r="AA264" s="411"/>
    </row>
    <row r="265" spans="1:27" x14ac:dyDescent="0.25">
      <c r="A265" s="19"/>
      <c r="B265" s="239"/>
      <c r="C265" s="233"/>
      <c r="D265" s="31"/>
      <c r="AA265" s="411"/>
    </row>
    <row r="266" spans="1:27" x14ac:dyDescent="0.25">
      <c r="A266" s="19"/>
      <c r="B266" s="239"/>
      <c r="C266" s="233"/>
      <c r="D266" s="31"/>
      <c r="AA266" s="411"/>
    </row>
    <row r="267" spans="1:27" x14ac:dyDescent="0.25">
      <c r="A267" s="19"/>
      <c r="B267" s="239"/>
      <c r="C267" s="233"/>
      <c r="D267" s="31"/>
      <c r="AA267" s="411"/>
    </row>
    <row r="268" spans="1:27" x14ac:dyDescent="0.25">
      <c r="A268" s="19"/>
      <c r="B268" s="239"/>
      <c r="C268" s="233"/>
      <c r="D268" s="31"/>
      <c r="AA268" s="411"/>
    </row>
    <row r="269" spans="1:27" x14ac:dyDescent="0.25">
      <c r="A269" s="19"/>
      <c r="B269" s="239"/>
      <c r="C269" s="233"/>
      <c r="D269" s="31"/>
      <c r="AA269" s="411"/>
    </row>
    <row r="270" spans="1:27" x14ac:dyDescent="0.25">
      <c r="A270" s="19"/>
      <c r="B270" s="239"/>
      <c r="C270" s="233"/>
      <c r="D270" s="31"/>
      <c r="AA270" s="411"/>
    </row>
    <row r="271" spans="1:27" x14ac:dyDescent="0.25">
      <c r="A271" s="19"/>
      <c r="B271" s="239"/>
      <c r="C271" s="233"/>
      <c r="D271" s="31"/>
      <c r="AA271" s="411"/>
    </row>
    <row r="272" spans="1:27" x14ac:dyDescent="0.25">
      <c r="A272" s="19"/>
      <c r="B272" s="239"/>
      <c r="C272" s="233"/>
      <c r="D272" s="31"/>
      <c r="AA272" s="411"/>
    </row>
    <row r="273" spans="1:27" x14ac:dyDescent="0.25">
      <c r="A273" s="19"/>
      <c r="B273" s="239"/>
      <c r="C273" s="233"/>
      <c r="D273" s="31"/>
      <c r="AA273" s="411"/>
    </row>
    <row r="274" spans="1:27" x14ac:dyDescent="0.25">
      <c r="A274" s="19"/>
      <c r="B274" s="239"/>
      <c r="C274" s="233"/>
      <c r="D274" s="31"/>
      <c r="AA274" s="411"/>
    </row>
    <row r="275" spans="1:27" x14ac:dyDescent="0.25">
      <c r="A275" s="19"/>
      <c r="B275" s="239"/>
      <c r="C275" s="233"/>
      <c r="D275" s="31"/>
      <c r="AA275" s="411"/>
    </row>
    <row r="276" spans="1:27" x14ac:dyDescent="0.25">
      <c r="A276" s="19"/>
      <c r="B276" s="239"/>
      <c r="C276" s="233"/>
      <c r="D276" s="31"/>
      <c r="AA276" s="411"/>
    </row>
    <row r="277" spans="1:27" x14ac:dyDescent="0.25">
      <c r="A277" s="19"/>
      <c r="B277" s="239"/>
      <c r="C277" s="233"/>
      <c r="D277" s="31"/>
      <c r="AA277" s="411"/>
    </row>
    <row r="278" spans="1:27" x14ac:dyDescent="0.25">
      <c r="A278" s="19"/>
      <c r="B278" s="239"/>
      <c r="C278" s="233"/>
      <c r="D278" s="31"/>
      <c r="AA278" s="411"/>
    </row>
    <row r="279" spans="1:27" x14ac:dyDescent="0.25">
      <c r="A279" s="19"/>
      <c r="B279" s="239"/>
      <c r="C279" s="233"/>
      <c r="D279" s="31"/>
      <c r="AA279" s="411"/>
    </row>
    <row r="280" spans="1:27" x14ac:dyDescent="0.25">
      <c r="A280" s="19"/>
      <c r="B280" s="239"/>
      <c r="C280" s="233"/>
      <c r="D280" s="31"/>
      <c r="AA280" s="411"/>
    </row>
    <row r="281" spans="1:27" x14ac:dyDescent="0.25">
      <c r="A281" s="19"/>
      <c r="B281" s="239"/>
      <c r="C281" s="233"/>
      <c r="D281" s="31"/>
      <c r="AA281" s="411"/>
    </row>
    <row r="282" spans="1:27" x14ac:dyDescent="0.25">
      <c r="A282" s="19"/>
      <c r="B282" s="239"/>
      <c r="C282" s="233"/>
      <c r="D282" s="31"/>
      <c r="AA282" s="411"/>
    </row>
    <row r="283" spans="1:27" x14ac:dyDescent="0.25">
      <c r="A283" s="19"/>
      <c r="B283" s="239"/>
      <c r="C283" s="233"/>
      <c r="D283" s="31"/>
      <c r="AA283" s="411"/>
    </row>
    <row r="284" spans="1:27" x14ac:dyDescent="0.25">
      <c r="A284" s="19"/>
      <c r="B284" s="239"/>
      <c r="C284" s="233"/>
      <c r="D284" s="31"/>
      <c r="AA284" s="411"/>
    </row>
    <row r="285" spans="1:27" x14ac:dyDescent="0.25">
      <c r="A285" s="19"/>
      <c r="B285" s="239"/>
      <c r="C285" s="233"/>
      <c r="D285" s="31"/>
      <c r="AA285" s="411"/>
    </row>
    <row r="286" spans="1:27" x14ac:dyDescent="0.25">
      <c r="A286" s="19"/>
      <c r="B286" s="239"/>
      <c r="C286" s="233"/>
      <c r="D286" s="31"/>
      <c r="AA286" s="411"/>
    </row>
    <row r="287" spans="1:27" x14ac:dyDescent="0.25">
      <c r="A287" s="19"/>
      <c r="B287" s="239"/>
      <c r="C287" s="233"/>
      <c r="D287" s="31"/>
      <c r="AA287" s="411"/>
    </row>
    <row r="288" spans="1:27" x14ac:dyDescent="0.25">
      <c r="A288" s="19"/>
      <c r="B288" s="239"/>
      <c r="C288" s="233"/>
      <c r="D288" s="31"/>
      <c r="AA288" s="411"/>
    </row>
    <row r="289" spans="1:27" x14ac:dyDescent="0.25">
      <c r="A289" s="19"/>
      <c r="B289" s="239"/>
      <c r="C289" s="233"/>
      <c r="D289" s="31"/>
      <c r="AA289" s="411"/>
    </row>
    <row r="290" spans="1:27" x14ac:dyDescent="0.25">
      <c r="A290" s="19"/>
      <c r="B290" s="239"/>
      <c r="C290" s="233"/>
      <c r="D290" s="31"/>
      <c r="AA290" s="411"/>
    </row>
    <row r="291" spans="1:27" x14ac:dyDescent="0.25">
      <c r="A291" s="19"/>
      <c r="B291" s="239"/>
      <c r="C291" s="233"/>
      <c r="D291" s="31"/>
      <c r="AA291" s="411"/>
    </row>
    <row r="292" spans="1:27" x14ac:dyDescent="0.25">
      <c r="A292" s="19"/>
      <c r="B292" s="239"/>
      <c r="C292" s="233"/>
      <c r="D292" s="31"/>
      <c r="AA292" s="411"/>
    </row>
    <row r="293" spans="1:27" x14ac:dyDescent="0.25">
      <c r="A293" s="19"/>
      <c r="B293" s="239"/>
      <c r="C293" s="233"/>
      <c r="D293" s="31"/>
      <c r="AA293" s="411"/>
    </row>
    <row r="294" spans="1:27" x14ac:dyDescent="0.25">
      <c r="A294" s="19"/>
      <c r="B294" s="239"/>
      <c r="C294" s="233"/>
      <c r="D294" s="31"/>
      <c r="AA294" s="411"/>
    </row>
    <row r="295" spans="1:27" x14ac:dyDescent="0.25">
      <c r="A295" s="19"/>
      <c r="B295" s="239"/>
      <c r="C295" s="233"/>
      <c r="D295" s="31"/>
      <c r="AA295" s="411"/>
    </row>
    <row r="296" spans="1:27" x14ac:dyDescent="0.25">
      <c r="A296" s="19"/>
      <c r="B296" s="239"/>
      <c r="C296" s="233"/>
      <c r="D296" s="31"/>
      <c r="AA296" s="411"/>
    </row>
    <row r="297" spans="1:27" x14ac:dyDescent="0.25">
      <c r="A297" s="19"/>
      <c r="B297" s="239"/>
      <c r="C297" s="233"/>
      <c r="D297" s="31"/>
      <c r="AA297" s="411"/>
    </row>
    <row r="298" spans="1:27" x14ac:dyDescent="0.25">
      <c r="A298" s="19"/>
      <c r="B298" s="239"/>
      <c r="C298" s="233"/>
      <c r="D298" s="31"/>
      <c r="AA298" s="411"/>
    </row>
    <row r="299" spans="1:27" x14ac:dyDescent="0.25">
      <c r="A299" s="19"/>
      <c r="B299" s="239"/>
      <c r="C299" s="233"/>
      <c r="D299" s="31"/>
      <c r="AA299" s="411"/>
    </row>
    <row r="300" spans="1:27" x14ac:dyDescent="0.25">
      <c r="A300" s="19"/>
      <c r="B300" s="239"/>
      <c r="C300" s="233"/>
      <c r="D300" s="31"/>
      <c r="AA300" s="411"/>
    </row>
    <row r="301" spans="1:27" x14ac:dyDescent="0.25">
      <c r="A301" s="19"/>
      <c r="B301" s="239"/>
      <c r="C301" s="233"/>
      <c r="D301" s="31"/>
      <c r="AA301" s="411"/>
    </row>
    <row r="302" spans="1:27" x14ac:dyDescent="0.25">
      <c r="A302" s="19"/>
      <c r="B302" s="239"/>
      <c r="C302" s="233"/>
      <c r="D302" s="31"/>
      <c r="AA302" s="411"/>
    </row>
    <row r="303" spans="1:27" x14ac:dyDescent="0.25">
      <c r="A303" s="19"/>
      <c r="B303" s="239"/>
      <c r="C303" s="233"/>
      <c r="D303" s="31"/>
      <c r="AA303" s="411"/>
    </row>
    <row r="304" spans="1:27" x14ac:dyDescent="0.25">
      <c r="A304" s="19"/>
      <c r="B304" s="239"/>
      <c r="C304" s="233"/>
      <c r="D304" s="31"/>
      <c r="AA304" s="411"/>
    </row>
    <row r="305" spans="1:27" x14ac:dyDescent="0.25">
      <c r="A305" s="19"/>
      <c r="B305" s="239"/>
      <c r="C305" s="233"/>
      <c r="D305" s="31"/>
      <c r="AA305" s="411"/>
    </row>
    <row r="306" spans="1:27" x14ac:dyDescent="0.25">
      <c r="A306" s="19"/>
      <c r="B306" s="239"/>
      <c r="C306" s="233"/>
      <c r="D306" s="31"/>
      <c r="AA306" s="411"/>
    </row>
    <row r="307" spans="1:27" x14ac:dyDescent="0.25">
      <c r="A307" s="19"/>
      <c r="B307" s="239"/>
      <c r="C307" s="233"/>
      <c r="D307" s="31"/>
      <c r="AA307" s="411"/>
    </row>
    <row r="308" spans="1:27" x14ac:dyDescent="0.25">
      <c r="A308" s="19"/>
      <c r="B308" s="239"/>
      <c r="C308" s="233"/>
      <c r="D308" s="31"/>
      <c r="AA308" s="411"/>
    </row>
    <row r="309" spans="1:27" x14ac:dyDescent="0.25">
      <c r="A309" s="19"/>
      <c r="B309" s="239"/>
      <c r="C309" s="233"/>
      <c r="D309" s="31"/>
      <c r="AA309" s="411"/>
    </row>
    <row r="310" spans="1:27" x14ac:dyDescent="0.25">
      <c r="A310" s="19"/>
      <c r="B310" s="239"/>
      <c r="C310" s="233"/>
      <c r="D310" s="31"/>
      <c r="AA310" s="411"/>
    </row>
    <row r="311" spans="1:27" x14ac:dyDescent="0.25">
      <c r="A311" s="19"/>
      <c r="B311" s="239"/>
      <c r="C311" s="233"/>
      <c r="D311" s="31"/>
      <c r="AA311" s="411"/>
    </row>
    <row r="312" spans="1:27" x14ac:dyDescent="0.25">
      <c r="A312" s="19"/>
      <c r="B312" s="239"/>
      <c r="C312" s="233"/>
      <c r="D312" s="31"/>
      <c r="AA312" s="411"/>
    </row>
    <row r="313" spans="1:27" x14ac:dyDescent="0.25">
      <c r="A313" s="19"/>
      <c r="B313" s="239"/>
      <c r="C313" s="233"/>
      <c r="D313" s="31"/>
      <c r="AA313" s="411"/>
    </row>
    <row r="314" spans="1:27" x14ac:dyDescent="0.25">
      <c r="A314" s="19"/>
      <c r="B314" s="239"/>
      <c r="C314" s="233"/>
      <c r="D314" s="31"/>
      <c r="AA314" s="411"/>
    </row>
    <row r="315" spans="1:27" x14ac:dyDescent="0.25">
      <c r="A315" s="19"/>
      <c r="B315" s="239"/>
      <c r="C315" s="233"/>
      <c r="D315" s="31"/>
      <c r="AA315" s="411"/>
    </row>
    <row r="316" spans="1:27" x14ac:dyDescent="0.25">
      <c r="A316" s="19"/>
      <c r="B316" s="239"/>
      <c r="C316" s="233"/>
      <c r="D316" s="31"/>
      <c r="AA316" s="411"/>
    </row>
    <row r="317" spans="1:27" x14ac:dyDescent="0.25">
      <c r="A317" s="19"/>
      <c r="B317" s="239"/>
      <c r="C317" s="233"/>
      <c r="D317" s="31"/>
      <c r="AA317" s="411"/>
    </row>
    <row r="318" spans="1:27" x14ac:dyDescent="0.25">
      <c r="A318" s="19"/>
      <c r="B318" s="239"/>
      <c r="C318" s="233"/>
      <c r="D318" s="31"/>
      <c r="AA318" s="411"/>
    </row>
    <row r="319" spans="1:27" x14ac:dyDescent="0.25">
      <c r="A319" s="19"/>
      <c r="B319" s="239"/>
      <c r="C319" s="233"/>
      <c r="D319" s="31"/>
      <c r="AA319" s="411"/>
    </row>
    <row r="320" spans="1:27" x14ac:dyDescent="0.25">
      <c r="A320" s="19"/>
      <c r="B320" s="239"/>
      <c r="C320" s="233"/>
      <c r="D320" s="31"/>
      <c r="AA320" s="411"/>
    </row>
    <row r="321" spans="1:27" x14ac:dyDescent="0.25">
      <c r="A321" s="19"/>
      <c r="B321" s="239"/>
      <c r="C321" s="233"/>
      <c r="D321" s="31"/>
      <c r="AA321" s="411"/>
    </row>
    <row r="322" spans="1:27" x14ac:dyDescent="0.25">
      <c r="A322" s="19"/>
      <c r="B322" s="239"/>
      <c r="C322" s="233"/>
      <c r="D322" s="31"/>
      <c r="AA322" s="411"/>
    </row>
    <row r="323" spans="1:27" x14ac:dyDescent="0.25">
      <c r="A323" s="19"/>
      <c r="B323" s="239"/>
      <c r="C323" s="233"/>
      <c r="D323" s="31"/>
      <c r="AA323" s="411"/>
    </row>
    <row r="324" spans="1:27" x14ac:dyDescent="0.25">
      <c r="A324" s="19"/>
      <c r="B324" s="239"/>
      <c r="C324" s="233"/>
      <c r="D324" s="31"/>
      <c r="AA324" s="411"/>
    </row>
    <row r="325" spans="1:27" x14ac:dyDescent="0.25">
      <c r="A325" s="19"/>
      <c r="B325" s="239"/>
      <c r="C325" s="233"/>
      <c r="D325" s="31"/>
      <c r="AA325" s="411"/>
    </row>
    <row r="326" spans="1:27" x14ac:dyDescent="0.25">
      <c r="A326" s="19"/>
      <c r="B326" s="239"/>
      <c r="C326" s="233"/>
      <c r="D326" s="31"/>
      <c r="AA326" s="411"/>
    </row>
    <row r="327" spans="1:27" x14ac:dyDescent="0.25">
      <c r="A327" s="19"/>
      <c r="B327" s="239"/>
      <c r="C327" s="233"/>
      <c r="D327" s="31"/>
      <c r="AA327" s="411"/>
    </row>
    <row r="328" spans="1:27" x14ac:dyDescent="0.25">
      <c r="A328" s="19"/>
      <c r="B328" s="239"/>
      <c r="C328" s="233"/>
      <c r="D328" s="31"/>
      <c r="AA328" s="411"/>
    </row>
    <row r="329" spans="1:27" x14ac:dyDescent="0.25">
      <c r="A329" s="19"/>
      <c r="B329" s="239"/>
      <c r="C329" s="233"/>
      <c r="D329" s="31"/>
      <c r="AA329" s="411"/>
    </row>
    <row r="330" spans="1:27" x14ac:dyDescent="0.25">
      <c r="A330" s="19"/>
      <c r="B330" s="239"/>
      <c r="C330" s="233"/>
      <c r="D330" s="31"/>
      <c r="AA330" s="411"/>
    </row>
    <row r="331" spans="1:27" x14ac:dyDescent="0.25">
      <c r="A331" s="19"/>
      <c r="B331" s="239"/>
      <c r="C331" s="233"/>
      <c r="D331" s="31"/>
      <c r="AA331" s="411"/>
    </row>
    <row r="332" spans="1:27" x14ac:dyDescent="0.25">
      <c r="A332" s="19"/>
      <c r="B332" s="239"/>
      <c r="C332" s="233"/>
      <c r="D332" s="31"/>
      <c r="AA332" s="411"/>
    </row>
    <row r="333" spans="1:27" x14ac:dyDescent="0.25">
      <c r="A333" s="19"/>
      <c r="B333" s="239"/>
      <c r="C333" s="233"/>
      <c r="D333" s="31"/>
      <c r="AA333" s="411"/>
    </row>
    <row r="334" spans="1:27" x14ac:dyDescent="0.25">
      <c r="A334" s="19"/>
      <c r="B334" s="239"/>
      <c r="C334" s="233"/>
      <c r="D334" s="31"/>
      <c r="AA334" s="411"/>
    </row>
    <row r="335" spans="1:27" x14ac:dyDescent="0.25">
      <c r="A335" s="19"/>
      <c r="B335" s="239"/>
      <c r="C335" s="233"/>
      <c r="D335" s="31"/>
      <c r="AA335" s="411"/>
    </row>
    <row r="336" spans="1:27" x14ac:dyDescent="0.25">
      <c r="A336" s="19"/>
      <c r="B336" s="239"/>
      <c r="C336" s="233"/>
      <c r="D336" s="31"/>
      <c r="AA336" s="411"/>
    </row>
    <row r="337" spans="1:27" x14ac:dyDescent="0.25">
      <c r="A337" s="19"/>
      <c r="B337" s="239"/>
      <c r="C337" s="233"/>
      <c r="D337" s="31"/>
      <c r="AA337" s="411"/>
    </row>
    <row r="338" spans="1:27" x14ac:dyDescent="0.25">
      <c r="A338" s="19"/>
      <c r="B338" s="239"/>
      <c r="C338" s="233"/>
      <c r="D338" s="31"/>
      <c r="AA338" s="411"/>
    </row>
    <row r="339" spans="1:27" x14ac:dyDescent="0.25">
      <c r="A339" s="19"/>
      <c r="B339" s="239"/>
      <c r="C339" s="233"/>
      <c r="D339" s="31"/>
      <c r="AA339" s="411"/>
    </row>
    <row r="340" spans="1:27" x14ac:dyDescent="0.25">
      <c r="A340" s="19"/>
      <c r="B340" s="239"/>
      <c r="C340" s="233"/>
      <c r="D340" s="31"/>
      <c r="AA340" s="411"/>
    </row>
    <row r="341" spans="1:27" x14ac:dyDescent="0.25">
      <c r="A341" s="19"/>
      <c r="B341" s="239"/>
      <c r="C341" s="233"/>
      <c r="D341" s="31"/>
      <c r="AA341" s="411"/>
    </row>
    <row r="342" spans="1:27" x14ac:dyDescent="0.25">
      <c r="A342" s="19"/>
      <c r="B342" s="239"/>
      <c r="C342" s="233"/>
      <c r="D342" s="31"/>
      <c r="AA342" s="411"/>
    </row>
    <row r="343" spans="1:27" x14ac:dyDescent="0.25">
      <c r="A343" s="19"/>
      <c r="B343" s="239"/>
      <c r="C343" s="233"/>
      <c r="D343" s="31"/>
      <c r="AA343" s="411"/>
    </row>
    <row r="344" spans="1:27" x14ac:dyDescent="0.25">
      <c r="A344" s="19"/>
      <c r="B344" s="239"/>
      <c r="C344" s="233"/>
      <c r="D344" s="31"/>
      <c r="AA344" s="411"/>
    </row>
    <row r="345" spans="1:27" x14ac:dyDescent="0.25">
      <c r="A345" s="19"/>
      <c r="B345" s="239"/>
      <c r="C345" s="233"/>
      <c r="D345" s="31"/>
      <c r="AA345" s="411"/>
    </row>
    <row r="346" spans="1:27" x14ac:dyDescent="0.25">
      <c r="A346" s="19"/>
      <c r="B346" s="239"/>
      <c r="C346" s="233"/>
      <c r="D346" s="31"/>
      <c r="AA346" s="411"/>
    </row>
    <row r="347" spans="1:27" x14ac:dyDescent="0.25">
      <c r="A347" s="19"/>
      <c r="B347" s="239"/>
      <c r="C347" s="233"/>
      <c r="D347" s="31"/>
      <c r="AA347" s="411"/>
    </row>
    <row r="348" spans="1:27" x14ac:dyDescent="0.25">
      <c r="A348" s="19"/>
      <c r="B348" s="239"/>
      <c r="C348" s="233"/>
      <c r="D348" s="31"/>
      <c r="AA348" s="411"/>
    </row>
    <row r="349" spans="1:27" x14ac:dyDescent="0.25">
      <c r="A349" s="19"/>
      <c r="B349" s="239"/>
      <c r="C349" s="233"/>
      <c r="D349" s="31"/>
      <c r="AA349" s="411"/>
    </row>
    <row r="350" spans="1:27" x14ac:dyDescent="0.25">
      <c r="A350" s="19"/>
      <c r="B350" s="239"/>
      <c r="C350" s="233"/>
      <c r="D350" s="31"/>
      <c r="AA350" s="411"/>
    </row>
    <row r="351" spans="1:27" x14ac:dyDescent="0.25">
      <c r="A351" s="19"/>
      <c r="B351" s="239"/>
      <c r="C351" s="233"/>
      <c r="D351" s="31"/>
      <c r="AA351" s="411"/>
    </row>
    <row r="352" spans="1:27" x14ac:dyDescent="0.25">
      <c r="A352" s="19"/>
      <c r="B352" s="239"/>
      <c r="C352" s="233"/>
      <c r="D352" s="31"/>
      <c r="AA352" s="411"/>
    </row>
    <row r="353" spans="1:27" x14ac:dyDescent="0.25">
      <c r="A353" s="19"/>
      <c r="B353" s="239"/>
      <c r="C353" s="233"/>
      <c r="D353" s="31"/>
      <c r="AA353" s="411"/>
    </row>
    <row r="354" spans="1:27" x14ac:dyDescent="0.25">
      <c r="A354" s="19"/>
      <c r="B354" s="239"/>
      <c r="C354" s="233"/>
      <c r="D354" s="31"/>
      <c r="AA354" s="411"/>
    </row>
    <row r="355" spans="1:27" x14ac:dyDescent="0.25">
      <c r="A355" s="19"/>
      <c r="B355" s="239"/>
      <c r="C355" s="233"/>
      <c r="D355" s="31"/>
      <c r="AA355" s="411"/>
    </row>
    <row r="356" spans="1:27" x14ac:dyDescent="0.25">
      <c r="A356" s="19"/>
      <c r="B356" s="239"/>
      <c r="C356" s="233"/>
      <c r="D356" s="31"/>
      <c r="AA356" s="411"/>
    </row>
    <row r="357" spans="1:27" x14ac:dyDescent="0.25">
      <c r="A357" s="19"/>
      <c r="B357" s="239"/>
      <c r="C357" s="233"/>
      <c r="D357" s="31"/>
      <c r="AA357" s="411"/>
    </row>
    <row r="358" spans="1:27" x14ac:dyDescent="0.25">
      <c r="A358" s="19"/>
      <c r="B358" s="239"/>
      <c r="C358" s="233"/>
      <c r="D358" s="31"/>
      <c r="AA358" s="411"/>
    </row>
    <row r="359" spans="1:27" x14ac:dyDescent="0.25">
      <c r="A359" s="19"/>
      <c r="B359" s="239"/>
      <c r="C359" s="233"/>
      <c r="D359" s="31"/>
      <c r="AA359" s="411"/>
    </row>
    <row r="360" spans="1:27" x14ac:dyDescent="0.25">
      <c r="A360" s="19"/>
      <c r="B360" s="239"/>
      <c r="C360" s="233"/>
      <c r="D360" s="31"/>
      <c r="AA360" s="411"/>
    </row>
    <row r="361" spans="1:27" x14ac:dyDescent="0.25">
      <c r="A361" s="19"/>
      <c r="B361" s="239"/>
      <c r="C361" s="233"/>
      <c r="D361" s="31"/>
      <c r="AA361" s="411"/>
    </row>
    <row r="362" spans="1:27" x14ac:dyDescent="0.25">
      <c r="A362" s="19"/>
      <c r="B362" s="239"/>
      <c r="C362" s="233"/>
      <c r="D362" s="31"/>
      <c r="AA362" s="411"/>
    </row>
    <row r="363" spans="1:27" x14ac:dyDescent="0.25">
      <c r="A363" s="19"/>
      <c r="B363" s="239"/>
      <c r="C363" s="233"/>
      <c r="D363" s="31"/>
      <c r="AA363" s="411"/>
    </row>
    <row r="364" spans="1:27" x14ac:dyDescent="0.25">
      <c r="A364" s="19"/>
      <c r="B364" s="239"/>
      <c r="C364" s="233"/>
      <c r="D364" s="31"/>
      <c r="AA364" s="411"/>
    </row>
    <row r="365" spans="1:27" x14ac:dyDescent="0.25">
      <c r="A365" s="19"/>
      <c r="B365" s="239"/>
      <c r="C365" s="233"/>
      <c r="D365" s="31"/>
      <c r="AA365" s="411"/>
    </row>
    <row r="366" spans="1:27" x14ac:dyDescent="0.25">
      <c r="A366" s="19"/>
      <c r="B366" s="239"/>
      <c r="C366" s="233"/>
      <c r="D366" s="31"/>
      <c r="AA366" s="411"/>
    </row>
    <row r="367" spans="1:27" x14ac:dyDescent="0.25">
      <c r="D367" s="31"/>
      <c r="AA367" s="411"/>
    </row>
    <row r="368" spans="1:27" x14ac:dyDescent="0.25">
      <c r="D368" s="31"/>
      <c r="AA368" s="411"/>
    </row>
    <row r="369" spans="4:27" x14ac:dyDescent="0.25">
      <c r="D369" s="31"/>
      <c r="AA369" s="411"/>
    </row>
    <row r="370" spans="4:27" x14ac:dyDescent="0.25">
      <c r="D370" s="31"/>
      <c r="AA370" s="411"/>
    </row>
    <row r="371" spans="4:27" x14ac:dyDescent="0.25">
      <c r="D371" s="31"/>
      <c r="AA371" s="411"/>
    </row>
    <row r="372" spans="4:27" x14ac:dyDescent="0.25">
      <c r="D372" s="31"/>
      <c r="AA372" s="411"/>
    </row>
    <row r="373" spans="4:27" x14ac:dyDescent="0.25">
      <c r="D373" s="31"/>
      <c r="AA373" s="411"/>
    </row>
    <row r="374" spans="4:27" x14ac:dyDescent="0.25">
      <c r="D374" s="31"/>
      <c r="AA374" s="411"/>
    </row>
    <row r="375" spans="4:27" x14ac:dyDescent="0.25">
      <c r="D375" s="31"/>
      <c r="AA375" s="411"/>
    </row>
    <row r="376" spans="4:27" x14ac:dyDescent="0.25">
      <c r="D376" s="31"/>
      <c r="AA376" s="411"/>
    </row>
    <row r="377" spans="4:27" x14ac:dyDescent="0.25">
      <c r="D377" s="31"/>
      <c r="AA377" s="411"/>
    </row>
    <row r="378" spans="4:27" x14ac:dyDescent="0.25">
      <c r="D378" s="31"/>
      <c r="AA378" s="411"/>
    </row>
    <row r="379" spans="4:27" x14ac:dyDescent="0.25">
      <c r="D379" s="31"/>
      <c r="AA379" s="411"/>
    </row>
    <row r="380" spans="4:27" x14ac:dyDescent="0.25">
      <c r="D380" s="31"/>
      <c r="AA380" s="411"/>
    </row>
    <row r="381" spans="4:27" x14ac:dyDescent="0.25">
      <c r="D381" s="31"/>
      <c r="AA381" s="411"/>
    </row>
    <row r="382" spans="4:27" x14ac:dyDescent="0.25">
      <c r="D382" s="31"/>
      <c r="AA382" s="411"/>
    </row>
    <row r="383" spans="4:27" x14ac:dyDescent="0.25">
      <c r="D383" s="31"/>
      <c r="AA383" s="411"/>
    </row>
    <row r="384" spans="4:27" x14ac:dyDescent="0.25">
      <c r="D384" s="31"/>
      <c r="AA384" s="411"/>
    </row>
    <row r="385" spans="4:27" x14ac:dyDescent="0.25">
      <c r="D385" s="31"/>
      <c r="AA385" s="411"/>
    </row>
    <row r="386" spans="4:27" x14ac:dyDescent="0.25">
      <c r="D386" s="31"/>
      <c r="AA386" s="411"/>
    </row>
    <row r="387" spans="4:27" x14ac:dyDescent="0.25">
      <c r="D387" s="31"/>
      <c r="AA387" s="411"/>
    </row>
    <row r="388" spans="4:27" x14ac:dyDescent="0.25">
      <c r="D388" s="31"/>
      <c r="AA388" s="411"/>
    </row>
    <row r="389" spans="4:27" x14ac:dyDescent="0.25">
      <c r="D389" s="31"/>
      <c r="AA389" s="411"/>
    </row>
    <row r="390" spans="4:27" x14ac:dyDescent="0.25">
      <c r="D390" s="31"/>
      <c r="AA390" s="411"/>
    </row>
    <row r="391" spans="4:27" x14ac:dyDescent="0.25">
      <c r="D391" s="31"/>
      <c r="AA391" s="411"/>
    </row>
    <row r="392" spans="4:27" x14ac:dyDescent="0.25">
      <c r="D392" s="31"/>
      <c r="AA392" s="411"/>
    </row>
    <row r="393" spans="4:27" x14ac:dyDescent="0.25">
      <c r="D393" s="31"/>
      <c r="AA393" s="411"/>
    </row>
    <row r="394" spans="4:27" x14ac:dyDescent="0.25">
      <c r="D394" s="31"/>
      <c r="AA394" s="411"/>
    </row>
    <row r="395" spans="4:27" x14ac:dyDescent="0.25">
      <c r="D395" s="31"/>
      <c r="AA395" s="411"/>
    </row>
    <row r="396" spans="4:27" x14ac:dyDescent="0.25">
      <c r="D396" s="31"/>
      <c r="AA396" s="411"/>
    </row>
    <row r="397" spans="4:27" x14ac:dyDescent="0.25">
      <c r="D397" s="31"/>
      <c r="AA397" s="411"/>
    </row>
    <row r="398" spans="4:27" x14ac:dyDescent="0.25">
      <c r="D398" s="31"/>
      <c r="AA398" s="411"/>
    </row>
    <row r="399" spans="4:27" x14ac:dyDescent="0.25">
      <c r="D399" s="31"/>
      <c r="AA399" s="411"/>
    </row>
    <row r="400" spans="4:27" x14ac:dyDescent="0.25">
      <c r="D400" s="31"/>
      <c r="AA400" s="411"/>
    </row>
    <row r="401" spans="4:27" x14ac:dyDescent="0.25">
      <c r="D401" s="31"/>
      <c r="AA401" s="411"/>
    </row>
    <row r="402" spans="4:27" x14ac:dyDescent="0.25">
      <c r="D402" s="31"/>
      <c r="AA402" s="411"/>
    </row>
    <row r="403" spans="4:27" x14ac:dyDescent="0.25">
      <c r="D403" s="31"/>
      <c r="AA403" s="411"/>
    </row>
    <row r="404" spans="4:27" x14ac:dyDescent="0.25">
      <c r="D404" s="31"/>
      <c r="AA404" s="411"/>
    </row>
    <row r="405" spans="4:27" x14ac:dyDescent="0.25">
      <c r="D405" s="31"/>
      <c r="AA405" s="411"/>
    </row>
    <row r="406" spans="4:27" x14ac:dyDescent="0.25">
      <c r="D406" s="31"/>
      <c r="AA406" s="411"/>
    </row>
    <row r="407" spans="4:27" x14ac:dyDescent="0.25">
      <c r="D407" s="31"/>
      <c r="AA407" s="411"/>
    </row>
    <row r="408" spans="4:27" x14ac:dyDescent="0.25">
      <c r="D408" s="31"/>
      <c r="AA408" s="411"/>
    </row>
    <row r="409" spans="4:27" x14ac:dyDescent="0.25">
      <c r="D409" s="31"/>
      <c r="AA409" s="411"/>
    </row>
    <row r="410" spans="4:27" x14ac:dyDescent="0.25">
      <c r="D410" s="31"/>
      <c r="AA410" s="411"/>
    </row>
    <row r="411" spans="4:27" x14ac:dyDescent="0.25">
      <c r="D411" s="31"/>
      <c r="AA411" s="411"/>
    </row>
    <row r="412" spans="4:27" x14ac:dyDescent="0.25">
      <c r="D412" s="31"/>
      <c r="AA412" s="411"/>
    </row>
    <row r="413" spans="4:27" x14ac:dyDescent="0.25">
      <c r="D413" s="31"/>
      <c r="AA413" s="411"/>
    </row>
    <row r="414" spans="4:27" x14ac:dyDescent="0.25">
      <c r="D414" s="31"/>
      <c r="AA414" s="411"/>
    </row>
    <row r="415" spans="4:27" x14ac:dyDescent="0.25">
      <c r="D415" s="31"/>
      <c r="AA415" s="411"/>
    </row>
    <row r="416" spans="4:27" x14ac:dyDescent="0.25">
      <c r="D416" s="31"/>
      <c r="AA416" s="411"/>
    </row>
    <row r="417" spans="4:27" x14ac:dyDescent="0.25">
      <c r="D417" s="31"/>
      <c r="AA417" s="411"/>
    </row>
    <row r="418" spans="4:27" x14ac:dyDescent="0.25">
      <c r="D418" s="31"/>
      <c r="AA418" s="411"/>
    </row>
    <row r="419" spans="4:27" x14ac:dyDescent="0.25">
      <c r="D419" s="31"/>
      <c r="AA419" s="411"/>
    </row>
    <row r="420" spans="4:27" x14ac:dyDescent="0.25">
      <c r="D420" s="31"/>
      <c r="AA420" s="411"/>
    </row>
    <row r="421" spans="4:27" x14ac:dyDescent="0.25">
      <c r="D421" s="31"/>
      <c r="AA421" s="411"/>
    </row>
    <row r="422" spans="4:27" x14ac:dyDescent="0.25">
      <c r="D422" s="31"/>
      <c r="AA422" s="411"/>
    </row>
    <row r="423" spans="4:27" x14ac:dyDescent="0.25">
      <c r="D423" s="31"/>
      <c r="AA423" s="411"/>
    </row>
    <row r="424" spans="4:27" x14ac:dyDescent="0.25">
      <c r="D424" s="31"/>
      <c r="AA424" s="411"/>
    </row>
    <row r="425" spans="4:27" x14ac:dyDescent="0.25">
      <c r="D425" s="31"/>
      <c r="AA425" s="411"/>
    </row>
    <row r="426" spans="4:27" x14ac:dyDescent="0.25">
      <c r="D426" s="31"/>
      <c r="AA426" s="411"/>
    </row>
    <row r="427" spans="4:27" x14ac:dyDescent="0.25">
      <c r="D427" s="31"/>
      <c r="AA427" s="411"/>
    </row>
    <row r="428" spans="4:27" x14ac:dyDescent="0.25">
      <c r="D428" s="31"/>
      <c r="AA428" s="411"/>
    </row>
    <row r="429" spans="4:27" x14ac:dyDescent="0.25">
      <c r="D429" s="31"/>
      <c r="AA429" s="411"/>
    </row>
    <row r="430" spans="4:27" x14ac:dyDescent="0.25">
      <c r="D430" s="31"/>
      <c r="AA430" s="411"/>
    </row>
    <row r="431" spans="4:27" x14ac:dyDescent="0.25">
      <c r="D431" s="31"/>
      <c r="AA431" s="411"/>
    </row>
    <row r="432" spans="4:27" x14ac:dyDescent="0.25">
      <c r="D432" s="31"/>
      <c r="AA432" s="411"/>
    </row>
    <row r="433" spans="4:27" x14ac:dyDescent="0.25">
      <c r="D433" s="31"/>
      <c r="AA433" s="411"/>
    </row>
    <row r="434" spans="4:27" x14ac:dyDescent="0.25">
      <c r="D434" s="31"/>
      <c r="AA434" s="411"/>
    </row>
    <row r="435" spans="4:27" x14ac:dyDescent="0.25">
      <c r="D435" s="31"/>
      <c r="AA435" s="411"/>
    </row>
    <row r="436" spans="4:27" x14ac:dyDescent="0.25">
      <c r="D436" s="31"/>
      <c r="AA436" s="411"/>
    </row>
    <row r="437" spans="4:27" x14ac:dyDescent="0.25">
      <c r="D437" s="31"/>
      <c r="AA437" s="411"/>
    </row>
    <row r="438" spans="4:27" x14ac:dyDescent="0.25">
      <c r="D438" s="31"/>
      <c r="AA438" s="411"/>
    </row>
    <row r="439" spans="4:27" x14ac:dyDescent="0.25">
      <c r="D439" s="31"/>
      <c r="AA439" s="411"/>
    </row>
    <row r="440" spans="4:27" x14ac:dyDescent="0.25">
      <c r="D440" s="31"/>
      <c r="AA440" s="411"/>
    </row>
    <row r="441" spans="4:27" x14ac:dyDescent="0.25">
      <c r="D441" s="31"/>
      <c r="AA441" s="411"/>
    </row>
    <row r="442" spans="4:27" x14ac:dyDescent="0.25">
      <c r="D442" s="31"/>
      <c r="AA442" s="411"/>
    </row>
    <row r="443" spans="4:27" x14ac:dyDescent="0.25">
      <c r="D443" s="31"/>
      <c r="AA443" s="411"/>
    </row>
    <row r="444" spans="4:27" x14ac:dyDescent="0.25">
      <c r="D444" s="31"/>
      <c r="AA444" s="411"/>
    </row>
    <row r="445" spans="4:27" x14ac:dyDescent="0.25">
      <c r="D445" s="31"/>
      <c r="AA445" s="411"/>
    </row>
    <row r="446" spans="4:27" x14ac:dyDescent="0.25">
      <c r="D446" s="31"/>
    </row>
    <row r="447" spans="4:27" x14ac:dyDescent="0.25">
      <c r="D447" s="31"/>
    </row>
    <row r="448" spans="4:27" x14ac:dyDescent="0.25">
      <c r="D448" s="31"/>
    </row>
    <row r="449" spans="4:4" x14ac:dyDescent="0.25">
      <c r="D449" s="31"/>
    </row>
    <row r="450" spans="4:4" x14ac:dyDescent="0.25">
      <c r="D450" s="31"/>
    </row>
    <row r="451" spans="4:4" x14ac:dyDescent="0.25">
      <c r="D451" s="31"/>
    </row>
    <row r="452" spans="4:4" x14ac:dyDescent="0.25">
      <c r="D452" s="31"/>
    </row>
    <row r="453" spans="4:4" x14ac:dyDescent="0.25">
      <c r="D453" s="31"/>
    </row>
    <row r="454" spans="4:4" x14ac:dyDescent="0.25">
      <c r="D454" s="31"/>
    </row>
    <row r="455" spans="4:4" x14ac:dyDescent="0.25">
      <c r="D455" s="31"/>
    </row>
    <row r="456" spans="4:4" x14ac:dyDescent="0.25">
      <c r="D456" s="31"/>
    </row>
    <row r="457" spans="4:4" x14ac:dyDescent="0.25">
      <c r="D457" s="31"/>
    </row>
    <row r="458" spans="4:4" x14ac:dyDescent="0.25">
      <c r="D458" s="31"/>
    </row>
    <row r="459" spans="4:4" x14ac:dyDescent="0.25">
      <c r="D459" s="31"/>
    </row>
    <row r="460" spans="4:4" x14ac:dyDescent="0.25">
      <c r="D460" s="31"/>
    </row>
    <row r="461" spans="4:4" x14ac:dyDescent="0.25">
      <c r="D461" s="31"/>
    </row>
    <row r="462" spans="4:4" x14ac:dyDescent="0.25">
      <c r="D462" s="31"/>
    </row>
    <row r="463" spans="4:4" x14ac:dyDescent="0.25">
      <c r="D463" s="31"/>
    </row>
    <row r="464" spans="4:4" x14ac:dyDescent="0.25">
      <c r="D464" s="31"/>
    </row>
    <row r="465" spans="4:4" x14ac:dyDescent="0.25">
      <c r="D465" s="31"/>
    </row>
    <row r="466" spans="4:4" x14ac:dyDescent="0.25">
      <c r="D466" s="31"/>
    </row>
    <row r="467" spans="4:4" x14ac:dyDescent="0.25">
      <c r="D467" s="31"/>
    </row>
    <row r="468" spans="4:4" x14ac:dyDescent="0.25">
      <c r="D468" s="31"/>
    </row>
    <row r="469" spans="4:4" x14ac:dyDescent="0.25">
      <c r="D469" s="31"/>
    </row>
    <row r="470" spans="4:4" x14ac:dyDescent="0.25">
      <c r="D470" s="31"/>
    </row>
    <row r="471" spans="4:4" x14ac:dyDescent="0.25">
      <c r="D471" s="31"/>
    </row>
    <row r="472" spans="4:4" x14ac:dyDescent="0.25">
      <c r="D472" s="31"/>
    </row>
    <row r="473" spans="4:4" x14ac:dyDescent="0.25">
      <c r="D473" s="31"/>
    </row>
    <row r="474" spans="4:4" x14ac:dyDescent="0.25">
      <c r="D474" s="31"/>
    </row>
    <row r="475" spans="4:4" x14ac:dyDescent="0.25">
      <c r="D475" s="31"/>
    </row>
    <row r="476" spans="4:4" x14ac:dyDescent="0.25">
      <c r="D476" s="31"/>
    </row>
    <row r="477" spans="4:4" x14ac:dyDescent="0.25">
      <c r="D477" s="31"/>
    </row>
    <row r="478" spans="4:4" x14ac:dyDescent="0.25">
      <c r="D478" s="31"/>
    </row>
    <row r="479" spans="4:4" x14ac:dyDescent="0.25">
      <c r="D479" s="31"/>
    </row>
    <row r="480" spans="4:4" x14ac:dyDescent="0.25">
      <c r="D480" s="31"/>
    </row>
    <row r="481" spans="4:4" x14ac:dyDescent="0.25">
      <c r="D481" s="31"/>
    </row>
    <row r="482" spans="4:4" x14ac:dyDescent="0.25">
      <c r="D482" s="31"/>
    </row>
    <row r="483" spans="4:4" x14ac:dyDescent="0.25">
      <c r="D483" s="31"/>
    </row>
    <row r="484" spans="4:4" x14ac:dyDescent="0.25">
      <c r="D484" s="31"/>
    </row>
    <row r="485" spans="4:4" x14ac:dyDescent="0.25">
      <c r="D485" s="31"/>
    </row>
    <row r="486" spans="4:4" x14ac:dyDescent="0.25">
      <c r="D486" s="31"/>
    </row>
    <row r="487" spans="4:4" x14ac:dyDescent="0.25">
      <c r="D487" s="31"/>
    </row>
    <row r="488" spans="4:4" x14ac:dyDescent="0.25">
      <c r="D488" s="31"/>
    </row>
    <row r="489" spans="4:4" x14ac:dyDescent="0.25">
      <c r="D489" s="31"/>
    </row>
    <row r="490" spans="4:4" x14ac:dyDescent="0.25">
      <c r="D490" s="31"/>
    </row>
    <row r="491" spans="4:4" x14ac:dyDescent="0.25">
      <c r="D491" s="31"/>
    </row>
    <row r="492" spans="4:4" x14ac:dyDescent="0.25">
      <c r="D492" s="31"/>
    </row>
    <row r="493" spans="4:4" x14ac:dyDescent="0.25">
      <c r="D493" s="31"/>
    </row>
    <row r="494" spans="4:4" x14ac:dyDescent="0.25">
      <c r="D494" s="31"/>
    </row>
    <row r="495" spans="4:4" x14ac:dyDescent="0.25">
      <c r="D495" s="31"/>
    </row>
    <row r="496" spans="4:4" x14ac:dyDescent="0.25">
      <c r="D496" s="31"/>
    </row>
    <row r="497" spans="4:4" x14ac:dyDescent="0.25">
      <c r="D497" s="31"/>
    </row>
    <row r="498" spans="4:4" x14ac:dyDescent="0.25">
      <c r="D498" s="31"/>
    </row>
    <row r="499" spans="4:4" x14ac:dyDescent="0.25">
      <c r="D499" s="31"/>
    </row>
    <row r="500" spans="4:4" x14ac:dyDescent="0.25">
      <c r="D500" s="31"/>
    </row>
    <row r="501" spans="4:4" x14ac:dyDescent="0.25">
      <c r="D501" s="31"/>
    </row>
    <row r="502" spans="4:4" x14ac:dyDescent="0.25">
      <c r="D502" s="31"/>
    </row>
    <row r="503" spans="4:4" x14ac:dyDescent="0.25">
      <c r="D503" s="31"/>
    </row>
    <row r="504" spans="4:4" x14ac:dyDescent="0.25">
      <c r="D504" s="31"/>
    </row>
    <row r="505" spans="4:4" x14ac:dyDescent="0.25">
      <c r="D505" s="31"/>
    </row>
    <row r="506" spans="4:4" x14ac:dyDescent="0.25">
      <c r="D506" s="31"/>
    </row>
    <row r="507" spans="4:4" x14ac:dyDescent="0.25">
      <c r="D507" s="31"/>
    </row>
    <row r="508" spans="4:4" x14ac:dyDescent="0.25">
      <c r="D508" s="31"/>
    </row>
    <row r="509" spans="4:4" x14ac:dyDescent="0.25">
      <c r="D509" s="31"/>
    </row>
    <row r="510" spans="4:4" x14ac:dyDescent="0.25">
      <c r="D510" s="31"/>
    </row>
    <row r="511" spans="4:4" x14ac:dyDescent="0.25">
      <c r="D511" s="31"/>
    </row>
    <row r="512" spans="4:4" x14ac:dyDescent="0.25">
      <c r="D512" s="31"/>
    </row>
    <row r="513" spans="4:4" x14ac:dyDescent="0.25">
      <c r="D513" s="31"/>
    </row>
    <row r="514" spans="4:4" x14ac:dyDescent="0.25">
      <c r="D514" s="31"/>
    </row>
    <row r="515" spans="4:4" x14ac:dyDescent="0.25">
      <c r="D515" s="31"/>
    </row>
    <row r="516" spans="4:4" x14ac:dyDescent="0.25">
      <c r="D516" s="31"/>
    </row>
    <row r="517" spans="4:4" x14ac:dyDescent="0.25">
      <c r="D517" s="31"/>
    </row>
    <row r="518" spans="4:4" x14ac:dyDescent="0.25">
      <c r="D518" s="31"/>
    </row>
    <row r="519" spans="4:4" x14ac:dyDescent="0.25">
      <c r="D519" s="31"/>
    </row>
    <row r="520" spans="4:4" x14ac:dyDescent="0.25">
      <c r="D520" s="31"/>
    </row>
    <row r="521" spans="4:4" x14ac:dyDescent="0.25">
      <c r="D521" s="31"/>
    </row>
    <row r="522" spans="4:4" x14ac:dyDescent="0.25">
      <c r="D522" s="31"/>
    </row>
    <row r="523" spans="4:4" x14ac:dyDescent="0.25">
      <c r="D523" s="31"/>
    </row>
    <row r="524" spans="4:4" x14ac:dyDescent="0.25">
      <c r="D524" s="31"/>
    </row>
    <row r="525" spans="4:4" x14ac:dyDescent="0.25">
      <c r="D525" s="31"/>
    </row>
    <row r="526" spans="4:4" x14ac:dyDescent="0.25">
      <c r="D526" s="31"/>
    </row>
    <row r="527" spans="4:4" x14ac:dyDescent="0.25">
      <c r="D527" s="31"/>
    </row>
    <row r="528" spans="4:4" x14ac:dyDescent="0.25">
      <c r="D528" s="31"/>
    </row>
    <row r="529" spans="4:4" x14ac:dyDescent="0.25">
      <c r="D529" s="31"/>
    </row>
    <row r="530" spans="4:4" x14ac:dyDescent="0.25">
      <c r="D530" s="31"/>
    </row>
    <row r="531" spans="4:4" x14ac:dyDescent="0.25">
      <c r="D531" s="31"/>
    </row>
    <row r="532" spans="4:4" x14ac:dyDescent="0.25">
      <c r="D532" s="31"/>
    </row>
    <row r="533" spans="4:4" x14ac:dyDescent="0.25">
      <c r="D533" s="31"/>
    </row>
    <row r="534" spans="4:4" x14ac:dyDescent="0.25">
      <c r="D534" s="31"/>
    </row>
    <row r="535" spans="4:4" x14ac:dyDescent="0.25">
      <c r="D535" s="31"/>
    </row>
    <row r="536" spans="4:4" x14ac:dyDescent="0.25">
      <c r="D536" s="31"/>
    </row>
    <row r="537" spans="4:4" x14ac:dyDescent="0.25">
      <c r="D537" s="31"/>
    </row>
    <row r="538" spans="4:4" x14ac:dyDescent="0.25">
      <c r="D538" s="31"/>
    </row>
    <row r="539" spans="4:4" x14ac:dyDescent="0.25">
      <c r="D539" s="31"/>
    </row>
    <row r="540" spans="4:4" x14ac:dyDescent="0.25">
      <c r="D540" s="31"/>
    </row>
    <row r="541" spans="4:4" x14ac:dyDescent="0.25">
      <c r="D541" s="31"/>
    </row>
    <row r="542" spans="4:4" x14ac:dyDescent="0.25">
      <c r="D542" s="31"/>
    </row>
    <row r="543" spans="4:4" x14ac:dyDescent="0.25">
      <c r="D543" s="31"/>
    </row>
    <row r="544" spans="4:4" x14ac:dyDescent="0.25">
      <c r="D544" s="31"/>
    </row>
    <row r="545" spans="4:4" x14ac:dyDescent="0.25">
      <c r="D545" s="31"/>
    </row>
    <row r="546" spans="4:4" x14ac:dyDescent="0.25">
      <c r="D546" s="31"/>
    </row>
    <row r="547" spans="4:4" x14ac:dyDescent="0.25">
      <c r="D547" s="31"/>
    </row>
    <row r="548" spans="4:4" x14ac:dyDescent="0.25">
      <c r="D548" s="31"/>
    </row>
    <row r="549" spans="4:4" x14ac:dyDescent="0.25">
      <c r="D549" s="31"/>
    </row>
    <row r="550" spans="4:4" x14ac:dyDescent="0.25">
      <c r="D550" s="31"/>
    </row>
    <row r="551" spans="4:4" x14ac:dyDescent="0.25">
      <c r="D551" s="31"/>
    </row>
    <row r="552" spans="4:4" x14ac:dyDescent="0.25">
      <c r="D552" s="31"/>
    </row>
    <row r="553" spans="4:4" x14ac:dyDescent="0.25">
      <c r="D553" s="31"/>
    </row>
    <row r="554" spans="4:4" x14ac:dyDescent="0.25">
      <c r="D554" s="31"/>
    </row>
    <row r="555" spans="4:4" x14ac:dyDescent="0.25">
      <c r="D555" s="31"/>
    </row>
    <row r="556" spans="4:4" x14ac:dyDescent="0.25">
      <c r="D556" s="31"/>
    </row>
    <row r="557" spans="4:4" x14ac:dyDescent="0.25">
      <c r="D557" s="31"/>
    </row>
    <row r="558" spans="4:4" x14ac:dyDescent="0.25">
      <c r="D558" s="31"/>
    </row>
    <row r="559" spans="4:4" x14ac:dyDescent="0.25">
      <c r="D559" s="31"/>
    </row>
    <row r="560" spans="4:4" x14ac:dyDescent="0.25">
      <c r="D560" s="31"/>
    </row>
    <row r="561" spans="4:4" x14ac:dyDescent="0.25">
      <c r="D561" s="31"/>
    </row>
    <row r="562" spans="4:4" x14ac:dyDescent="0.25">
      <c r="D562" s="31"/>
    </row>
    <row r="563" spans="4:4" x14ac:dyDescent="0.25">
      <c r="D563" s="31"/>
    </row>
    <row r="564" spans="4:4" x14ac:dyDescent="0.25">
      <c r="D564" s="31"/>
    </row>
    <row r="565" spans="4:4" x14ac:dyDescent="0.25">
      <c r="D565" s="31"/>
    </row>
    <row r="566" spans="4:4" x14ac:dyDescent="0.25">
      <c r="D566" s="31"/>
    </row>
    <row r="567" spans="4:4" x14ac:dyDescent="0.25">
      <c r="D567" s="31"/>
    </row>
    <row r="568" spans="4:4" x14ac:dyDescent="0.25">
      <c r="D568" s="31"/>
    </row>
    <row r="569" spans="4:4" x14ac:dyDescent="0.25">
      <c r="D569" s="31"/>
    </row>
    <row r="570" spans="4:4" x14ac:dyDescent="0.25">
      <c r="D570" s="31"/>
    </row>
    <row r="571" spans="4:4" x14ac:dyDescent="0.25">
      <c r="D571" s="31"/>
    </row>
    <row r="572" spans="4:4" x14ac:dyDescent="0.25">
      <c r="D572" s="31"/>
    </row>
    <row r="573" spans="4:4" x14ac:dyDescent="0.25">
      <c r="D573" s="31"/>
    </row>
    <row r="574" spans="4:4" x14ac:dyDescent="0.25">
      <c r="D574" s="31"/>
    </row>
    <row r="575" spans="4:4" x14ac:dyDescent="0.25">
      <c r="D575" s="31"/>
    </row>
    <row r="576" spans="4:4" x14ac:dyDescent="0.25">
      <c r="D576" s="31"/>
    </row>
    <row r="577" spans="4:4" x14ac:dyDescent="0.25">
      <c r="D577" s="31"/>
    </row>
    <row r="578" spans="4:4" x14ac:dyDescent="0.25">
      <c r="D578" s="31"/>
    </row>
    <row r="579" spans="4:4" x14ac:dyDescent="0.25">
      <c r="D579" s="31"/>
    </row>
    <row r="580" spans="4:4" x14ac:dyDescent="0.25">
      <c r="D580" s="31"/>
    </row>
    <row r="581" spans="4:4" x14ac:dyDescent="0.25">
      <c r="D581" s="31"/>
    </row>
    <row r="582" spans="4:4" x14ac:dyDescent="0.25">
      <c r="D582" s="31"/>
    </row>
    <row r="583" spans="4:4" x14ac:dyDescent="0.25">
      <c r="D583" s="31"/>
    </row>
    <row r="584" spans="4:4" x14ac:dyDescent="0.25">
      <c r="D584" s="31"/>
    </row>
    <row r="585" spans="4:4" x14ac:dyDescent="0.25">
      <c r="D585" s="31"/>
    </row>
    <row r="586" spans="4:4" x14ac:dyDescent="0.25">
      <c r="D586" s="31"/>
    </row>
    <row r="587" spans="4:4" x14ac:dyDescent="0.25">
      <c r="D587" s="31"/>
    </row>
    <row r="588" spans="4:4" x14ac:dyDescent="0.25">
      <c r="D588" s="31"/>
    </row>
    <row r="589" spans="4:4" x14ac:dyDescent="0.25">
      <c r="D589" s="31"/>
    </row>
    <row r="590" spans="4:4" x14ac:dyDescent="0.25">
      <c r="D590" s="31"/>
    </row>
    <row r="591" spans="4:4" x14ac:dyDescent="0.25">
      <c r="D591" s="31"/>
    </row>
    <row r="592" spans="4:4" x14ac:dyDescent="0.25">
      <c r="D592" s="31"/>
    </row>
    <row r="593" spans="4:4" x14ac:dyDescent="0.25">
      <c r="D593" s="31"/>
    </row>
    <row r="594" spans="4:4" x14ac:dyDescent="0.25">
      <c r="D594" s="31"/>
    </row>
    <row r="595" spans="4:4" x14ac:dyDescent="0.25">
      <c r="D595" s="31"/>
    </row>
    <row r="596" spans="4:4" x14ac:dyDescent="0.25">
      <c r="D596" s="31"/>
    </row>
    <row r="597" spans="4:4" x14ac:dyDescent="0.25">
      <c r="D597" s="31"/>
    </row>
    <row r="598" spans="4:4" x14ac:dyDescent="0.25">
      <c r="D598" s="31"/>
    </row>
    <row r="599" spans="4:4" x14ac:dyDescent="0.25">
      <c r="D599" s="31"/>
    </row>
    <row r="600" spans="4:4" x14ac:dyDescent="0.25">
      <c r="D600" s="31"/>
    </row>
    <row r="601" spans="4:4" x14ac:dyDescent="0.25">
      <c r="D601" s="31"/>
    </row>
    <row r="602" spans="4:4" x14ac:dyDescent="0.25">
      <c r="D602" s="31"/>
    </row>
    <row r="603" spans="4:4" x14ac:dyDescent="0.25">
      <c r="D603" s="31"/>
    </row>
    <row r="604" spans="4:4" x14ac:dyDescent="0.25">
      <c r="D604" s="31"/>
    </row>
    <row r="605" spans="4:4" x14ac:dyDescent="0.25">
      <c r="D605" s="31"/>
    </row>
    <row r="606" spans="4:4" x14ac:dyDescent="0.25">
      <c r="D606" s="31"/>
    </row>
    <row r="607" spans="4:4" x14ac:dyDescent="0.25">
      <c r="D607" s="31"/>
    </row>
    <row r="608" spans="4:4" x14ac:dyDescent="0.25">
      <c r="D608" s="31"/>
    </row>
    <row r="609" spans="4:4" x14ac:dyDescent="0.25">
      <c r="D609" s="31"/>
    </row>
    <row r="610" spans="4:4" x14ac:dyDescent="0.25">
      <c r="D610" s="31"/>
    </row>
    <row r="611" spans="4:4" x14ac:dyDescent="0.25">
      <c r="D611" s="31"/>
    </row>
    <row r="612" spans="4:4" x14ac:dyDescent="0.25">
      <c r="D612" s="31"/>
    </row>
    <row r="613" spans="4:4" x14ac:dyDescent="0.25">
      <c r="D613" s="31"/>
    </row>
    <row r="614" spans="4:4" x14ac:dyDescent="0.25">
      <c r="D614" s="31"/>
    </row>
    <row r="615" spans="4:4" x14ac:dyDescent="0.25">
      <c r="D615" s="31"/>
    </row>
    <row r="616" spans="4:4" x14ac:dyDescent="0.25">
      <c r="D616" s="31"/>
    </row>
    <row r="617" spans="4:4" x14ac:dyDescent="0.25">
      <c r="D617" s="31"/>
    </row>
    <row r="618" spans="4:4" x14ac:dyDescent="0.25">
      <c r="D618" s="31"/>
    </row>
    <row r="619" spans="4:4" x14ac:dyDescent="0.25">
      <c r="D619" s="31"/>
    </row>
    <row r="620" spans="4:4" x14ac:dyDescent="0.25">
      <c r="D620" s="31"/>
    </row>
    <row r="621" spans="4:4" x14ac:dyDescent="0.25">
      <c r="D621" s="31"/>
    </row>
    <row r="622" spans="4:4" x14ac:dyDescent="0.25">
      <c r="D622" s="31"/>
    </row>
    <row r="623" spans="4:4" x14ac:dyDescent="0.25">
      <c r="D623" s="31"/>
    </row>
    <row r="624" spans="4:4" x14ac:dyDescent="0.25">
      <c r="D624" s="31"/>
    </row>
    <row r="625" spans="4:4" x14ac:dyDescent="0.25">
      <c r="D625" s="31"/>
    </row>
    <row r="626" spans="4:4" x14ac:dyDescent="0.25">
      <c r="D626" s="31"/>
    </row>
    <row r="627" spans="4:4" x14ac:dyDescent="0.25">
      <c r="D627" s="31"/>
    </row>
    <row r="628" spans="4:4" x14ac:dyDescent="0.25">
      <c r="D628" s="31"/>
    </row>
    <row r="629" spans="4:4" x14ac:dyDescent="0.25">
      <c r="D629" s="31"/>
    </row>
    <row r="630" spans="4:4" x14ac:dyDescent="0.25">
      <c r="D630" s="31"/>
    </row>
    <row r="631" spans="4:4" x14ac:dyDescent="0.25">
      <c r="D631" s="31"/>
    </row>
    <row r="632" spans="4:4" x14ac:dyDescent="0.25">
      <c r="D632" s="31"/>
    </row>
    <row r="633" spans="4:4" x14ac:dyDescent="0.25">
      <c r="D633" s="31"/>
    </row>
    <row r="634" spans="4:4" x14ac:dyDescent="0.25">
      <c r="D634" s="31"/>
    </row>
    <row r="635" spans="4:4" x14ac:dyDescent="0.25">
      <c r="D635" s="31"/>
    </row>
    <row r="636" spans="4:4" x14ac:dyDescent="0.25">
      <c r="D636" s="31"/>
    </row>
    <row r="637" spans="4:4" x14ac:dyDescent="0.25">
      <c r="D637" s="31"/>
    </row>
    <row r="638" spans="4:4" x14ac:dyDescent="0.25">
      <c r="D638" s="31"/>
    </row>
    <row r="639" spans="4:4" x14ac:dyDescent="0.25">
      <c r="D639" s="31"/>
    </row>
    <row r="640" spans="4:4" x14ac:dyDescent="0.25">
      <c r="D640" s="31"/>
    </row>
    <row r="641" spans="4:4" x14ac:dyDescent="0.25">
      <c r="D641" s="31"/>
    </row>
    <row r="642" spans="4:4" x14ac:dyDescent="0.25">
      <c r="D642" s="31"/>
    </row>
    <row r="643" spans="4:4" x14ac:dyDescent="0.25">
      <c r="D643" s="31"/>
    </row>
    <row r="644" spans="4:4" x14ac:dyDescent="0.25">
      <c r="D644" s="31"/>
    </row>
    <row r="645" spans="4:4" x14ac:dyDescent="0.25">
      <c r="D645" s="31"/>
    </row>
    <row r="646" spans="4:4" x14ac:dyDescent="0.25">
      <c r="D646" s="31"/>
    </row>
    <row r="647" spans="4:4" x14ac:dyDescent="0.25">
      <c r="D647" s="31"/>
    </row>
    <row r="648" spans="4:4" x14ac:dyDescent="0.25">
      <c r="D648" s="31"/>
    </row>
    <row r="649" spans="4:4" x14ac:dyDescent="0.25">
      <c r="D649" s="31"/>
    </row>
    <row r="650" spans="4:4" x14ac:dyDescent="0.25">
      <c r="D650" s="31"/>
    </row>
    <row r="651" spans="4:4" x14ac:dyDescent="0.25">
      <c r="D651" s="31"/>
    </row>
    <row r="652" spans="4:4" x14ac:dyDescent="0.25">
      <c r="D652" s="31"/>
    </row>
    <row r="653" spans="4:4" x14ac:dyDescent="0.25">
      <c r="D653" s="31"/>
    </row>
    <row r="654" spans="4:4" x14ac:dyDescent="0.25">
      <c r="D654" s="31"/>
    </row>
    <row r="655" spans="4:4" x14ac:dyDescent="0.25">
      <c r="D655" s="31"/>
    </row>
    <row r="656" spans="4:4" x14ac:dyDescent="0.25">
      <c r="D656" s="31"/>
    </row>
    <row r="657" spans="4:4" x14ac:dyDescent="0.25">
      <c r="D657" s="31"/>
    </row>
    <row r="658" spans="4:4" x14ac:dyDescent="0.25">
      <c r="D658" s="31"/>
    </row>
    <row r="659" spans="4:4" x14ac:dyDescent="0.25">
      <c r="D659" s="31"/>
    </row>
    <row r="660" spans="4:4" x14ac:dyDescent="0.25">
      <c r="D660" s="31"/>
    </row>
    <row r="661" spans="4:4" x14ac:dyDescent="0.25">
      <c r="D661" s="31"/>
    </row>
    <row r="662" spans="4:4" x14ac:dyDescent="0.25">
      <c r="D662" s="31"/>
    </row>
    <row r="663" spans="4:4" x14ac:dyDescent="0.25">
      <c r="D663" s="31"/>
    </row>
    <row r="664" spans="4:4" x14ac:dyDescent="0.25">
      <c r="D664" s="31"/>
    </row>
    <row r="665" spans="4:4" x14ac:dyDescent="0.25">
      <c r="D665" s="31"/>
    </row>
    <row r="666" spans="4:4" x14ac:dyDescent="0.25">
      <c r="D666" s="31"/>
    </row>
    <row r="667" spans="4:4" x14ac:dyDescent="0.25">
      <c r="D667" s="31"/>
    </row>
    <row r="668" spans="4:4" x14ac:dyDescent="0.25">
      <c r="D668" s="31"/>
    </row>
  </sheetData>
  <sheetProtection formatCells="0" formatColumns="0" formatRows="0"/>
  <conditionalFormatting sqref="G33">
    <cfRule type="cellIs" dxfId="40" priority="93" stopIfTrue="1" operator="notEqual">
      <formula>0</formula>
    </cfRule>
  </conditionalFormatting>
  <conditionalFormatting sqref="G34">
    <cfRule type="cellIs" dxfId="39" priority="92" stopIfTrue="1" operator="notEqual">
      <formula>0</formula>
    </cfRule>
  </conditionalFormatting>
  <conditionalFormatting sqref="G51">
    <cfRule type="cellIs" dxfId="38" priority="91" stopIfTrue="1" operator="notEqual">
      <formula>0</formula>
    </cfRule>
  </conditionalFormatting>
  <conditionalFormatting sqref="G63">
    <cfRule type="cellIs" dxfId="37" priority="90" stopIfTrue="1" operator="notEqual">
      <formula>0</formula>
    </cfRule>
  </conditionalFormatting>
  <conditionalFormatting sqref="G64:G65">
    <cfRule type="cellIs" dxfId="36" priority="89" stopIfTrue="1" operator="notEqual">
      <formula>0</formula>
    </cfRule>
  </conditionalFormatting>
  <conditionalFormatting sqref="G85">
    <cfRule type="cellIs" dxfId="35" priority="88" stopIfTrue="1" operator="notEqual">
      <formula>0</formula>
    </cfRule>
  </conditionalFormatting>
  <conditionalFormatting sqref="G103">
    <cfRule type="cellIs" dxfId="34" priority="87" stopIfTrue="1" operator="notEqual">
      <formula>0</formula>
    </cfRule>
  </conditionalFormatting>
  <conditionalFormatting sqref="G114">
    <cfRule type="cellIs" dxfId="33" priority="86" stopIfTrue="1" operator="notEqual">
      <formula>0</formula>
    </cfRule>
  </conditionalFormatting>
  <conditionalFormatting sqref="G115">
    <cfRule type="cellIs" dxfId="32" priority="85" stopIfTrue="1" operator="notEqual">
      <formula>0</formula>
    </cfRule>
  </conditionalFormatting>
  <conditionalFormatting sqref="G129">
    <cfRule type="cellIs" dxfId="31" priority="84" stopIfTrue="1" operator="notEqual">
      <formula>0</formula>
    </cfRule>
  </conditionalFormatting>
  <conditionalFormatting sqref="G130">
    <cfRule type="cellIs" dxfId="30" priority="83" stopIfTrue="1" operator="notEqual">
      <formula>0</formula>
    </cfRule>
  </conditionalFormatting>
  <conditionalFormatting sqref="H184:H186">
    <cfRule type="cellIs" priority="79" stopIfTrue="1" operator="equal">
      <formula>";;;"</formula>
    </cfRule>
  </conditionalFormatting>
  <conditionalFormatting sqref="H184">
    <cfRule type="cellIs" dxfId="29" priority="78" stopIfTrue="1" operator="equal">
      <formula>0</formula>
    </cfRule>
  </conditionalFormatting>
  <conditionalFormatting sqref="H185">
    <cfRule type="cellIs" dxfId="28" priority="77" stopIfTrue="1" operator="equal">
      <formula>0</formula>
    </cfRule>
  </conditionalFormatting>
  <conditionalFormatting sqref="H186">
    <cfRule type="cellIs" dxfId="27" priority="76" stopIfTrue="1" operator="equal">
      <formula>0</formula>
    </cfRule>
  </conditionalFormatting>
  <conditionalFormatting sqref="H186">
    <cfRule type="cellIs" dxfId="26" priority="75" stopIfTrue="1" operator="equal">
      <formula>0</formula>
    </cfRule>
  </conditionalFormatting>
  <conditionalFormatting sqref="H184">
    <cfRule type="cellIs" dxfId="25" priority="74" stopIfTrue="1" operator="equal">
      <formula>0</formula>
    </cfRule>
  </conditionalFormatting>
  <conditionalFormatting sqref="G21">
    <cfRule type="cellIs" dxfId="24" priority="73" stopIfTrue="1" operator="notEqual">
      <formula>0</formula>
    </cfRule>
  </conditionalFormatting>
  <conditionalFormatting sqref="G7">
    <cfRule type="containsText" dxfId="23" priority="71" stopIfTrue="1" operator="containsText" text="Included in error count">
      <formula>NOT(ISERROR(SEARCH("Included in error count",G7)))</formula>
    </cfRule>
    <cfRule type="cellIs" dxfId="22" priority="72" stopIfTrue="1" operator="equal">
      <formula>1</formula>
    </cfRule>
  </conditionalFormatting>
  <conditionalFormatting sqref="G41">
    <cfRule type="containsText" dxfId="21" priority="69" stopIfTrue="1" operator="containsText" text="Included in error count">
      <formula>NOT(ISERROR(SEARCH("Included in error count",G41)))</formula>
    </cfRule>
    <cfRule type="cellIs" dxfId="20" priority="70" stopIfTrue="1" operator="equal">
      <formula>1</formula>
    </cfRule>
  </conditionalFormatting>
  <conditionalFormatting sqref="G72:G73">
    <cfRule type="containsText" dxfId="19" priority="67" stopIfTrue="1" operator="containsText" text="Included in error count">
      <formula>NOT(ISERROR(SEARCH("Included in error count",G72)))</formula>
    </cfRule>
    <cfRule type="cellIs" dxfId="18" priority="68" stopIfTrue="1" operator="equal">
      <formula>1</formula>
    </cfRule>
  </conditionalFormatting>
  <conditionalFormatting sqref="G74">
    <cfRule type="containsText" dxfId="17" priority="65" stopIfTrue="1" operator="containsText" text="Included in error count">
      <formula>NOT(ISERROR(SEARCH("Included in error count",G74)))</formula>
    </cfRule>
    <cfRule type="cellIs" dxfId="16" priority="66" stopIfTrue="1" operator="equal">
      <formula>1</formula>
    </cfRule>
  </conditionalFormatting>
  <conditionalFormatting sqref="G83">
    <cfRule type="containsText" dxfId="15" priority="61" stopIfTrue="1" operator="containsText" text="Included in error count">
      <formula>NOT(ISERROR(SEARCH("Included in error count",G83)))</formula>
    </cfRule>
    <cfRule type="cellIs" dxfId="14" priority="62" stopIfTrue="1" operator="equal">
      <formula>1</formula>
    </cfRule>
  </conditionalFormatting>
  <conditionalFormatting sqref="G105">
    <cfRule type="containsText" dxfId="13" priority="57" stopIfTrue="1" operator="containsText" text="Included in error count">
      <formula>NOT(ISERROR(SEARCH("Included in error count",G105)))</formula>
    </cfRule>
    <cfRule type="cellIs" dxfId="12" priority="58" stopIfTrue="1" operator="equal">
      <formula>1</formula>
    </cfRule>
  </conditionalFormatting>
  <conditionalFormatting sqref="G184">
    <cfRule type="containsText" dxfId="11" priority="46" stopIfTrue="1" operator="containsText" text="Included in error count">
      <formula>NOT(ISERROR(SEARCH("Included in error count",G184)))</formula>
    </cfRule>
    <cfRule type="cellIs" dxfId="10" priority="47" stopIfTrue="1" operator="equal">
      <formula>1</formula>
    </cfRule>
  </conditionalFormatting>
  <conditionalFormatting sqref="G185">
    <cfRule type="containsText" dxfId="9" priority="44" stopIfTrue="1" operator="containsText" text="Included in error count">
      <formula>NOT(ISERROR(SEARCH("Included in error count",G185)))</formula>
    </cfRule>
    <cfRule type="cellIs" dxfId="8" priority="45" stopIfTrue="1" operator="equal">
      <formula>1</formula>
    </cfRule>
  </conditionalFormatting>
  <conditionalFormatting sqref="G186">
    <cfRule type="containsText" dxfId="7" priority="42" stopIfTrue="1" operator="containsText" text="Included in error count">
      <formula>NOT(ISERROR(SEARCH("Included in error count",G186)))</formula>
    </cfRule>
    <cfRule type="cellIs" dxfId="6" priority="43" stopIfTrue="1" operator="equal">
      <formula>1</formula>
    </cfRule>
  </conditionalFormatting>
  <conditionalFormatting sqref="G119">
    <cfRule type="containsText" dxfId="5" priority="40" stopIfTrue="1" operator="containsText" text="Included in error count">
      <formula>NOT(ISERROR(SEARCH("Included in error count",G119)))</formula>
    </cfRule>
    <cfRule type="cellIs" dxfId="4"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68" customFormat="1" x14ac:dyDescent="0.25"/>
    <row r="2" spans="1:8" ht="54.75" customHeight="1" x14ac:dyDescent="0.25">
      <c r="A2" s="976" t="s">
        <v>119</v>
      </c>
      <c r="B2" s="976"/>
      <c r="C2" s="976"/>
      <c r="D2" s="976"/>
      <c r="E2" s="976"/>
      <c r="F2" s="120"/>
      <c r="G2" s="120"/>
      <c r="H2" s="119"/>
    </row>
    <row r="3" spans="1:8" x14ac:dyDescent="0.25">
      <c r="A3" s="68"/>
      <c r="B3" s="68"/>
      <c r="C3" s="68"/>
      <c r="D3" s="68"/>
      <c r="E3" s="68"/>
      <c r="F3" s="68"/>
      <c r="G3" s="68"/>
      <c r="H3" s="68"/>
    </row>
    <row r="4" spans="1:8" ht="15.75" x14ac:dyDescent="0.25">
      <c r="A4" s="71"/>
      <c r="B4" s="72">
        <f>'Unit Data from Audit Worksheet'!D2</f>
        <v>0</v>
      </c>
      <c r="C4" s="73"/>
      <c r="D4" s="74"/>
      <c r="E4" s="75"/>
      <c r="F4" s="78">
        <f>'Unit Data from Audit Worksheet'!F5</f>
        <v>2020</v>
      </c>
      <c r="G4" s="71"/>
      <c r="H4" s="78">
        <f>'Unit Data from Audit Worksheet'!F5</f>
        <v>2020</v>
      </c>
    </row>
    <row r="5" spans="1:8" ht="38.25" x14ac:dyDescent="0.3">
      <c r="A5" s="76"/>
      <c r="B5" s="77" t="s">
        <v>79</v>
      </c>
      <c r="C5" s="76"/>
      <c r="D5" s="76"/>
      <c r="E5" s="76"/>
      <c r="F5" s="78" t="s">
        <v>80</v>
      </c>
      <c r="G5" s="76"/>
      <c r="H5" s="79" t="s">
        <v>81</v>
      </c>
    </row>
    <row r="6" spans="1:8" x14ac:dyDescent="0.25">
      <c r="A6" s="71"/>
      <c r="B6" s="80" t="s">
        <v>82</v>
      </c>
      <c r="C6" s="71"/>
      <c r="D6" s="81"/>
      <c r="E6" s="81"/>
      <c r="F6" s="81"/>
      <c r="G6" s="81"/>
      <c r="H6" s="81"/>
    </row>
    <row r="7" spans="1:8" x14ac:dyDescent="0.25">
      <c r="A7" s="71"/>
      <c r="B7" s="81" t="s">
        <v>83</v>
      </c>
      <c r="C7" s="71"/>
      <c r="D7" s="81"/>
      <c r="E7" s="81" t="s">
        <v>36</v>
      </c>
      <c r="F7" s="82">
        <f>IMPORT!L38</f>
        <v>0</v>
      </c>
      <c r="G7" s="83"/>
      <c r="H7" s="82">
        <f>F7</f>
        <v>0</v>
      </c>
    </row>
    <row r="8" spans="1:8" ht="44.25" customHeight="1" x14ac:dyDescent="0.25">
      <c r="A8" s="71"/>
      <c r="B8" s="973" t="s">
        <v>84</v>
      </c>
      <c r="C8" s="973"/>
      <c r="D8" s="973"/>
      <c r="E8" s="81" t="s">
        <v>36</v>
      </c>
      <c r="F8" s="84">
        <f>IMPORT!L39</f>
        <v>0</v>
      </c>
      <c r="G8" s="85"/>
      <c r="H8" s="85"/>
    </row>
    <row r="9" spans="1:8" x14ac:dyDescent="0.25">
      <c r="A9" s="71"/>
      <c r="B9" s="71"/>
      <c r="C9" s="81" t="s">
        <v>246</v>
      </c>
      <c r="D9" s="71"/>
      <c r="E9" s="81" t="s">
        <v>36</v>
      </c>
      <c r="F9" s="86">
        <f>IMPORT!L43</f>
        <v>0</v>
      </c>
      <c r="G9" s="85"/>
      <c r="H9" s="86">
        <f>F9</f>
        <v>0</v>
      </c>
    </row>
    <row r="10" spans="1:8" x14ac:dyDescent="0.25">
      <c r="A10" s="71"/>
      <c r="B10" s="71"/>
      <c r="C10" s="81" t="s">
        <v>85</v>
      </c>
      <c r="D10" s="71"/>
      <c r="E10" s="81" t="s">
        <v>36</v>
      </c>
      <c r="F10" s="86">
        <f>IMPORT!L177</f>
        <v>0</v>
      </c>
      <c r="G10" s="85"/>
      <c r="H10" s="86">
        <f>F10</f>
        <v>0</v>
      </c>
    </row>
    <row r="11" spans="1:8" x14ac:dyDescent="0.25">
      <c r="A11" s="71"/>
      <c r="B11" s="71"/>
      <c r="C11" s="81" t="s">
        <v>86</v>
      </c>
      <c r="D11" s="71"/>
      <c r="E11" s="81" t="s">
        <v>36</v>
      </c>
      <c r="F11" s="87">
        <f>IMPORT!L44</f>
        <v>0</v>
      </c>
      <c r="G11" s="88"/>
      <c r="H11" s="87">
        <f>F11</f>
        <v>0</v>
      </c>
    </row>
    <row r="12" spans="1:8" x14ac:dyDescent="0.25">
      <c r="A12" s="71"/>
      <c r="B12" s="89" t="s">
        <v>87</v>
      </c>
      <c r="C12" s="90" t="s">
        <v>88</v>
      </c>
      <c r="D12" s="91"/>
      <c r="E12" s="92" t="s">
        <v>36</v>
      </c>
      <c r="F12" s="93">
        <f>F7+F8-SUM(F9:F11)</f>
        <v>0</v>
      </c>
      <c r="G12" s="94"/>
      <c r="H12" s="93">
        <f>H7+H8-SUM(H9:H11)</f>
        <v>0</v>
      </c>
    </row>
    <row r="13" spans="1:8" x14ac:dyDescent="0.25">
      <c r="A13" s="71"/>
      <c r="B13" s="71"/>
      <c r="C13" s="81"/>
      <c r="D13" s="81"/>
      <c r="E13" s="81" t="s">
        <v>36</v>
      </c>
      <c r="F13" s="81"/>
      <c r="G13" s="81"/>
      <c r="H13" s="81"/>
    </row>
    <row r="14" spans="1:8" x14ac:dyDescent="0.25">
      <c r="A14" s="71"/>
      <c r="B14" s="81" t="s">
        <v>89</v>
      </c>
      <c r="C14" s="71"/>
      <c r="D14" s="81"/>
      <c r="E14" s="81" t="s">
        <v>36</v>
      </c>
      <c r="F14" s="95">
        <f>IMPORT!L51</f>
        <v>0</v>
      </c>
      <c r="G14" s="81"/>
      <c r="H14" s="81"/>
    </row>
    <row r="15" spans="1:8" x14ac:dyDescent="0.25">
      <c r="A15" s="71"/>
      <c r="B15" s="81" t="s">
        <v>90</v>
      </c>
      <c r="C15" s="71"/>
      <c r="D15" s="81"/>
      <c r="E15" s="81" t="s">
        <v>36</v>
      </c>
      <c r="F15" s="96">
        <f>F14-F12</f>
        <v>0</v>
      </c>
      <c r="G15" s="81"/>
      <c r="H15" s="81"/>
    </row>
    <row r="16" spans="1:8" x14ac:dyDescent="0.25">
      <c r="A16" s="71"/>
      <c r="B16" s="97" t="s">
        <v>91</v>
      </c>
      <c r="C16" s="71"/>
      <c r="D16" s="81"/>
      <c r="E16" s="81"/>
      <c r="F16" s="81"/>
      <c r="G16" s="81"/>
      <c r="H16" s="81"/>
    </row>
    <row r="17" spans="1:8" x14ac:dyDescent="0.25">
      <c r="A17" s="68"/>
      <c r="B17" s="98" t="s">
        <v>92</v>
      </c>
      <c r="C17" s="81" t="s">
        <v>93</v>
      </c>
      <c r="D17" s="71"/>
      <c r="E17" s="81" t="s">
        <v>36</v>
      </c>
      <c r="F17" s="99">
        <f>IMPORT!L47</f>
        <v>0</v>
      </c>
      <c r="G17" s="81"/>
      <c r="H17" s="81"/>
    </row>
    <row r="18" spans="1:8" ht="15.75" thickBot="1" x14ac:dyDescent="0.3">
      <c r="A18" s="68"/>
      <c r="B18" s="89" t="s">
        <v>87</v>
      </c>
      <c r="C18" s="90" t="s">
        <v>94</v>
      </c>
      <c r="D18" s="91"/>
      <c r="E18" s="92" t="s">
        <v>36</v>
      </c>
      <c r="F18" s="100">
        <f>(F15-SUM(F17:F17))</f>
        <v>0</v>
      </c>
      <c r="G18" s="81"/>
      <c r="H18" s="81"/>
    </row>
    <row r="19" spans="1:8" ht="15.75" thickTop="1" x14ac:dyDescent="0.25">
      <c r="A19" s="68"/>
      <c r="B19" s="71"/>
      <c r="C19" s="81"/>
      <c r="D19" s="81"/>
      <c r="E19" s="81"/>
      <c r="F19" s="81"/>
      <c r="G19" s="81"/>
      <c r="H19" s="81"/>
    </row>
    <row r="20" spans="1:8" ht="15.75" thickBot="1" x14ac:dyDescent="0.3">
      <c r="A20" s="68"/>
      <c r="B20" s="81" t="s">
        <v>95</v>
      </c>
      <c r="C20" s="71"/>
      <c r="D20" s="81"/>
      <c r="E20" s="81" t="s">
        <v>36</v>
      </c>
      <c r="F20" s="101">
        <f>IMPORT!L46</f>
        <v>0</v>
      </c>
      <c r="G20" s="81"/>
      <c r="H20" s="81"/>
    </row>
    <row r="21" spans="1:8" ht="16.5" thickTop="1" thickBot="1" x14ac:dyDescent="0.3">
      <c r="A21" s="68"/>
      <c r="B21" s="71"/>
      <c r="C21" s="102"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71"/>
      <c r="E21" s="81" t="s">
        <v>36</v>
      </c>
      <c r="F21" s="103">
        <f>ABS(F18-F20)</f>
        <v>0</v>
      </c>
      <c r="G21" s="81"/>
      <c r="H21" s="81"/>
    </row>
    <row r="22" spans="1:8" ht="50.25" customHeight="1" thickTop="1" x14ac:dyDescent="0.25">
      <c r="A22" s="68"/>
      <c r="B22" s="71"/>
      <c r="C22" s="974" t="str">
        <f>IF(F18&gt;F20,"Since Restricted-Stabilization by State Statute was understated, verfiy that the unit did not appropriate fund balance in excess of legal amount available in row 12 above.","")</f>
        <v/>
      </c>
      <c r="D22" s="974"/>
      <c r="E22" s="974"/>
      <c r="F22" s="974"/>
      <c r="G22" s="81"/>
      <c r="H22" s="81"/>
    </row>
    <row r="23" spans="1:8" x14ac:dyDescent="0.25">
      <c r="A23" s="68"/>
      <c r="B23" s="71"/>
      <c r="C23" s="975" t="s">
        <v>96</v>
      </c>
      <c r="D23" s="81"/>
      <c r="E23" s="81"/>
      <c r="F23" s="81"/>
      <c r="G23" s="81"/>
      <c r="H23" s="104" t="s">
        <v>97</v>
      </c>
    </row>
    <row r="24" spans="1:8" x14ac:dyDescent="0.25">
      <c r="A24" s="68"/>
      <c r="B24" s="71"/>
      <c r="C24" s="975"/>
      <c r="D24" s="81"/>
      <c r="E24" s="81"/>
      <c r="F24" s="78" t="s">
        <v>98</v>
      </c>
      <c r="G24" s="81"/>
      <c r="H24" s="78" t="s">
        <v>106</v>
      </c>
    </row>
    <row r="25" spans="1:8" x14ac:dyDescent="0.25">
      <c r="A25" s="68"/>
      <c r="B25" s="71"/>
      <c r="C25" s="80" t="s">
        <v>99</v>
      </c>
      <c r="D25" s="81"/>
      <c r="E25" s="81"/>
      <c r="F25" s="81"/>
      <c r="G25" s="81"/>
      <c r="H25" s="81"/>
    </row>
    <row r="26" spans="1:8" ht="25.15" customHeight="1" x14ac:dyDescent="0.25">
      <c r="A26" s="68"/>
      <c r="B26" s="71"/>
      <c r="C26" s="81" t="s">
        <v>100</v>
      </c>
      <c r="D26" s="81"/>
      <c r="E26" s="81" t="s">
        <v>36</v>
      </c>
      <c r="F26" s="82">
        <f>IMPORT!L56</f>
        <v>0</v>
      </c>
      <c r="G26" s="83"/>
      <c r="H26" s="105">
        <f>F26</f>
        <v>0</v>
      </c>
    </row>
    <row r="27" spans="1:8" x14ac:dyDescent="0.25">
      <c r="A27" s="68"/>
      <c r="B27" s="71"/>
      <c r="C27" s="98" t="s">
        <v>101</v>
      </c>
      <c r="D27" s="81"/>
      <c r="E27" s="81"/>
      <c r="F27" s="81"/>
      <c r="G27" s="81"/>
      <c r="H27" s="81"/>
    </row>
    <row r="28" spans="1:8" x14ac:dyDescent="0.25">
      <c r="A28" s="68"/>
      <c r="B28" s="71"/>
      <c r="C28" s="81" t="s">
        <v>102</v>
      </c>
      <c r="D28" s="71"/>
      <c r="E28" s="81" t="s">
        <v>36</v>
      </c>
      <c r="F28" s="115">
        <f>IMPORT!L58</f>
        <v>0</v>
      </c>
      <c r="G28" s="85"/>
      <c r="H28" s="106">
        <f>F28</f>
        <v>0</v>
      </c>
    </row>
    <row r="29" spans="1:8" x14ac:dyDescent="0.25">
      <c r="A29" s="68"/>
      <c r="B29" s="71"/>
      <c r="C29" s="81" t="s">
        <v>103</v>
      </c>
      <c r="D29" s="71"/>
      <c r="E29" s="81" t="s">
        <v>36</v>
      </c>
      <c r="F29" s="116">
        <f>IMPORT!L59+IMPORT!L60</f>
        <v>0</v>
      </c>
      <c r="G29" s="85"/>
      <c r="H29" s="107">
        <f>F29</f>
        <v>0</v>
      </c>
    </row>
    <row r="30" spans="1:8" ht="15.75" thickBot="1" x14ac:dyDescent="0.3">
      <c r="A30" s="68"/>
      <c r="B30" s="71"/>
      <c r="C30" s="81" t="s">
        <v>104</v>
      </c>
      <c r="D30" s="81"/>
      <c r="E30" s="81" t="s">
        <v>36</v>
      </c>
      <c r="F30" s="108">
        <f>SUM(F26:F28)-F29</f>
        <v>0</v>
      </c>
      <c r="G30" s="83"/>
      <c r="H30" s="108">
        <f>SUM(H26:H28)-H29</f>
        <v>0</v>
      </c>
    </row>
    <row r="31" spans="1:8" ht="15.75" thickTop="1" x14ac:dyDescent="0.25">
      <c r="A31" s="68"/>
      <c r="B31" s="71"/>
      <c r="C31" s="81"/>
      <c r="D31" s="81"/>
      <c r="E31" s="81"/>
      <c r="F31" s="81"/>
      <c r="G31" s="81"/>
      <c r="H31" s="81"/>
    </row>
    <row r="32" spans="1:8" ht="15.75" thickBot="1" x14ac:dyDescent="0.3">
      <c r="A32" s="68"/>
      <c r="B32" s="89" t="s">
        <v>87</v>
      </c>
      <c r="C32" s="102" t="s">
        <v>105</v>
      </c>
      <c r="D32" s="109"/>
      <c r="E32" s="102" t="s">
        <v>36</v>
      </c>
      <c r="F32" s="110" t="e">
        <f>F12/F30</f>
        <v>#DIV/0!</v>
      </c>
      <c r="G32" s="81"/>
      <c r="H32" s="110" t="e">
        <f>H12/H30</f>
        <v>#DIV/0!</v>
      </c>
    </row>
    <row r="33" spans="1:8" ht="15.75" thickTop="1" x14ac:dyDescent="0.25">
      <c r="A33" s="68"/>
      <c r="B33" s="68"/>
      <c r="C33" s="81"/>
      <c r="D33" s="81"/>
      <c r="E33" s="81"/>
      <c r="F33" s="81"/>
      <c r="G33" s="81"/>
      <c r="H33" s="81"/>
    </row>
    <row r="34" spans="1:8" ht="15.75" x14ac:dyDescent="0.25">
      <c r="A34" s="113"/>
      <c r="C34" s="112"/>
    </row>
    <row r="36" spans="1:8" x14ac:dyDescent="0.25">
      <c r="F36" s="114"/>
    </row>
    <row r="37" spans="1:8" x14ac:dyDescent="0.25">
      <c r="F37" s="111"/>
    </row>
    <row r="38" spans="1:8" x14ac:dyDescent="0.25">
      <c r="F38" s="111"/>
    </row>
    <row r="39" spans="1:8" x14ac:dyDescent="0.25">
      <c r="F39" s="111"/>
    </row>
    <row r="40" spans="1:8" x14ac:dyDescent="0.25">
      <c r="F40" s="111"/>
    </row>
    <row r="41" spans="1:8" x14ac:dyDescent="0.25">
      <c r="F41" s="111"/>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B3E5-E0E3-4F34-A696-12C41D1BBE55}">
  <dimension ref="A1:O55"/>
  <sheetViews>
    <sheetView workbookViewId="0">
      <selection activeCell="E6" sqref="E6"/>
    </sheetView>
  </sheetViews>
  <sheetFormatPr defaultRowHeight="15" x14ac:dyDescent="0.25"/>
  <cols>
    <col min="1" max="1" width="41.85546875" style="632" customWidth="1"/>
    <col min="2" max="2" width="2.140625" style="632" customWidth="1"/>
    <col min="3" max="5" width="20.7109375" style="632" customWidth="1"/>
    <col min="6" max="6" width="47.5703125" style="303" customWidth="1"/>
    <col min="7" max="7" width="46.28515625" style="632" customWidth="1"/>
    <col min="8" max="8" width="9.140625" style="632"/>
    <col min="9" max="9" width="14.42578125" style="632" customWidth="1"/>
    <col min="10" max="10" width="16.5703125" style="632" customWidth="1"/>
    <col min="11" max="16384" width="9.140625" style="632"/>
  </cols>
  <sheetData>
    <row r="1" spans="1:15" ht="20.25" customHeight="1" thickBot="1" x14ac:dyDescent="0.35">
      <c r="A1" s="977">
        <f>'Unit Data from Audit Worksheet'!D2</f>
        <v>0</v>
      </c>
      <c r="B1" s="978"/>
      <c r="C1" s="978"/>
      <c r="D1" s="979"/>
      <c r="F1" s="46" t="s">
        <v>953</v>
      </c>
      <c r="G1" s="384" t="s">
        <v>954</v>
      </c>
    </row>
    <row r="2" spans="1:15" ht="21.75" customHeight="1" thickBot="1" x14ac:dyDescent="0.35">
      <c r="A2" s="980" t="e">
        <f>'Unit Data from Audit Worksheet'!D3</f>
        <v>#N/A</v>
      </c>
      <c r="B2" s="981"/>
      <c r="C2" s="981"/>
      <c r="D2" s="982"/>
      <c r="E2" s="633"/>
    </row>
    <row r="3" spans="1:15" ht="141.75" customHeight="1" x14ac:dyDescent="0.25">
      <c r="A3" s="983" t="s">
        <v>1246</v>
      </c>
      <c r="B3" s="983"/>
      <c r="C3" s="983"/>
      <c r="D3" s="983"/>
      <c r="E3" s="983"/>
      <c r="F3" s="520"/>
      <c r="G3" s="883" t="s">
        <v>1218</v>
      </c>
    </row>
    <row r="4" spans="1:15" ht="77.25" customHeight="1" x14ac:dyDescent="0.35">
      <c r="A4" s="675"/>
      <c r="C4" s="521">
        <v>2018</v>
      </c>
      <c r="D4" s="521">
        <v>2019</v>
      </c>
      <c r="E4" s="521">
        <v>2020</v>
      </c>
      <c r="F4" s="882" t="s">
        <v>1247</v>
      </c>
      <c r="G4" s="522"/>
      <c r="H4" s="522"/>
      <c r="L4" s="522"/>
      <c r="M4" s="522"/>
      <c r="N4" s="522"/>
      <c r="O4" s="522"/>
    </row>
    <row r="5" spans="1:15" ht="33" customHeight="1" x14ac:dyDescent="0.3">
      <c r="A5" s="523" t="s">
        <v>858</v>
      </c>
      <c r="C5" s="46"/>
      <c r="D5" s="46"/>
      <c r="E5" s="46"/>
      <c r="F5" s="524"/>
      <c r="G5" s="524"/>
      <c r="H5" s="524"/>
      <c r="L5" s="524"/>
      <c r="M5" s="524"/>
      <c r="N5" s="524"/>
      <c r="O5" s="524"/>
    </row>
    <row r="6" spans="1:15" ht="33" customHeight="1" thickBot="1" x14ac:dyDescent="0.35">
      <c r="A6" s="525" t="s">
        <v>859</v>
      </c>
      <c r="C6" s="526"/>
      <c r="D6" s="526"/>
      <c r="E6" s="526"/>
      <c r="F6" s="524"/>
      <c r="G6"/>
      <c r="H6"/>
      <c r="I6"/>
      <c r="J6"/>
      <c r="K6"/>
      <c r="L6" s="524"/>
      <c r="M6" s="524"/>
      <c r="N6" s="524"/>
      <c r="O6" s="524"/>
    </row>
    <row r="7" spans="1:15" ht="78" customHeight="1" x14ac:dyDescent="0.25">
      <c r="A7" s="527" t="s">
        <v>860</v>
      </c>
      <c r="B7" s="528"/>
      <c r="C7" s="529" t="e">
        <f>HLOOKUP($A$2,'2018 Data(H)'!$E$2:$CB$299,286,FALSE)</f>
        <v>#N/A</v>
      </c>
      <c r="D7" s="529" t="e">
        <f>HLOOKUP($A$2,'2019 Data(H)'!$E$2:$CB$298,289,FALSE)</f>
        <v>#N/A</v>
      </c>
      <c r="E7" s="544">
        <f>(IMPORT!L38+IMPORT!L39-IMPORT!L43-IMPORT!L44-IMPORT!L177)+IMPORT!L65</f>
        <v>0</v>
      </c>
      <c r="F7" s="46" t="s">
        <v>928</v>
      </c>
      <c r="G7"/>
      <c r="H7"/>
      <c r="I7"/>
      <c r="J7"/>
      <c r="K7"/>
      <c r="L7" s="524"/>
      <c r="M7" s="524"/>
      <c r="N7" s="524"/>
      <c r="O7" s="524"/>
    </row>
    <row r="8" spans="1:15" ht="33" customHeight="1" x14ac:dyDescent="0.25">
      <c r="A8" s="531" t="s">
        <v>947</v>
      </c>
      <c r="B8" s="57"/>
      <c r="C8" s="532" t="e">
        <f>HLOOKUP($A$2,'2018 Data(H)'!$E$2:$CB$299,287,FALSE)</f>
        <v>#N/A</v>
      </c>
      <c r="D8" s="532" t="e">
        <f>HLOOKUP($A$2,'2019 Data(H)'!$E$2:$CB$298,290,FALSE)</f>
        <v>#N/A</v>
      </c>
      <c r="E8" s="710">
        <f>+IMPORT!L56+IMPORT!L58+IMPORT!L61-IMPORT!L60-IMPORT!L59</f>
        <v>0</v>
      </c>
      <c r="F8" s="533" t="s">
        <v>969</v>
      </c>
      <c r="G8"/>
      <c r="H8"/>
      <c r="I8"/>
      <c r="J8"/>
      <c r="K8"/>
      <c r="L8" s="524"/>
      <c r="M8" s="524"/>
      <c r="N8" s="524"/>
      <c r="O8" s="524"/>
    </row>
    <row r="9" spans="1:15" ht="58.5" customHeight="1" thickBot="1" x14ac:dyDescent="0.3">
      <c r="A9" s="711" t="s">
        <v>896</v>
      </c>
      <c r="B9" s="546"/>
      <c r="C9" s="831" t="e">
        <f>HLOOKUP($A$2,'2018 Data(H)'!$E$2:$CB$299,288,FALSE)</f>
        <v>#N/A</v>
      </c>
      <c r="D9" s="831" t="e">
        <f>HLOOKUP($A$2,'2019 Data(H)'!$E$2:$CB$292,291,FALSE)</f>
        <v>#N/A</v>
      </c>
      <c r="E9" s="673" t="e">
        <f>+E7/E8</f>
        <v>#DIV/0!</v>
      </c>
      <c r="F9" s="533" t="s">
        <v>970</v>
      </c>
      <c r="G9"/>
      <c r="H9"/>
      <c r="I9"/>
      <c r="J9"/>
      <c r="K9"/>
      <c r="L9" s="524"/>
      <c r="M9" s="524"/>
      <c r="N9" s="524"/>
      <c r="O9" s="524"/>
    </row>
    <row r="10" spans="1:15" ht="45.75" customHeight="1" x14ac:dyDescent="0.25">
      <c r="A10" s="535"/>
      <c r="B10" s="56"/>
      <c r="C10" s="536"/>
      <c r="D10" s="537"/>
      <c r="E10" s="537"/>
      <c r="F10" s="524"/>
      <c r="G10"/>
      <c r="H10"/>
      <c r="I10"/>
      <c r="J10"/>
      <c r="K10"/>
      <c r="L10" s="524"/>
      <c r="M10" s="524"/>
      <c r="N10" s="524"/>
      <c r="O10" s="524"/>
    </row>
    <row r="11" spans="1:15" ht="15" customHeight="1" x14ac:dyDescent="0.25">
      <c r="A11" s="538"/>
      <c r="B11" s="538"/>
      <c r="C11" s="539"/>
      <c r="D11" s="539"/>
      <c r="E11" s="539"/>
      <c r="F11" s="674"/>
      <c r="G11" s="541"/>
      <c r="H11" s="540"/>
      <c r="I11" s="540"/>
      <c r="J11" s="540"/>
      <c r="K11" s="540"/>
      <c r="L11" s="524"/>
      <c r="M11" s="524"/>
      <c r="N11" s="524"/>
      <c r="O11" s="524"/>
    </row>
    <row r="12" spans="1:15" ht="33" customHeight="1" thickBot="1" x14ac:dyDescent="0.35">
      <c r="A12" s="525" t="s">
        <v>868</v>
      </c>
      <c r="C12" s="526"/>
      <c r="D12" s="526"/>
      <c r="E12" s="526"/>
      <c r="F12" s="524"/>
      <c r="G12" s="542"/>
      <c r="H12" s="524"/>
      <c r="I12" s="524"/>
      <c r="J12" s="524"/>
      <c r="K12" s="524"/>
      <c r="L12" s="524"/>
      <c r="M12" s="524"/>
      <c r="N12" s="524"/>
      <c r="O12" s="524"/>
    </row>
    <row r="13" spans="1:15" ht="33" customHeight="1" x14ac:dyDescent="0.25">
      <c r="A13" s="543" t="s">
        <v>861</v>
      </c>
      <c r="B13" s="528"/>
      <c r="C13" s="529" t="e">
        <f>HLOOKUP($A$2,'2018 Data(H)'!$E$2:$CB$299,291,FALSE)</f>
        <v>#N/A</v>
      </c>
      <c r="D13" s="529" t="e">
        <f>HLOOKUP($A$2,'2019 Data(H)'!$E$2:$CB$298,294,FALSE)</f>
        <v>#N/A</v>
      </c>
      <c r="E13" s="544">
        <f>+IMPORT!L72-IMPORT!L71-IMPORT!L73-IMPORT!L70</f>
        <v>0</v>
      </c>
      <c r="F13" s="558" t="s">
        <v>1040</v>
      </c>
      <c r="G13" s="542"/>
      <c r="H13" s="524"/>
      <c r="I13" s="524"/>
      <c r="J13" s="524"/>
      <c r="K13" s="676"/>
      <c r="L13" s="524"/>
      <c r="M13" s="524"/>
      <c r="N13" s="524"/>
      <c r="O13" s="524"/>
    </row>
    <row r="14" spans="1:15" ht="33" customHeight="1" thickBot="1" x14ac:dyDescent="0.3">
      <c r="A14" s="545" t="s">
        <v>862</v>
      </c>
      <c r="B14" s="546"/>
      <c r="C14" s="532" t="e">
        <f>HLOOKUP($A$2,'2018 Data(H)'!$E$2:$CB$298,31,FALSE)</f>
        <v>#N/A</v>
      </c>
      <c r="D14" s="532" t="e">
        <f>HLOOKUP($A$2,'2019 Data(H)'!$E$2:$CB$298,31,FALSE)</f>
        <v>#N/A</v>
      </c>
      <c r="E14" s="559">
        <f>+IMPORT!L76-IMPORT!L77-IMPORT!L78-IMPORT!L79-IMPORT!L80-IMPORT!L81-IMPORT!L75</f>
        <v>0</v>
      </c>
      <c r="F14" s="713" t="s">
        <v>1042</v>
      </c>
      <c r="G14" s="542"/>
      <c r="H14" s="524"/>
      <c r="I14" s="524"/>
      <c r="J14" s="547"/>
      <c r="K14" s="524"/>
      <c r="L14" s="524"/>
      <c r="M14" s="524"/>
      <c r="N14" s="524"/>
      <c r="O14" s="524"/>
    </row>
    <row r="15" spans="1:15" ht="46.5" customHeight="1" thickBot="1" x14ac:dyDescent="0.3">
      <c r="A15" s="548" t="s">
        <v>849</v>
      </c>
      <c r="B15" s="534"/>
      <c r="C15" s="549" t="e">
        <f>C13/C14</f>
        <v>#N/A</v>
      </c>
      <c r="D15" s="549" t="e">
        <f>D13/D14</f>
        <v>#N/A</v>
      </c>
      <c r="E15" s="560" t="e">
        <f>E13/E14</f>
        <v>#DIV/0!</v>
      </c>
      <c r="F15" s="558" t="s">
        <v>1055</v>
      </c>
      <c r="G15" s="550" t="s">
        <v>900</v>
      </c>
      <c r="H15" s="558"/>
      <c r="I15" s="558"/>
      <c r="J15" s="712"/>
      <c r="K15" s="524"/>
      <c r="L15" s="524"/>
      <c r="M15" s="524"/>
      <c r="N15" s="524"/>
      <c r="O15" s="524"/>
    </row>
    <row r="16" spans="1:15" ht="17.25" customHeight="1" thickBot="1" x14ac:dyDescent="0.3">
      <c r="A16" s="633"/>
      <c r="B16" s="633"/>
      <c r="C16" s="551"/>
      <c r="D16" s="551"/>
      <c r="E16" s="551"/>
      <c r="F16" s="524"/>
      <c r="G16" s="542"/>
      <c r="H16" s="524"/>
      <c r="I16" s="524"/>
      <c r="J16" s="524"/>
      <c r="K16" s="524"/>
      <c r="L16" s="524"/>
      <c r="M16" s="524"/>
      <c r="N16" s="524"/>
      <c r="O16" s="524"/>
    </row>
    <row r="17" spans="1:15" ht="46.5" customHeight="1" x14ac:dyDescent="0.25">
      <c r="A17" s="543" t="s">
        <v>863</v>
      </c>
      <c r="B17" s="528"/>
      <c r="C17" s="529" t="e">
        <f>HLOOKUP($A$2,'2018 Data(H)'!$E$2:$CB$299,37,FALSE)</f>
        <v>#N/A</v>
      </c>
      <c r="D17" s="529" t="e">
        <f>HLOOKUP($A$2,'2019 Data(H)'!$E$2:$CB$298,37,FALSE)</f>
        <v>#N/A</v>
      </c>
      <c r="E17" s="530">
        <f>+IMPORT!L131</f>
        <v>0</v>
      </c>
      <c r="F17" s="533">
        <v>51</v>
      </c>
      <c r="G17" s="550" t="s">
        <v>901</v>
      </c>
      <c r="H17" s="524"/>
      <c r="I17" s="524"/>
      <c r="J17" s="524"/>
      <c r="K17" s="524"/>
      <c r="L17" s="524"/>
      <c r="M17" s="524"/>
      <c r="N17" s="524"/>
      <c r="O17" s="524"/>
    </row>
    <row r="18" spans="1:15" ht="33" customHeight="1" thickBot="1" x14ac:dyDescent="0.3">
      <c r="A18" s="545" t="s">
        <v>864</v>
      </c>
      <c r="B18" s="546"/>
      <c r="C18" s="532" t="e">
        <f>HLOOKUP($A$2,'2018 Data(H)'!$E$2:$CB$299,289,FALSE)</f>
        <v>#N/A</v>
      </c>
      <c r="D18" s="532" t="e">
        <f>HLOOKUP($A$2,'2019 Data(H)'!$E$2:$CB$298,292,FALSE)</f>
        <v>#N/A</v>
      </c>
      <c r="E18" s="613">
        <f>+IMPORT!L133+IMPORT!L108</f>
        <v>0</v>
      </c>
      <c r="F18" s="533" t="s">
        <v>948</v>
      </c>
      <c r="G18" s="542"/>
      <c r="H18" s="524"/>
      <c r="I18" s="524"/>
      <c r="J18" s="524"/>
      <c r="K18" s="524"/>
      <c r="L18" s="524"/>
      <c r="M18" s="524"/>
      <c r="N18" s="524"/>
      <c r="O18" s="524"/>
    </row>
    <row r="19" spans="1:15" ht="41.25" customHeight="1" thickBot="1" x14ac:dyDescent="0.3">
      <c r="A19" s="548" t="s">
        <v>865</v>
      </c>
      <c r="B19" s="534"/>
      <c r="C19" s="552" t="e">
        <f>C17-C18</f>
        <v>#N/A</v>
      </c>
      <c r="D19" s="552" t="e">
        <f>+D17-D18</f>
        <v>#N/A</v>
      </c>
      <c r="E19" s="614">
        <f>E17-E18</f>
        <v>0</v>
      </c>
      <c r="F19" s="533" t="s">
        <v>1039</v>
      </c>
      <c r="G19" s="553" t="s">
        <v>965</v>
      </c>
      <c r="H19" s="524"/>
      <c r="I19" s="524"/>
      <c r="J19" s="533"/>
      <c r="K19" s="524"/>
      <c r="L19" s="524"/>
      <c r="M19" s="524"/>
      <c r="N19" s="524"/>
      <c r="O19" s="524"/>
    </row>
    <row r="20" spans="1:15" ht="16.5" customHeight="1" x14ac:dyDescent="0.25">
      <c r="A20" s="554"/>
      <c r="B20" s="554"/>
      <c r="C20" s="555"/>
      <c r="D20" s="555"/>
      <c r="E20" s="555"/>
      <c r="F20" s="556"/>
      <c r="G20" s="557"/>
      <c r="H20" s="540"/>
      <c r="I20" s="540"/>
      <c r="J20" s="540"/>
      <c r="K20" s="540"/>
      <c r="L20" s="524"/>
      <c r="M20" s="524"/>
      <c r="N20" s="524"/>
      <c r="O20" s="524"/>
    </row>
    <row r="21" spans="1:15" ht="33" customHeight="1" thickBot="1" x14ac:dyDescent="0.35">
      <c r="A21" s="525" t="s">
        <v>867</v>
      </c>
      <c r="C21" s="526"/>
      <c r="D21" s="526"/>
      <c r="E21" s="526"/>
      <c r="F21" s="524"/>
      <c r="G21" s="558"/>
      <c r="H21" s="524"/>
      <c r="I21" s="524"/>
      <c r="J21" s="524"/>
      <c r="K21" s="524"/>
      <c r="L21" s="524"/>
      <c r="M21" s="524"/>
      <c r="N21" s="524"/>
      <c r="O21" s="524"/>
    </row>
    <row r="22" spans="1:15" ht="33" customHeight="1" x14ac:dyDescent="0.25">
      <c r="A22" s="543" t="s">
        <v>861</v>
      </c>
      <c r="B22" s="528"/>
      <c r="C22" s="529" t="e">
        <f>HLOOKUP($A$2,'2018 Data(H)'!$E$2:$CB$299,33,FALSE)-HLOOKUP($A$2,'2018 Data(H)'!$E$2:$CB$299,160,FALSE)</f>
        <v>#N/A</v>
      </c>
      <c r="D22" s="529" t="e">
        <f>HLOOKUP($A$2,'2019 Data(H)'!$E$2:$CB$298,33,FALSE)-HLOOKUP($A$2,'2019 Data(H)'!$E$2:$CB$298,160,FALSE)</f>
        <v>#N/A</v>
      </c>
      <c r="E22" s="544">
        <f>+IMPORT!L90-IMPORT!L89-IMPORT!L91-IMPORT!L88</f>
        <v>0</v>
      </c>
      <c r="F22" s="558" t="s">
        <v>1041</v>
      </c>
      <c r="G22" s="542"/>
      <c r="H22" s="524"/>
      <c r="I22" s="524"/>
      <c r="J22" s="524"/>
      <c r="K22" s="524"/>
      <c r="L22" s="524"/>
      <c r="M22" s="524"/>
      <c r="N22" s="524"/>
      <c r="O22" s="524"/>
    </row>
    <row r="23" spans="1:15" ht="33" customHeight="1" thickBot="1" x14ac:dyDescent="0.3">
      <c r="A23" s="545" t="s">
        <v>862</v>
      </c>
      <c r="B23" s="546"/>
      <c r="C23" s="532" t="e">
        <f>HLOOKUP($A$2,'2018 Data(H)'!$E$2:$CB$299,34,FALSE)</f>
        <v>#N/A</v>
      </c>
      <c r="D23" s="532" t="e">
        <f>HLOOKUP($A$2,'2019 Data(H)'!$E$2:$CB$298,34,FALSE)</f>
        <v>#N/A</v>
      </c>
      <c r="E23" s="559">
        <f>+IMPORT!L95-IMPORT!L96-IMPORT!L97-IMPORT!L98-IMPORT!L99-IMPORT!L100-IMPORT!L94</f>
        <v>0</v>
      </c>
      <c r="F23" s="713" t="s">
        <v>987</v>
      </c>
      <c r="G23" s="542"/>
      <c r="H23" s="524"/>
      <c r="I23" s="524"/>
      <c r="J23" s="533"/>
      <c r="K23" s="524"/>
      <c r="L23" s="524"/>
      <c r="M23" s="524"/>
      <c r="N23" s="524"/>
      <c r="O23" s="524"/>
    </row>
    <row r="24" spans="1:15" ht="41.25" customHeight="1" thickBot="1" x14ac:dyDescent="0.3">
      <c r="A24" s="548" t="s">
        <v>849</v>
      </c>
      <c r="B24" s="534"/>
      <c r="C24" s="549" t="e">
        <f>C22/C23</f>
        <v>#N/A</v>
      </c>
      <c r="D24" s="549" t="e">
        <f>D22/D23</f>
        <v>#N/A</v>
      </c>
      <c r="E24" s="560" t="e">
        <f>E22/E23</f>
        <v>#DIV/0!</v>
      </c>
      <c r="F24" s="558" t="s">
        <v>1056</v>
      </c>
      <c r="G24" s="550" t="s">
        <v>900</v>
      </c>
      <c r="H24" s="558"/>
      <c r="I24" s="558"/>
      <c r="J24" s="558"/>
      <c r="K24" s="524"/>
      <c r="L24" s="524"/>
      <c r="M24" s="524"/>
      <c r="N24" s="524"/>
      <c r="O24" s="524"/>
    </row>
    <row r="25" spans="1:15" ht="17.25" customHeight="1" thickBot="1" x14ac:dyDescent="0.3">
      <c r="A25" s="633"/>
      <c r="B25" s="633"/>
      <c r="C25" s="551"/>
      <c r="D25" s="551"/>
      <c r="E25" s="551"/>
      <c r="F25" s="524"/>
      <c r="G25" s="542"/>
      <c r="H25" s="524"/>
      <c r="I25" s="524"/>
      <c r="J25" s="524"/>
      <c r="K25" s="524"/>
      <c r="L25" s="524"/>
      <c r="M25" s="524"/>
      <c r="N25" s="524"/>
      <c r="O25" s="524"/>
    </row>
    <row r="26" spans="1:15" ht="48.75" customHeight="1" x14ac:dyDescent="0.25">
      <c r="A26" s="543" t="s">
        <v>863</v>
      </c>
      <c r="B26" s="528"/>
      <c r="C26" s="529" t="e">
        <f>HLOOKUP($A$2,'2018 Data(H)'!$E$2:$CB$299,41,FALSE)</f>
        <v>#N/A</v>
      </c>
      <c r="D26" s="529" t="e">
        <f>HLOOKUP($A$2,'2019 Data(H)'!$E$2:$CB$298,41,FALSE)</f>
        <v>#N/A</v>
      </c>
      <c r="E26" s="530">
        <f>+IMPORT!L134</f>
        <v>0</v>
      </c>
      <c r="F26" s="533">
        <v>55</v>
      </c>
      <c r="G26" s="550" t="s">
        <v>901</v>
      </c>
      <c r="H26" s="524"/>
      <c r="I26" s="524"/>
      <c r="J26" s="524"/>
      <c r="K26" s="524"/>
      <c r="L26" s="524"/>
      <c r="M26" s="524"/>
      <c r="N26" s="524"/>
      <c r="O26" s="524"/>
    </row>
    <row r="27" spans="1:15" ht="33" customHeight="1" thickBot="1" x14ac:dyDescent="0.3">
      <c r="A27" s="545" t="s">
        <v>864</v>
      </c>
      <c r="B27" s="546"/>
      <c r="C27" s="532" t="e">
        <f>HLOOKUP($A$2,'2018 Data(H)'!$E$2:$CB$299,290,FALSE)</f>
        <v>#N/A</v>
      </c>
      <c r="D27" s="532" t="e">
        <f>HLOOKUP($A$2,'2019 Data(H)'!$E$2:$CB$298,293,FALSE)</f>
        <v>#N/A</v>
      </c>
      <c r="E27" s="613">
        <f>+IMPORT!L136+IMPORT!L123</f>
        <v>0</v>
      </c>
      <c r="F27" s="533" t="s">
        <v>941</v>
      </c>
      <c r="G27" s="542"/>
      <c r="H27" s="524"/>
      <c r="I27" s="524"/>
      <c r="J27" s="524"/>
      <c r="K27" s="524"/>
      <c r="L27" s="524"/>
      <c r="M27" s="524"/>
      <c r="N27" s="524"/>
      <c r="O27" s="524"/>
    </row>
    <row r="28" spans="1:15" ht="33" customHeight="1" thickBot="1" x14ac:dyDescent="0.3">
      <c r="A28" s="548" t="s">
        <v>865</v>
      </c>
      <c r="B28" s="534"/>
      <c r="C28" s="552" t="e">
        <f>C26-C27</f>
        <v>#N/A</v>
      </c>
      <c r="D28" s="552" t="e">
        <f>D26-D27</f>
        <v>#N/A</v>
      </c>
      <c r="E28" s="614">
        <f>E26-E27</f>
        <v>0</v>
      </c>
      <c r="F28" s="533" t="s">
        <v>942</v>
      </c>
      <c r="G28" s="553" t="s">
        <v>965</v>
      </c>
      <c r="H28" s="524"/>
      <c r="I28" s="524"/>
      <c r="J28" s="524"/>
      <c r="K28" s="524"/>
      <c r="L28" s="524"/>
      <c r="M28" s="524"/>
      <c r="N28" s="524"/>
      <c r="O28" s="524"/>
    </row>
    <row r="29" spans="1:15" ht="10.5" customHeight="1" x14ac:dyDescent="0.25">
      <c r="A29" s="200"/>
      <c r="B29" s="200"/>
      <c r="C29" s="561"/>
      <c r="D29" s="561"/>
      <c r="E29" s="561"/>
      <c r="F29" s="524"/>
      <c r="G29" s="728"/>
      <c r="H29" s="524"/>
      <c r="I29" s="524"/>
      <c r="J29" s="524"/>
      <c r="K29" s="524"/>
      <c r="L29" s="524"/>
      <c r="M29" s="524"/>
      <c r="N29" s="524"/>
      <c r="O29" s="524"/>
    </row>
    <row r="30" spans="1:15" ht="33" customHeight="1" x14ac:dyDescent="0.25">
      <c r="A30" s="56"/>
      <c r="B30" s="57"/>
      <c r="C30" s="562"/>
      <c r="D30" s="562"/>
      <c r="E30" s="562"/>
      <c r="F30" s="524"/>
      <c r="G30" s="524"/>
      <c r="H30" s="524"/>
      <c r="I30" s="524"/>
      <c r="J30" s="524"/>
      <c r="K30" s="524"/>
      <c r="L30" s="524"/>
      <c r="M30" s="524"/>
      <c r="N30" s="524"/>
      <c r="O30" s="524"/>
    </row>
    <row r="31" spans="1:15" ht="82.5" customHeight="1" x14ac:dyDescent="0.35">
      <c r="A31" s="523" t="s">
        <v>866</v>
      </c>
      <c r="B31" s="57"/>
      <c r="C31" s="521">
        <v>2018</v>
      </c>
      <c r="D31" s="521">
        <v>2019</v>
      </c>
      <c r="E31" s="521">
        <v>2020</v>
      </c>
      <c r="F31" s="44"/>
      <c r="G31" s="524"/>
      <c r="H31" s="524"/>
      <c r="I31" s="524"/>
      <c r="J31" s="524"/>
      <c r="K31" s="524"/>
      <c r="L31" s="524"/>
      <c r="M31" s="524"/>
      <c r="N31" s="524"/>
      <c r="O31" s="524"/>
    </row>
    <row r="32" spans="1:15" ht="18.75" x14ac:dyDescent="0.3">
      <c r="A32" s="563" t="s">
        <v>842</v>
      </c>
    </row>
    <row r="33" spans="1:12" x14ac:dyDescent="0.25">
      <c r="A33" s="22" t="s">
        <v>847</v>
      </c>
      <c r="C33" s="564" t="e">
        <f>HLOOKUP($A$2,'2018 Data(H)'!$E$2:$CB$297,155,FALSE)+HLOOKUP($A$2,'2018 Data(H)'!$E$2:$CB$297,185,FALSE)</f>
        <v>#N/A</v>
      </c>
      <c r="D33" s="564" t="e">
        <f>HLOOKUP($A$2,'2019 Data(H)'!$E$2:$CB$297,155,FALSE)+HLOOKUP($A$2,'2019 Data(H)'!$E$2:$CB$297,185,FALSE)</f>
        <v>#N/A</v>
      </c>
      <c r="E33" s="565">
        <f>+IMPORT!L38+IMPORT!L39</f>
        <v>0</v>
      </c>
      <c r="F33" s="566" t="s">
        <v>850</v>
      </c>
      <c r="G33" s="303"/>
      <c r="H33" s="567"/>
      <c r="I33" s="567"/>
      <c r="J33" s="303"/>
      <c r="K33" s="303"/>
      <c r="L33" s="303"/>
    </row>
    <row r="34" spans="1:12" x14ac:dyDescent="0.25">
      <c r="A34" s="22" t="s">
        <v>848</v>
      </c>
      <c r="C34" s="564" t="e">
        <f>HLOOKUP($A$2,'2018 Data(H)'!$E$2:$CB$297,6,FALSE)</f>
        <v>#N/A</v>
      </c>
      <c r="D34" s="564" t="e">
        <f>HLOOKUP($A$2,'2019 Data(H)'!$E$2:$CB$297,6,FALSE)</f>
        <v>#N/A</v>
      </c>
      <c r="E34" s="565">
        <f>+IMPORT!L51</f>
        <v>0</v>
      </c>
      <c r="F34" s="303">
        <v>9</v>
      </c>
      <c r="G34" s="303"/>
      <c r="H34" s="303"/>
      <c r="I34" s="303"/>
      <c r="J34" s="303"/>
      <c r="K34" s="303"/>
      <c r="L34" s="303"/>
    </row>
    <row r="35" spans="1:12" x14ac:dyDescent="0.25">
      <c r="A35" s="632" t="s">
        <v>841</v>
      </c>
      <c r="C35" s="564" t="e">
        <f>HLOOKUP($A$2,'2018 Data(H)'!$E$2:$CB$297,11,FALSE)</f>
        <v>#N/A</v>
      </c>
      <c r="D35" s="564" t="e">
        <f>HLOOKUP($A$2,'2019 Data(H)'!$E$2:$CB$297,11,FALSE)</f>
        <v>#N/A</v>
      </c>
      <c r="E35" s="565">
        <f>+IMPORT!L54</f>
        <v>0</v>
      </c>
      <c r="F35" s="303">
        <v>16</v>
      </c>
      <c r="G35" s="303"/>
      <c r="H35" s="303"/>
      <c r="I35" s="303"/>
      <c r="J35" s="303"/>
      <c r="K35" s="303"/>
      <c r="L35" s="303"/>
    </row>
    <row r="36" spans="1:12" x14ac:dyDescent="0.25">
      <c r="A36" s="632" t="s">
        <v>843</v>
      </c>
      <c r="C36" s="564" t="e">
        <f>HLOOKUP($A$2,'2018 Data(H)'!$E$2:$CB$297,181,FALSE)</f>
        <v>#N/A</v>
      </c>
      <c r="D36" s="564" t="e">
        <f>HLOOKUP($A$2,'2019 Data(H)'!$E$2:$CB$297,181,FALSE)</f>
        <v>#N/A</v>
      </c>
      <c r="E36" s="565">
        <f>+IMPORT!L56</f>
        <v>0</v>
      </c>
      <c r="F36" s="303">
        <v>532</v>
      </c>
      <c r="G36" s="303"/>
      <c r="H36" s="303"/>
      <c r="I36" s="303"/>
      <c r="J36" s="303"/>
      <c r="K36" s="303"/>
      <c r="L36" s="303"/>
    </row>
    <row r="37" spans="1:12" x14ac:dyDescent="0.25">
      <c r="A37" s="632" t="s">
        <v>845</v>
      </c>
      <c r="C37" s="564" t="e">
        <f>HLOOKUP($A$2,'2018 Data(H)'!$E$2:$CB$297,12,FALSE)</f>
        <v>#N/A</v>
      </c>
      <c r="D37" s="564" t="e">
        <f>HLOOKUP($A$2,'2019 Data(H)'!$E$2:$CB$297,12,FALSE)</f>
        <v>#N/A</v>
      </c>
      <c r="E37" s="565">
        <f>+IMPORT!L57</f>
        <v>0</v>
      </c>
      <c r="F37" s="303">
        <v>17</v>
      </c>
      <c r="G37" s="303"/>
      <c r="H37" s="303"/>
      <c r="I37" s="303"/>
      <c r="J37" s="303"/>
      <c r="K37" s="303"/>
      <c r="L37" s="303"/>
    </row>
    <row r="38" spans="1:12" x14ac:dyDescent="0.25">
      <c r="A38" s="632" t="s">
        <v>846</v>
      </c>
      <c r="C38" s="564" t="e">
        <f>HLOOKUP($A$2,'2018 Data(H)'!$E$2:$CB$297,14,FALSE)</f>
        <v>#N/A</v>
      </c>
      <c r="D38" s="564" t="e">
        <f>HLOOKUP($A$2,'2019 Data(H)'!$E$2:$CB$297,14,FALSE)</f>
        <v>#N/A</v>
      </c>
      <c r="E38" s="565">
        <f>+IMPORT!L58</f>
        <v>0</v>
      </c>
      <c r="F38" s="303">
        <v>20</v>
      </c>
      <c r="G38" s="303"/>
      <c r="H38" s="303"/>
      <c r="I38" s="303"/>
      <c r="J38" s="303"/>
      <c r="K38" s="303"/>
      <c r="L38" s="303"/>
    </row>
    <row r="39" spans="1:12" x14ac:dyDescent="0.25">
      <c r="A39" s="632" t="s">
        <v>844</v>
      </c>
      <c r="C39" s="564" t="e">
        <f>HLOOKUP($A$2,'2018 Data(H)'!$E$2:$CB$297,17,FALSE)</f>
        <v>#N/A</v>
      </c>
      <c r="D39" s="564" t="e">
        <f>HLOOKUP($A$2,'2019 Data(H)'!$E$2:$CB$297,17,FALSE)</f>
        <v>#N/A</v>
      </c>
      <c r="E39" s="565">
        <f>+IMPORT!L63</f>
        <v>0</v>
      </c>
      <c r="F39" s="303">
        <v>23</v>
      </c>
      <c r="G39" s="303"/>
      <c r="H39" s="303"/>
      <c r="I39" s="303"/>
      <c r="J39" s="303"/>
      <c r="K39" s="303"/>
      <c r="L39" s="303"/>
    </row>
    <row r="40" spans="1:12" x14ac:dyDescent="0.25">
      <c r="C40" s="568"/>
      <c r="D40" s="568"/>
      <c r="E40" s="565"/>
    </row>
    <row r="41" spans="1:12" x14ac:dyDescent="0.25">
      <c r="C41" s="568"/>
      <c r="D41" s="568"/>
      <c r="E41" s="565"/>
    </row>
    <row r="42" spans="1:12" ht="18.75" x14ac:dyDescent="0.3">
      <c r="A42" s="563" t="s">
        <v>852</v>
      </c>
      <c r="C42" s="568"/>
      <c r="D42" s="568"/>
      <c r="E42" s="565"/>
    </row>
    <row r="43" spans="1:12" x14ac:dyDescent="0.25">
      <c r="A43" s="22" t="s">
        <v>853</v>
      </c>
      <c r="C43" s="564" t="e">
        <f>HLOOKUP($A$2,'2018 Data(H)'!$E$2:$CB$297,47,FALSE)</f>
        <v>#N/A</v>
      </c>
      <c r="D43" s="564" t="e">
        <f>HLOOKUP($A$2,'2019 Data(H)'!$E$2:$CB$297,47,FALSE)</f>
        <v>#N/A</v>
      </c>
      <c r="E43" s="615">
        <f>+IMPORT!L105</f>
        <v>0</v>
      </c>
      <c r="F43" s="303">
        <v>84</v>
      </c>
    </row>
    <row r="44" spans="1:12" x14ac:dyDescent="0.25">
      <c r="A44" s="22" t="s">
        <v>854</v>
      </c>
      <c r="C44" s="564" t="e">
        <f>HLOOKUP($A$2,'2018 Data(H)'!$E$2:$CB$297,48,FALSE)</f>
        <v>#N/A</v>
      </c>
      <c r="D44" s="564" t="e">
        <f>HLOOKUP($A$2,'2019 Data(H)'!$E$2:$CB$297,48,FALSE)</f>
        <v>#N/A</v>
      </c>
      <c r="E44" s="615">
        <f>+IMPORT!L107</f>
        <v>0</v>
      </c>
      <c r="F44" s="303">
        <v>85</v>
      </c>
    </row>
    <row r="45" spans="1:12" x14ac:dyDescent="0.25">
      <c r="A45" s="22" t="s">
        <v>855</v>
      </c>
      <c r="C45" s="564" t="e">
        <f>C43-C44</f>
        <v>#N/A</v>
      </c>
      <c r="D45" s="564" t="e">
        <f>+D43-D44</f>
        <v>#N/A</v>
      </c>
      <c r="E45" s="615">
        <f>+E43-E44</f>
        <v>0</v>
      </c>
      <c r="F45" s="303" t="s">
        <v>856</v>
      </c>
    </row>
    <row r="46" spans="1:12" x14ac:dyDescent="0.25">
      <c r="A46" s="22" t="s">
        <v>966</v>
      </c>
      <c r="C46" s="878" t="e">
        <f>HLOOKUP($A$2,'2018 Data(H)'!$E$2:$CB$297,292,FALSE)</f>
        <v>#N/A</v>
      </c>
      <c r="D46" s="878" t="e">
        <f>HLOOKUP($A$2,'2019 Data(H)'!$E$2:$CB$297,295,FALSE)</f>
        <v>#N/A</v>
      </c>
      <c r="E46" s="878" t="e">
        <f>+IMPORT!L69*365/IMPORT!L104</f>
        <v>#DIV/0!</v>
      </c>
      <c r="F46" s="303" t="s">
        <v>951</v>
      </c>
      <c r="G46" s="569"/>
    </row>
    <row r="47" spans="1:12" x14ac:dyDescent="0.25">
      <c r="C47" s="568"/>
      <c r="D47" s="568"/>
      <c r="E47" s="565"/>
    </row>
    <row r="48" spans="1:12" ht="18.75" x14ac:dyDescent="0.3">
      <c r="A48" s="563" t="s">
        <v>851</v>
      </c>
      <c r="C48" s="568"/>
      <c r="D48" s="568"/>
      <c r="E48" s="565"/>
    </row>
    <row r="49" spans="1:7" x14ac:dyDescent="0.25">
      <c r="A49" s="22" t="s">
        <v>853</v>
      </c>
      <c r="C49" s="564" t="e">
        <f>HLOOKUP($A$2,'2018 Data(H)'!$E$2:$CB$297,54,FALSE)</f>
        <v>#N/A</v>
      </c>
      <c r="D49" s="564" t="e">
        <f>HLOOKUP($A$2,'2019 Data(H)'!$E$2:$CB$297,54,FALSE)</f>
        <v>#N/A</v>
      </c>
      <c r="E49" s="565">
        <f>+IMPORT!L119</f>
        <v>0</v>
      </c>
      <c r="F49" s="303">
        <v>93</v>
      </c>
    </row>
    <row r="50" spans="1:7" x14ac:dyDescent="0.25">
      <c r="A50" s="22" t="s">
        <v>854</v>
      </c>
      <c r="C50" s="564" t="e">
        <f>HLOOKUP($A$2,'2018 Data(H)'!$E$2:$CB$297,55,FALSE)</f>
        <v>#N/A</v>
      </c>
      <c r="D50" s="564" t="e">
        <f>HLOOKUP($A$2,'2019 Data(H)'!$E$2:$CB$297,55,FALSE)</f>
        <v>#N/A</v>
      </c>
      <c r="E50" s="565">
        <f>+IMPORT!L122</f>
        <v>0</v>
      </c>
      <c r="F50" s="303">
        <v>94</v>
      </c>
    </row>
    <row r="51" spans="1:7" x14ac:dyDescent="0.25">
      <c r="A51" s="22" t="s">
        <v>855</v>
      </c>
      <c r="C51" s="564" t="e">
        <f>+C49-C50</f>
        <v>#N/A</v>
      </c>
      <c r="D51" s="564" t="e">
        <f>+D49-D50</f>
        <v>#N/A</v>
      </c>
      <c r="E51" s="565">
        <f>+E49-E50</f>
        <v>0</v>
      </c>
      <c r="F51" s="303" t="s">
        <v>857</v>
      </c>
    </row>
    <row r="52" spans="1:7" x14ac:dyDescent="0.25">
      <c r="A52" s="22" t="s">
        <v>966</v>
      </c>
      <c r="C52" s="878" t="e">
        <f>HLOOKUP($A$2,'2018 Data(H)'!$E$2:$CB$297,293,FALSE)</f>
        <v>#N/A</v>
      </c>
      <c r="D52" s="878" t="e">
        <f>HLOOKUP($A$2,'2019 Data(H)'!$E$2:$CB$297,296,FALSE)</f>
        <v>#N/A</v>
      </c>
      <c r="E52" s="879" t="e">
        <f>+IMPORT!L87*365/IMPORT!L118</f>
        <v>#DIV/0!</v>
      </c>
      <c r="F52" s="303" t="s">
        <v>952</v>
      </c>
      <c r="G52" s="569"/>
    </row>
    <row r="55" spans="1:7" ht="14.25" customHeight="1" x14ac:dyDescent="0.25">
      <c r="A55" s="3"/>
      <c r="B55" s="3"/>
      <c r="C55" s="3"/>
      <c r="D55" s="3"/>
      <c r="E55" s="3"/>
      <c r="F55" s="3"/>
    </row>
  </sheetData>
  <sheetProtection password="CEAA" sheet="1" objects="1" scenarios="1"/>
  <mergeCells count="3">
    <mergeCell ref="A1:D1"/>
    <mergeCell ref="A2:D2"/>
    <mergeCell ref="A3:E3"/>
  </mergeCells>
  <phoneticPr fontId="9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RowHeight="15" x14ac:dyDescent="0.25"/>
  <cols>
    <col min="1" max="1" width="36.7109375" style="656" customWidth="1"/>
    <col min="2" max="2" width="12.7109375" style="656" customWidth="1"/>
    <col min="3" max="3" width="57.5703125" style="656" customWidth="1"/>
    <col min="4" max="4" width="35" style="656" customWidth="1"/>
    <col min="5" max="5" width="66.7109375" style="678" customWidth="1"/>
    <col min="6" max="6" width="2.140625" style="678" customWidth="1"/>
    <col min="7" max="7" width="9.140625" style="656"/>
    <col min="8" max="8" width="34.28515625" style="656" customWidth="1"/>
    <col min="9" max="16384" width="9.140625" style="656"/>
  </cols>
  <sheetData>
    <row r="1" spans="1:7" s="654" customFormat="1" ht="63.75" customHeight="1" x14ac:dyDescent="0.3">
      <c r="B1" s="984" t="s">
        <v>1070</v>
      </c>
      <c r="C1" s="984"/>
      <c r="D1" s="984"/>
      <c r="E1" s="984"/>
      <c r="F1" s="722"/>
    </row>
    <row r="2" spans="1:7" ht="30" x14ac:dyDescent="0.25">
      <c r="B2" s="678" t="s">
        <v>1057</v>
      </c>
      <c r="C2" s="373" t="s">
        <v>1058</v>
      </c>
      <c r="D2" s="373" t="s">
        <v>971</v>
      </c>
      <c r="E2" s="678" t="s">
        <v>972</v>
      </c>
      <c r="G2" s="678"/>
    </row>
    <row r="3" spans="1:7" x14ac:dyDescent="0.25">
      <c r="B3" s="678"/>
      <c r="C3" s="373"/>
      <c r="D3" s="373"/>
      <c r="G3" s="678"/>
    </row>
    <row r="4" spans="1:7" ht="136.5" x14ac:dyDescent="0.35">
      <c r="A4" s="653" t="s">
        <v>1059</v>
      </c>
      <c r="B4" s="651">
        <v>336</v>
      </c>
      <c r="C4" s="723" t="s">
        <v>1060</v>
      </c>
      <c r="D4" s="723" t="s">
        <v>1061</v>
      </c>
      <c r="G4" s="678"/>
    </row>
    <row r="5" spans="1:7" x14ac:dyDescent="0.25">
      <c r="D5" s="715">
        <v>626</v>
      </c>
      <c r="E5" s="716" t="s">
        <v>975</v>
      </c>
      <c r="G5" s="678"/>
    </row>
    <row r="6" spans="1:7" x14ac:dyDescent="0.25">
      <c r="D6" s="715">
        <v>627</v>
      </c>
      <c r="E6" s="716" t="s">
        <v>976</v>
      </c>
      <c r="G6" s="678"/>
    </row>
    <row r="7" spans="1:7" x14ac:dyDescent="0.25">
      <c r="D7" s="715">
        <v>628</v>
      </c>
      <c r="E7" s="716" t="s">
        <v>977</v>
      </c>
      <c r="G7" s="678"/>
    </row>
    <row r="8" spans="1:7" x14ac:dyDescent="0.25">
      <c r="D8" s="715">
        <v>629</v>
      </c>
      <c r="E8" s="716" t="s">
        <v>978</v>
      </c>
      <c r="G8" s="678"/>
    </row>
    <row r="9" spans="1:7" x14ac:dyDescent="0.25">
      <c r="D9" s="715">
        <v>630</v>
      </c>
      <c r="E9" s="716" t="s">
        <v>979</v>
      </c>
      <c r="G9" s="678"/>
    </row>
    <row r="10" spans="1:7" x14ac:dyDescent="0.25">
      <c r="D10" s="715">
        <v>631</v>
      </c>
      <c r="E10" s="716" t="s">
        <v>980</v>
      </c>
      <c r="G10" s="678"/>
    </row>
    <row r="11" spans="1:7" x14ac:dyDescent="0.25">
      <c r="G11" s="678"/>
    </row>
    <row r="12" spans="1:7" ht="90" x14ac:dyDescent="0.35">
      <c r="A12" s="651" t="s">
        <v>981</v>
      </c>
      <c r="C12" s="656" t="s">
        <v>982</v>
      </c>
      <c r="D12" s="715">
        <v>647</v>
      </c>
      <c r="E12" s="717" t="s">
        <v>983</v>
      </c>
      <c r="G12" s="678"/>
    </row>
    <row r="13" spans="1:7" ht="21" x14ac:dyDescent="0.35">
      <c r="A13" s="651"/>
      <c r="D13" s="715"/>
      <c r="E13" s="717"/>
      <c r="G13" s="678"/>
    </row>
    <row r="14" spans="1:7" ht="61.5" x14ac:dyDescent="0.35">
      <c r="A14" s="653" t="s">
        <v>1062</v>
      </c>
      <c r="B14" s="651">
        <v>44</v>
      </c>
      <c r="C14" s="678" t="s">
        <v>973</v>
      </c>
      <c r="D14" s="724" t="s">
        <v>1063</v>
      </c>
    </row>
    <row r="15" spans="1:7" x14ac:dyDescent="0.25">
      <c r="D15" s="656">
        <v>654</v>
      </c>
      <c r="E15" s="678" t="s">
        <v>974</v>
      </c>
    </row>
    <row r="16" spans="1:7" ht="30" x14ac:dyDescent="0.25">
      <c r="D16" s="656">
        <v>655</v>
      </c>
      <c r="E16" s="678" t="s">
        <v>1064</v>
      </c>
    </row>
    <row r="17" spans="1:6" ht="45" x14ac:dyDescent="0.25">
      <c r="D17" s="656">
        <v>579</v>
      </c>
      <c r="E17" s="718" t="s">
        <v>657</v>
      </c>
    </row>
    <row r="18" spans="1:6" x14ac:dyDescent="0.25">
      <c r="D18" s="656">
        <v>510</v>
      </c>
      <c r="E18" s="716" t="s">
        <v>615</v>
      </c>
    </row>
    <row r="21" spans="1:6" ht="196.5" x14ac:dyDescent="0.35">
      <c r="A21" s="653" t="s">
        <v>1065</v>
      </c>
      <c r="B21" s="651">
        <v>45</v>
      </c>
      <c r="C21" s="678" t="s">
        <v>984</v>
      </c>
      <c r="D21" s="656" t="s">
        <v>985</v>
      </c>
    </row>
    <row r="22" spans="1:6" x14ac:dyDescent="0.25">
      <c r="D22" s="715">
        <v>633</v>
      </c>
      <c r="E22" s="716" t="s">
        <v>879</v>
      </c>
      <c r="F22" s="716"/>
    </row>
    <row r="23" spans="1:6" x14ac:dyDescent="0.25">
      <c r="D23" s="715">
        <v>634</v>
      </c>
      <c r="E23" s="716" t="s">
        <v>880</v>
      </c>
      <c r="F23" s="716"/>
    </row>
    <row r="24" spans="1:6" x14ac:dyDescent="0.25">
      <c r="D24" s="715">
        <v>635</v>
      </c>
      <c r="E24" s="716" t="s">
        <v>881</v>
      </c>
      <c r="F24" s="716"/>
    </row>
    <row r="25" spans="1:6" x14ac:dyDescent="0.25">
      <c r="D25" s="715">
        <v>636</v>
      </c>
      <c r="E25" s="716" t="s">
        <v>876</v>
      </c>
      <c r="F25" s="716"/>
    </row>
    <row r="26" spans="1:6" x14ac:dyDescent="0.25">
      <c r="D26" s="719">
        <v>637</v>
      </c>
      <c r="E26" s="716" t="s">
        <v>877</v>
      </c>
      <c r="F26" s="716"/>
    </row>
    <row r="27" spans="1:6" x14ac:dyDescent="0.25">
      <c r="D27" s="719">
        <v>638</v>
      </c>
      <c r="E27" s="716" t="s">
        <v>882</v>
      </c>
      <c r="F27" s="716"/>
    </row>
    <row r="28" spans="1:6" x14ac:dyDescent="0.25">
      <c r="D28" s="715">
        <v>578</v>
      </c>
      <c r="E28" s="716" t="s">
        <v>746</v>
      </c>
      <c r="F28" s="716"/>
    </row>
    <row r="32" spans="1:6" ht="29.25" customHeight="1" x14ac:dyDescent="0.35">
      <c r="A32" s="654" t="s">
        <v>1066</v>
      </c>
      <c r="B32" s="651">
        <v>47</v>
      </c>
      <c r="C32" s="678" t="s">
        <v>996</v>
      </c>
      <c r="D32" s="656" t="s">
        <v>1067</v>
      </c>
    </row>
    <row r="33" spans="1:8" x14ac:dyDescent="0.25">
      <c r="D33" s="656">
        <v>657</v>
      </c>
      <c r="E33" s="656" t="s">
        <v>996</v>
      </c>
      <c r="H33" s="714"/>
    </row>
    <row r="34" spans="1:8" ht="30" x14ac:dyDescent="0.25">
      <c r="D34" s="656">
        <v>658</v>
      </c>
      <c r="E34" s="716" t="s">
        <v>992</v>
      </c>
    </row>
    <row r="35" spans="1:8" ht="45" x14ac:dyDescent="0.25">
      <c r="D35" s="656">
        <v>581</v>
      </c>
      <c r="E35" s="718" t="s">
        <v>1068</v>
      </c>
    </row>
    <row r="36" spans="1:8" x14ac:dyDescent="0.25">
      <c r="E36" s="716"/>
    </row>
    <row r="41" spans="1:8" ht="181.5" x14ac:dyDescent="0.35">
      <c r="A41" s="654" t="s">
        <v>1069</v>
      </c>
      <c r="B41" s="651">
        <v>48</v>
      </c>
      <c r="C41" s="678" t="s">
        <v>986</v>
      </c>
      <c r="D41" s="650" t="s">
        <v>987</v>
      </c>
    </row>
    <row r="42" spans="1:8" ht="30" x14ac:dyDescent="0.25">
      <c r="D42" s="720">
        <v>639</v>
      </c>
      <c r="E42" s="721" t="s">
        <v>883</v>
      </c>
      <c r="F42" s="716"/>
    </row>
    <row r="43" spans="1:8" x14ac:dyDescent="0.25">
      <c r="D43" s="720">
        <v>640</v>
      </c>
      <c r="E43" s="721" t="s">
        <v>884</v>
      </c>
      <c r="F43" s="716"/>
    </row>
    <row r="44" spans="1:8" x14ac:dyDescent="0.25">
      <c r="D44" s="720">
        <v>641</v>
      </c>
      <c r="E44" s="721" t="s">
        <v>885</v>
      </c>
      <c r="F44" s="716"/>
    </row>
    <row r="45" spans="1:8" x14ac:dyDescent="0.25">
      <c r="D45" s="720">
        <v>642</v>
      </c>
      <c r="E45" s="721" t="s">
        <v>886</v>
      </c>
      <c r="F45" s="716"/>
    </row>
    <row r="46" spans="1:8" ht="30" x14ac:dyDescent="0.25">
      <c r="D46" s="720">
        <v>643</v>
      </c>
      <c r="E46" s="721" t="s">
        <v>887</v>
      </c>
      <c r="F46" s="716"/>
    </row>
    <row r="47" spans="1:8" x14ac:dyDescent="0.25">
      <c r="D47" s="720">
        <v>644</v>
      </c>
      <c r="E47" s="721" t="s">
        <v>888</v>
      </c>
      <c r="F47" s="716"/>
    </row>
    <row r="48" spans="1:8" x14ac:dyDescent="0.25">
      <c r="D48" s="720" t="s">
        <v>988</v>
      </c>
      <c r="E48" s="716" t="s">
        <v>750</v>
      </c>
      <c r="F48" s="716"/>
    </row>
    <row r="53" spans="1:1" ht="18.75" x14ac:dyDescent="0.3">
      <c r="A53" s="725" t="s">
        <v>989</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35" sqref="E35"/>
    </sheetView>
  </sheetViews>
  <sheetFormatPr defaultRowHeight="15" x14ac:dyDescent="0.25"/>
  <cols>
    <col min="1" max="3" width="22.7109375" style="502" customWidth="1"/>
    <col min="4" max="4" width="18.7109375" style="494" customWidth="1"/>
    <col min="5" max="10" width="18.7109375" style="502" customWidth="1"/>
    <col min="11" max="16384" width="9.140625" style="502"/>
  </cols>
  <sheetData>
    <row r="3" spans="1:13" x14ac:dyDescent="0.25">
      <c r="D3" s="493">
        <v>2019</v>
      </c>
      <c r="E3" s="493">
        <v>2018</v>
      </c>
      <c r="F3" s="493">
        <v>2017</v>
      </c>
      <c r="G3" s="493">
        <v>2016</v>
      </c>
      <c r="H3" s="493">
        <v>2015</v>
      </c>
      <c r="I3" s="493">
        <v>2014</v>
      </c>
      <c r="J3" s="493">
        <v>2013</v>
      </c>
      <c r="K3" s="494"/>
      <c r="L3" s="494"/>
      <c r="M3" s="494"/>
    </row>
    <row r="4" spans="1:13" ht="18.75" x14ac:dyDescent="0.25">
      <c r="A4" s="495" t="s">
        <v>926</v>
      </c>
      <c r="B4" s="495"/>
      <c r="C4" s="495" t="s">
        <v>927</v>
      </c>
      <c r="D4" s="496" t="s">
        <v>848</v>
      </c>
      <c r="E4" s="496" t="s">
        <v>848</v>
      </c>
      <c r="F4" s="496" t="s">
        <v>848</v>
      </c>
      <c r="G4" s="496" t="s">
        <v>848</v>
      </c>
      <c r="H4" s="496" t="s">
        <v>848</v>
      </c>
      <c r="I4" s="496" t="s">
        <v>848</v>
      </c>
      <c r="J4" s="496" t="s">
        <v>848</v>
      </c>
      <c r="K4" s="497"/>
    </row>
    <row r="5" spans="1:13" x14ac:dyDescent="0.25">
      <c r="A5" s="498">
        <v>5119</v>
      </c>
      <c r="B5" s="498" t="s">
        <v>903</v>
      </c>
      <c r="C5" s="498">
        <v>647</v>
      </c>
      <c r="D5" s="494">
        <v>20578691</v>
      </c>
      <c r="E5" s="494">
        <v>3249248</v>
      </c>
      <c r="F5" s="494">
        <v>2957570</v>
      </c>
      <c r="G5" s="494">
        <v>5709008</v>
      </c>
      <c r="H5" s="494">
        <v>5114434</v>
      </c>
      <c r="I5" s="494">
        <v>4562229</v>
      </c>
      <c r="J5" s="494">
        <v>4029652</v>
      </c>
    </row>
    <row r="6" spans="1:13" x14ac:dyDescent="0.25">
      <c r="A6" s="498">
        <v>5120</v>
      </c>
      <c r="B6" s="498" t="s">
        <v>904</v>
      </c>
      <c r="C6" s="498">
        <v>647</v>
      </c>
      <c r="D6" s="494">
        <v>0</v>
      </c>
      <c r="E6" s="494">
        <v>0</v>
      </c>
      <c r="F6" s="494">
        <v>0</v>
      </c>
      <c r="G6" s="494">
        <v>0</v>
      </c>
      <c r="H6" s="494">
        <v>0</v>
      </c>
      <c r="I6" s="494">
        <v>0</v>
      </c>
      <c r="J6" s="494">
        <v>0</v>
      </c>
    </row>
    <row r="7" spans="1:13" x14ac:dyDescent="0.25">
      <c r="A7" s="498">
        <v>5131</v>
      </c>
      <c r="B7" s="498" t="s">
        <v>905</v>
      </c>
      <c r="C7" s="498">
        <v>647</v>
      </c>
      <c r="D7" s="494">
        <v>37089245</v>
      </c>
      <c r="E7" s="494">
        <v>20299814</v>
      </c>
      <c r="F7" s="494">
        <v>8051571</v>
      </c>
      <c r="G7" s="494">
        <v>7371500</v>
      </c>
      <c r="H7" s="494">
        <v>5966665</v>
      </c>
      <c r="I7" s="494">
        <v>8207298</v>
      </c>
      <c r="J7" s="494">
        <v>7347048</v>
      </c>
    </row>
    <row r="8" spans="1:13" x14ac:dyDescent="0.25">
      <c r="A8" s="498">
        <v>5135</v>
      </c>
      <c r="B8" s="498" t="s">
        <v>906</v>
      </c>
      <c r="C8" s="498">
        <v>647</v>
      </c>
      <c r="D8" s="494">
        <v>0</v>
      </c>
      <c r="E8" s="494">
        <v>0</v>
      </c>
      <c r="F8" s="494">
        <v>4056482</v>
      </c>
      <c r="G8" s="494">
        <v>3922669</v>
      </c>
      <c r="H8" s="494">
        <v>3148233</v>
      </c>
      <c r="I8" s="494">
        <v>2755127</v>
      </c>
      <c r="J8" s="494">
        <v>2755127</v>
      </c>
    </row>
    <row r="9" spans="1:13" x14ac:dyDescent="0.25">
      <c r="A9" s="498">
        <v>5144</v>
      </c>
      <c r="B9" s="498" t="s">
        <v>907</v>
      </c>
      <c r="C9" s="498">
        <v>647</v>
      </c>
      <c r="D9" s="494">
        <v>7441890</v>
      </c>
      <c r="E9" s="494">
        <v>7441890</v>
      </c>
      <c r="F9" s="494">
        <v>4932241</v>
      </c>
      <c r="G9" s="494">
        <v>590997</v>
      </c>
      <c r="H9" s="494">
        <v>0</v>
      </c>
      <c r="I9" s="494">
        <v>3000000</v>
      </c>
      <c r="J9" s="494">
        <v>2390166</v>
      </c>
    </row>
    <row r="10" spans="1:13" x14ac:dyDescent="0.25">
      <c r="A10" s="498">
        <v>5155</v>
      </c>
      <c r="B10" s="498" t="s">
        <v>908</v>
      </c>
      <c r="C10" s="498">
        <v>647</v>
      </c>
      <c r="D10" s="494">
        <v>1008755</v>
      </c>
      <c r="E10" s="494">
        <v>781534</v>
      </c>
      <c r="F10" s="494">
        <v>663572</v>
      </c>
      <c r="G10" s="494">
        <v>6557774</v>
      </c>
      <c r="H10" s="494">
        <v>611355</v>
      </c>
      <c r="I10" s="494">
        <v>784361</v>
      </c>
      <c r="J10" s="494">
        <v>1022379</v>
      </c>
    </row>
    <row r="11" spans="1:13" x14ac:dyDescent="0.25">
      <c r="A11" s="498">
        <v>5158</v>
      </c>
      <c r="B11" s="498" t="s">
        <v>909</v>
      </c>
      <c r="C11" s="498">
        <v>647</v>
      </c>
      <c r="D11" s="494">
        <v>9</v>
      </c>
      <c r="E11" s="494">
        <v>9</v>
      </c>
      <c r="F11" s="494">
        <v>9</v>
      </c>
      <c r="G11" s="494">
        <v>9</v>
      </c>
      <c r="H11" s="494">
        <v>9</v>
      </c>
      <c r="I11" s="494">
        <v>9</v>
      </c>
      <c r="J11" s="494">
        <v>9</v>
      </c>
    </row>
    <row r="12" spans="1:13" x14ac:dyDescent="0.25">
      <c r="A12" s="498">
        <v>5159</v>
      </c>
      <c r="B12" s="498" t="s">
        <v>910</v>
      </c>
      <c r="C12" s="498">
        <v>647</v>
      </c>
      <c r="D12" s="494">
        <v>225639888</v>
      </c>
      <c r="E12" s="494">
        <v>219009306</v>
      </c>
      <c r="F12" s="494">
        <v>181812071</v>
      </c>
      <c r="G12" s="494">
        <v>193933610</v>
      </c>
      <c r="H12" s="494">
        <v>181583886</v>
      </c>
      <c r="I12" s="494">
        <v>0</v>
      </c>
      <c r="J12" s="494">
        <v>0</v>
      </c>
    </row>
    <row r="13" spans="1:13" x14ac:dyDescent="0.25">
      <c r="A13" s="498">
        <v>5164</v>
      </c>
      <c r="B13" s="498" t="s">
        <v>911</v>
      </c>
      <c r="C13" s="498">
        <v>647</v>
      </c>
      <c r="D13" s="494">
        <v>7132135</v>
      </c>
      <c r="E13" s="494">
        <v>5438631</v>
      </c>
      <c r="F13" s="494">
        <v>2427428</v>
      </c>
      <c r="G13" s="494">
        <v>157674</v>
      </c>
      <c r="H13" s="494">
        <v>0</v>
      </c>
      <c r="I13" s="494">
        <v>0</v>
      </c>
      <c r="J13" s="494">
        <v>0</v>
      </c>
    </row>
    <row r="14" spans="1:13" x14ac:dyDescent="0.25">
      <c r="A14" s="498">
        <v>5173</v>
      </c>
      <c r="B14" s="498" t="s">
        <v>912</v>
      </c>
      <c r="C14" s="498">
        <v>647</v>
      </c>
      <c r="D14" s="494">
        <v>422216</v>
      </c>
      <c r="E14" s="494">
        <v>2615544</v>
      </c>
      <c r="F14" s="494">
        <v>880554</v>
      </c>
      <c r="G14" s="494">
        <v>154942</v>
      </c>
      <c r="H14" s="494">
        <v>107456</v>
      </c>
      <c r="I14" s="494">
        <v>46240</v>
      </c>
      <c r="J14" s="494">
        <v>23390</v>
      </c>
    </row>
    <row r="15" spans="1:13" x14ac:dyDescent="0.25">
      <c r="A15" s="498">
        <v>5178</v>
      </c>
      <c r="B15" s="498" t="s">
        <v>913</v>
      </c>
      <c r="C15" s="498">
        <v>647</v>
      </c>
      <c r="D15" s="494">
        <v>75835</v>
      </c>
      <c r="E15" s="494">
        <v>66039</v>
      </c>
      <c r="F15" s="494">
        <v>57100</v>
      </c>
      <c r="G15" s="494">
        <v>52316</v>
      </c>
      <c r="H15" s="494">
        <v>23715</v>
      </c>
      <c r="I15" s="494">
        <v>899285</v>
      </c>
      <c r="J15" s="494">
        <v>1169608</v>
      </c>
    </row>
    <row r="16" spans="1:13" x14ac:dyDescent="0.25">
      <c r="A16" s="498">
        <v>5180</v>
      </c>
      <c r="B16" s="498" t="s">
        <v>914</v>
      </c>
      <c r="C16" s="498">
        <v>647</v>
      </c>
      <c r="D16" s="494">
        <v>4586780</v>
      </c>
      <c r="E16" s="494">
        <v>5165281</v>
      </c>
      <c r="F16" s="494">
        <v>4432068</v>
      </c>
      <c r="G16" s="494">
        <v>3558985</v>
      </c>
      <c r="H16" s="494">
        <v>2657915</v>
      </c>
      <c r="I16" s="494">
        <v>2071596</v>
      </c>
      <c r="J16" s="494">
        <v>1986034</v>
      </c>
    </row>
    <row r="17" spans="1:10" x14ac:dyDescent="0.25">
      <c r="A17" s="498">
        <v>5191</v>
      </c>
      <c r="B17" s="498" t="s">
        <v>915</v>
      </c>
      <c r="C17" s="498">
        <v>647</v>
      </c>
      <c r="D17" s="494">
        <v>111303046</v>
      </c>
      <c r="E17" s="494">
        <v>108974619</v>
      </c>
      <c r="F17" s="494">
        <v>120290900</v>
      </c>
      <c r="G17" s="494">
        <v>127448981</v>
      </c>
      <c r="H17" s="494">
        <v>153873846</v>
      </c>
      <c r="I17" s="494">
        <v>135252125</v>
      </c>
      <c r="J17" s="494">
        <v>169055200</v>
      </c>
    </row>
    <row r="18" spans="1:10" x14ac:dyDescent="0.25">
      <c r="A18" s="498">
        <v>50074</v>
      </c>
      <c r="B18" s="498" t="s">
        <v>916</v>
      </c>
      <c r="C18" s="498">
        <v>647</v>
      </c>
      <c r="D18" s="494">
        <v>7494829</v>
      </c>
      <c r="E18" s="494">
        <v>7189658</v>
      </c>
      <c r="F18" s="494">
        <v>7048523</v>
      </c>
      <c r="G18" s="494">
        <v>6615510</v>
      </c>
      <c r="H18" s="494">
        <v>5452410</v>
      </c>
      <c r="I18" s="494">
        <v>4803926</v>
      </c>
      <c r="J18" s="494">
        <v>5340180</v>
      </c>
    </row>
    <row r="19" spans="1:10" x14ac:dyDescent="0.25">
      <c r="A19" s="498">
        <v>50075</v>
      </c>
      <c r="B19" s="498" t="s">
        <v>917</v>
      </c>
      <c r="C19" s="498">
        <v>647</v>
      </c>
      <c r="D19" s="494">
        <v>266214000</v>
      </c>
      <c r="E19" s="494">
        <v>265541000</v>
      </c>
      <c r="F19" s="494">
        <v>274532000</v>
      </c>
      <c r="G19" s="494">
        <v>286138000</v>
      </c>
      <c r="H19" s="494">
        <v>295124000</v>
      </c>
      <c r="I19" s="494">
        <v>264645000</v>
      </c>
      <c r="J19" s="494">
        <v>231434000</v>
      </c>
    </row>
    <row r="20" spans="1:10" x14ac:dyDescent="0.25">
      <c r="A20" s="498">
        <v>50110</v>
      </c>
      <c r="B20" s="498" t="s">
        <v>918</v>
      </c>
      <c r="C20" s="498">
        <v>647</v>
      </c>
      <c r="D20" s="494">
        <v>46833536</v>
      </c>
      <c r="E20" s="494">
        <v>45660075</v>
      </c>
      <c r="F20" s="494">
        <v>8463820</v>
      </c>
      <c r="G20" s="494">
        <v>2663591</v>
      </c>
      <c r="H20" s="494">
        <v>2371109</v>
      </c>
      <c r="I20" s="494">
        <v>2878268</v>
      </c>
      <c r="J20" s="494">
        <v>4203755</v>
      </c>
    </row>
    <row r="21" spans="1:10" x14ac:dyDescent="0.25">
      <c r="A21" s="498">
        <v>50144</v>
      </c>
      <c r="B21" s="498" t="s">
        <v>919</v>
      </c>
      <c r="C21" s="498">
        <v>647</v>
      </c>
      <c r="D21" s="494">
        <v>4258932</v>
      </c>
      <c r="E21" s="494">
        <v>853434</v>
      </c>
      <c r="F21" s="494">
        <v>1622119</v>
      </c>
      <c r="G21" s="494">
        <v>1743258</v>
      </c>
      <c r="H21" s="494">
        <v>1740179</v>
      </c>
      <c r="I21" s="494">
        <v>1739958</v>
      </c>
      <c r="J21" s="494">
        <v>1739695</v>
      </c>
    </row>
    <row r="22" spans="1:10" x14ac:dyDescent="0.25">
      <c r="A22" s="498">
        <v>50159</v>
      </c>
      <c r="B22" s="498" t="s">
        <v>920</v>
      </c>
      <c r="C22" s="498">
        <v>647</v>
      </c>
      <c r="D22" s="494">
        <v>28636370</v>
      </c>
      <c r="E22" s="494">
        <v>23180822</v>
      </c>
      <c r="F22" s="494">
        <v>16487675</v>
      </c>
      <c r="G22" s="494">
        <v>10909425</v>
      </c>
      <c r="H22" s="494">
        <v>7878571</v>
      </c>
      <c r="I22" s="494">
        <v>5300679</v>
      </c>
      <c r="J22" s="494">
        <v>4801051</v>
      </c>
    </row>
    <row r="23" spans="1:10" x14ac:dyDescent="0.25">
      <c r="A23" s="498">
        <v>50160</v>
      </c>
      <c r="B23" s="498" t="s">
        <v>921</v>
      </c>
      <c r="C23" s="498">
        <v>647</v>
      </c>
      <c r="D23" s="494">
        <v>1134799</v>
      </c>
      <c r="E23" s="494">
        <v>894858</v>
      </c>
      <c r="F23" s="494">
        <v>1002425</v>
      </c>
      <c r="G23" s="494">
        <v>354061</v>
      </c>
      <c r="H23" s="494">
        <v>392698</v>
      </c>
      <c r="I23" s="494">
        <v>442800</v>
      </c>
      <c r="J23" s="494">
        <v>942821</v>
      </c>
    </row>
    <row r="24" spans="1:10" x14ac:dyDescent="0.25">
      <c r="A24" s="498">
        <v>50180</v>
      </c>
      <c r="B24" s="498" t="s">
        <v>922</v>
      </c>
      <c r="C24" s="498">
        <v>647</v>
      </c>
      <c r="D24" s="494">
        <v>13193040</v>
      </c>
      <c r="E24" s="494">
        <v>17058564</v>
      </c>
      <c r="F24" s="494">
        <v>16187505</v>
      </c>
      <c r="G24" s="494">
        <v>16428100</v>
      </c>
      <c r="H24" s="494">
        <v>16688416</v>
      </c>
      <c r="I24" s="494">
        <v>17840940</v>
      </c>
      <c r="J24" s="494">
        <v>18042019</v>
      </c>
    </row>
    <row r="25" spans="1:10" x14ac:dyDescent="0.25">
      <c r="A25" s="498">
        <v>50405</v>
      </c>
      <c r="B25" s="498" t="s">
        <v>923</v>
      </c>
      <c r="C25" s="498">
        <v>647</v>
      </c>
      <c r="D25" s="494">
        <v>302046</v>
      </c>
      <c r="E25" s="494">
        <v>1055143</v>
      </c>
      <c r="F25" s="494">
        <v>0</v>
      </c>
      <c r="G25" s="494">
        <v>0</v>
      </c>
      <c r="H25" s="494">
        <v>0</v>
      </c>
      <c r="I25" s="494">
        <v>0</v>
      </c>
      <c r="J25" s="494">
        <v>0</v>
      </c>
    </row>
    <row r="26" spans="1:10" x14ac:dyDescent="0.25">
      <c r="A26" s="498">
        <v>50425</v>
      </c>
      <c r="B26" s="498" t="s">
        <v>924</v>
      </c>
      <c r="C26" s="498">
        <v>647</v>
      </c>
      <c r="D26" s="494">
        <v>20836222</v>
      </c>
      <c r="E26" s="494">
        <v>16328642</v>
      </c>
      <c r="F26" s="494">
        <v>15202516</v>
      </c>
      <c r="G26" s="494">
        <v>12384500</v>
      </c>
      <c r="H26" s="494">
        <v>9788553</v>
      </c>
      <c r="I26" s="494">
        <v>7967199</v>
      </c>
      <c r="J26" s="494">
        <v>6398918</v>
      </c>
    </row>
    <row r="27" spans="1:10" x14ac:dyDescent="0.25">
      <c r="A27" s="498">
        <v>50431</v>
      </c>
      <c r="B27" s="498" t="s">
        <v>925</v>
      </c>
      <c r="C27" s="498">
        <v>647</v>
      </c>
      <c r="D27" s="494">
        <v>25542629</v>
      </c>
      <c r="E27" s="494">
        <v>24964077</v>
      </c>
      <c r="F27" s="494">
        <v>23618105</v>
      </c>
      <c r="G27" s="494">
        <v>22744716</v>
      </c>
      <c r="H27" s="494">
        <v>16714796</v>
      </c>
      <c r="I27" s="494">
        <v>13788676</v>
      </c>
      <c r="J27" s="494">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A3AC2-4175-4171-9D60-B0536B121418}">
  <dimension ref="A1:G6"/>
  <sheetViews>
    <sheetView workbookViewId="0">
      <selection activeCell="A2" sqref="A2:G2"/>
    </sheetView>
  </sheetViews>
  <sheetFormatPr defaultRowHeight="15" x14ac:dyDescent="0.25"/>
  <cols>
    <col min="1" max="1" width="51.42578125" style="860" customWidth="1"/>
    <col min="2" max="6" width="9.140625" style="860"/>
    <col min="7" max="7" width="66.42578125" style="860" customWidth="1"/>
    <col min="8" max="16384" width="9.140625" style="860"/>
  </cols>
  <sheetData>
    <row r="1" spans="1:7" s="464" customFormat="1" ht="27.75" customHeight="1" x14ac:dyDescent="0.5">
      <c r="A1" s="464" t="s">
        <v>899</v>
      </c>
    </row>
    <row r="2" spans="1:7" ht="136.5" customHeight="1" x14ac:dyDescent="0.25">
      <c r="A2" s="985" t="s">
        <v>1248</v>
      </c>
      <c r="B2" s="985"/>
      <c r="C2" s="985"/>
      <c r="D2" s="985"/>
      <c r="E2" s="985"/>
      <c r="F2" s="985"/>
      <c r="G2" s="985"/>
    </row>
    <row r="3" spans="1:7" ht="25.5" customHeight="1" x14ac:dyDescent="0.25"/>
    <row r="4" spans="1:7" x14ac:dyDescent="0.25">
      <c r="A4" s="917" t="s">
        <v>1202</v>
      </c>
      <c r="B4" s="463"/>
    </row>
    <row r="5" spans="1:7" x14ac:dyDescent="0.25">
      <c r="B5" s="463"/>
    </row>
    <row r="6" spans="1:7" x14ac:dyDescent="0.25">
      <c r="B6" s="463"/>
    </row>
  </sheetData>
  <sheetProtection password="CEAA" sheet="1" objects="1" scenarios="1"/>
  <mergeCells count="1">
    <mergeCell ref="A2:G2"/>
  </mergeCells>
  <hyperlinks>
    <hyperlink ref="A4" r:id="rId1" xr:uid="{114A5D1B-B5E9-41A3-9D66-347F853A15C4}"/>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5" x14ac:dyDescent="0.25"/>
  <sheetData>
    <row r="1" spans="1:1" ht="15.75" x14ac:dyDescent="0.25">
      <c r="A1" s="661" t="s">
        <v>999</v>
      </c>
    </row>
    <row r="2" spans="1:1" ht="15.75" x14ac:dyDescent="0.25">
      <c r="A2" s="661" t="s">
        <v>1000</v>
      </c>
    </row>
    <row r="3" spans="1:1" ht="15.75" x14ac:dyDescent="0.25">
      <c r="A3" s="661" t="s">
        <v>1001</v>
      </c>
    </row>
    <row r="4" spans="1:1" ht="15.75" x14ac:dyDescent="0.25">
      <c r="A4" s="661" t="s">
        <v>1002</v>
      </c>
    </row>
    <row r="5" spans="1:1" ht="15.75" x14ac:dyDescent="0.25">
      <c r="A5" s="661"/>
    </row>
    <row r="6" spans="1:1" ht="15.75" x14ac:dyDescent="0.25">
      <c r="A6" s="661" t="s">
        <v>1003</v>
      </c>
    </row>
    <row r="7" spans="1:1" ht="15.75" x14ac:dyDescent="0.25">
      <c r="A7" s="661" t="s">
        <v>1004</v>
      </c>
    </row>
    <row r="8" spans="1:1" ht="15.75" x14ac:dyDescent="0.25">
      <c r="A8" s="661" t="s">
        <v>1005</v>
      </c>
    </row>
    <row r="9" spans="1:1" ht="15.75" x14ac:dyDescent="0.25">
      <c r="A9" s="661" t="s">
        <v>1006</v>
      </c>
    </row>
    <row r="10" spans="1:1" ht="15.75" x14ac:dyDescent="0.25">
      <c r="A10" s="661"/>
    </row>
    <row r="11" spans="1:1" ht="15.75" x14ac:dyDescent="0.25">
      <c r="A11" s="661" t="s">
        <v>1007</v>
      </c>
    </row>
    <row r="12" spans="1:1" ht="15.75" x14ac:dyDescent="0.25">
      <c r="A12" s="661" t="s">
        <v>1008</v>
      </c>
    </row>
    <row r="13" spans="1:1" ht="15.75" x14ac:dyDescent="0.25">
      <c r="A13" s="661" t="s">
        <v>1009</v>
      </c>
    </row>
    <row r="14" spans="1:1" ht="15.75" x14ac:dyDescent="0.25">
      <c r="A14" s="661"/>
    </row>
    <row r="15" spans="1:1" ht="15.75" x14ac:dyDescent="0.25">
      <c r="A15" s="661" t="s">
        <v>1010</v>
      </c>
    </row>
    <row r="16" spans="1:1" ht="15.75" x14ac:dyDescent="0.25">
      <c r="A16" s="661" t="s">
        <v>1011</v>
      </c>
    </row>
    <row r="17" spans="1:1" ht="15.75" x14ac:dyDescent="0.25">
      <c r="A17" s="661" t="s">
        <v>1012</v>
      </c>
    </row>
    <row r="18" spans="1:1" ht="15.75" x14ac:dyDescent="0.25">
      <c r="A18" s="661" t="s">
        <v>1013</v>
      </c>
    </row>
    <row r="19" spans="1:1" ht="15.75" x14ac:dyDescent="0.25">
      <c r="A19" s="661"/>
    </row>
    <row r="20" spans="1:1" ht="15.75" x14ac:dyDescent="0.25">
      <c r="A20" s="661" t="s">
        <v>1014</v>
      </c>
    </row>
    <row r="21" spans="1:1" ht="15.75" x14ac:dyDescent="0.25">
      <c r="A21" s="661" t="s">
        <v>1015</v>
      </c>
    </row>
    <row r="22" spans="1:1" ht="15.75" x14ac:dyDescent="0.25">
      <c r="A22" s="661" t="s">
        <v>1016</v>
      </c>
    </row>
    <row r="23" spans="1:1" ht="15.75" x14ac:dyDescent="0.25">
      <c r="A23" s="661" t="s">
        <v>1017</v>
      </c>
    </row>
    <row r="24" spans="1:1" ht="15.75" x14ac:dyDescent="0.25">
      <c r="A24" s="661" t="s">
        <v>1018</v>
      </c>
    </row>
    <row r="25" spans="1:1" ht="15.75" x14ac:dyDescent="0.25">
      <c r="A25" s="661" t="s">
        <v>1019</v>
      </c>
    </row>
    <row r="26" spans="1:1" x14ac:dyDescent="0.25">
      <c r="A26" s="36" t="s">
        <v>1020</v>
      </c>
    </row>
    <row r="27" spans="1:1" x14ac:dyDescent="0.25">
      <c r="A27" s="36" t="s">
        <v>1021</v>
      </c>
    </row>
    <row r="28" spans="1:1" ht="15.75" x14ac:dyDescent="0.25">
      <c r="A28" s="661"/>
    </row>
    <row r="29" spans="1:1" ht="15.75" x14ac:dyDescent="0.25">
      <c r="A29" s="661" t="s">
        <v>1022</v>
      </c>
    </row>
    <row r="30" spans="1:1" ht="15.75" x14ac:dyDescent="0.25">
      <c r="A30" s="661" t="s">
        <v>1023</v>
      </c>
    </row>
    <row r="31" spans="1:1" ht="15.75" x14ac:dyDescent="0.25">
      <c r="A31" s="661" t="s">
        <v>1024</v>
      </c>
    </row>
    <row r="32" spans="1:1" ht="18.75" x14ac:dyDescent="0.25">
      <c r="A32" s="652" t="s">
        <v>1025</v>
      </c>
    </row>
    <row r="33" spans="1:9" x14ac:dyDescent="0.25">
      <c r="A33" s="660" t="s">
        <v>1026</v>
      </c>
    </row>
    <row r="34" spans="1:9" x14ac:dyDescent="0.25">
      <c r="A34" s="660" t="s">
        <v>1027</v>
      </c>
    </row>
    <row r="35" spans="1:9" x14ac:dyDescent="0.25">
      <c r="A35" s="660" t="s">
        <v>1028</v>
      </c>
    </row>
    <row r="36" spans="1:9" x14ac:dyDescent="0.25">
      <c r="A36" s="660" t="s">
        <v>1029</v>
      </c>
    </row>
    <row r="37" spans="1:9" x14ac:dyDescent="0.25">
      <c r="A37" s="660" t="s">
        <v>1030</v>
      </c>
    </row>
    <row r="38" spans="1:9" x14ac:dyDescent="0.25">
      <c r="A38" s="660" t="s">
        <v>1031</v>
      </c>
    </row>
    <row r="39" spans="1:9" x14ac:dyDescent="0.25">
      <c r="A39" s="660" t="s">
        <v>1032</v>
      </c>
    </row>
    <row r="40" spans="1:9" x14ac:dyDescent="0.25">
      <c r="A40" s="660" t="s">
        <v>1033</v>
      </c>
    </row>
    <row r="41" spans="1:9" x14ac:dyDescent="0.25">
      <c r="A41" s="660" t="s">
        <v>1034</v>
      </c>
    </row>
    <row r="42" spans="1:9" x14ac:dyDescent="0.25">
      <c r="A42" s="660" t="s">
        <v>1035</v>
      </c>
    </row>
    <row r="43" spans="1:9" x14ac:dyDescent="0.25">
      <c r="A43" s="660" t="s">
        <v>1036</v>
      </c>
    </row>
    <row r="46" spans="1:9" ht="21" x14ac:dyDescent="0.35">
      <c r="A46" s="653" t="s">
        <v>1044</v>
      </c>
      <c r="B46" s="651"/>
      <c r="C46" s="651"/>
      <c r="D46" s="651"/>
      <c r="E46" s="651"/>
      <c r="F46" s="651"/>
      <c r="G46" s="651"/>
      <c r="H46" s="651"/>
      <c r="I46" s="651"/>
    </row>
    <row r="49" spans="1:1" x14ac:dyDescent="0.25">
      <c r="A49" s="660" t="s">
        <v>1045</v>
      </c>
    </row>
    <row r="50" spans="1:1" x14ac:dyDescent="0.25">
      <c r="A50" s="660"/>
    </row>
    <row r="51" spans="1:1" x14ac:dyDescent="0.25">
      <c r="A51" s="660" t="s">
        <v>1046</v>
      </c>
    </row>
    <row r="52" spans="1:1" x14ac:dyDescent="0.25">
      <c r="A52" s="660"/>
    </row>
    <row r="53" spans="1:1" ht="18.75" x14ac:dyDescent="0.25">
      <c r="A53" s="652" t="s">
        <v>1047</v>
      </c>
    </row>
    <row r="54" spans="1:1" x14ac:dyDescent="0.25">
      <c r="A54" s="660" t="s">
        <v>1048</v>
      </c>
    </row>
    <row r="55" spans="1:1" x14ac:dyDescent="0.25">
      <c r="A55" s="660" t="s">
        <v>1049</v>
      </c>
    </row>
    <row r="56" spans="1:1" x14ac:dyDescent="0.25">
      <c r="A56" s="660" t="s">
        <v>1050</v>
      </c>
    </row>
    <row r="57" spans="1:1" x14ac:dyDescent="0.25">
      <c r="A57" s="660"/>
    </row>
    <row r="58" spans="1:1" x14ac:dyDescent="0.25">
      <c r="A58" s="660" t="s">
        <v>1051</v>
      </c>
    </row>
    <row r="59" spans="1:1" x14ac:dyDescent="0.25">
      <c r="A59" s="660"/>
    </row>
    <row r="60" spans="1:1" x14ac:dyDescent="0.25">
      <c r="A60" s="660" t="s">
        <v>1052</v>
      </c>
    </row>
    <row r="61" spans="1:1" x14ac:dyDescent="0.25">
      <c r="A61" s="660" t="s">
        <v>1053</v>
      </c>
    </row>
    <row r="62" spans="1:1" x14ac:dyDescent="0.25">
      <c r="A62" s="660" t="s">
        <v>1054</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843076E-D01F-4418-A018-8509E507A11D}">
  <ds:schemaRefs>
    <ds:schemaRef ds:uri="http://schemas.microsoft.com/office/infopath/2007/PartnerControls"/>
    <ds:schemaRef ds:uri="http://schemas.openxmlformats.org/package/2006/metadata/core-properties"/>
    <ds:schemaRef ds:uri="http://purl.org/dc/terms/"/>
    <ds:schemaRef ds:uri="http://purl.org/dc/elements/1.1/"/>
    <ds:schemaRef ds:uri="http://schemas.microsoft.com/office/2006/documentManagement/types"/>
    <ds:schemaRef ds:uri="http://www.w3.org/XML/1998/namespac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Unit Data from Audit Worksheet</vt:lpstr>
      <vt:lpstr>IMPORT</vt:lpstr>
      <vt:lpstr>RSS</vt:lpstr>
      <vt:lpstr>3-Year Analysis</vt:lpstr>
      <vt:lpstr>2020 Acct Changes</vt:lpstr>
      <vt:lpstr>Debt Service Funds (H)</vt:lpstr>
      <vt:lpstr>Average FBA</vt:lpstr>
      <vt:lpstr>sequel interface rules (H)</vt:lpstr>
      <vt:lpstr>Unit Names(H)</vt:lpstr>
      <vt:lpstr>2019 Data(H)</vt:lpstr>
      <vt:lpstr>2018 Data(H)</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2020-09-17T14:45:57Z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